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nera-nycfs\Work\Projects\Energy\20-21 BGS (114324)\2020 Auction\3 RSCP Rates\1 July Filing\1 Rcvd frm EDCs\0 to post\"/>
    </mc:Choice>
  </mc:AlternateContent>
  <xr:revisionPtr revIDLastSave="0" documentId="13_ncr:1_{55577B8E-3FA2-49FB-AB0B-15BE9D6ECF0D}" xr6:coauthVersionLast="36" xr6:coauthVersionMax="36" xr10:uidLastSave="{00000000-0000-0000-0000-000000000000}"/>
  <bookViews>
    <workbookView xWindow="0" yWindow="0" windowWidth="28800" windowHeight="11925" activeTab="1" xr2:uid="{00000000-000D-0000-FFFF-FFFF00000000}"/>
  </bookViews>
  <sheets>
    <sheet name="BGS Cost &amp; Bid Factors" sheetId="1" r:id="rId1"/>
    <sheet name="Weighted Avg Price Calc" sheetId="2" r:id="rId2"/>
    <sheet name="Rate Calculation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P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DAT4">#REF!</definedName>
    <definedName name="_Fill" hidden="1">#REF!</definedName>
    <definedName name="_New2">#REF!</definedName>
    <definedName name="_New3">#REF!</definedName>
    <definedName name="_New4">#REF!</definedName>
    <definedName name="_Order1" hidden="1">255</definedName>
    <definedName name="_RA2004">#REF!</definedName>
    <definedName name="_RC101">#REF!</definedName>
    <definedName name="_RC201">#REF!</definedName>
    <definedName name="_RC401">#REF!</definedName>
    <definedName name="_RC501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djAvg">#REF!</definedName>
    <definedName name="anscount" hidden="1">1</definedName>
    <definedName name="AvgRate">#REF!</definedName>
    <definedName name="Base">#REF!</definedName>
    <definedName name="BGS_Auction_Cost">[1]Assumptions!#REF!</definedName>
    <definedName name="BGS_Forecast">[2]Assumptions!#REF!</definedName>
    <definedName name="BGS_Rate">#REF!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'[3]Prior Month Billed'!$E$8:$E$45</definedName>
    <definedName name="BilledLMSales">'[3]Prior Month Billed'!$D$8:$D$45</definedName>
    <definedName name="BilledLMWalkCode">'[3]Prior Month Billed'!$C$8:$C$45</definedName>
    <definedName name="BilledLYTDRev">'[4]Prior YTD Billed'!$E$8:$E$991</definedName>
    <definedName name="BilledLYTDSales">'[4]Prior YTD Billed'!$D$8:$D$991</definedName>
    <definedName name="BilledLYTDWalkCode">'[4]Prior YTD Billed'!$B$8:$B$991</definedName>
    <definedName name="BilledSC">#REF!</definedName>
    <definedName name="BilledTMRev">'[3]Curr Month Billed'!$E$8:$E$45</definedName>
    <definedName name="BilledTMSales">'[3]Curr Month Billed'!$D$8:$D$45</definedName>
    <definedName name="BilledTMWalkCode">'[3]Curr Month Billed'!$C$8:$C$45</definedName>
    <definedName name="BilledTYTDRev">'[4]Curr YTD Billed'!$E$8:$E$1010</definedName>
    <definedName name="BilledTYTDSales">'[4]Curr YTD Billed'!$D$8:$D$1010</definedName>
    <definedName name="BilledTYTDWalkCode">'[4]Curr YTD Billed'!$C$8:$C$1010</definedName>
    <definedName name="Black_Box">[5]Assumptions!$E$41</definedName>
    <definedName name="BLE_Close_Date">[6]Assumptions!$E$16</definedName>
    <definedName name="BLE_Resid">[6]Assumptions!$E$20</definedName>
    <definedName name="BLE_Strand">'[1]TBC Rate Summary'!$B$32:$H$214</definedName>
    <definedName name="BLEwd">[6]Assumptions!$E$19</definedName>
    <definedName name="BPU_Assessment">[7]Assumptions!$E$39</definedName>
    <definedName name="CBT">#REF!</definedName>
    <definedName name="CEP">[2]Assumptions!#REF!</definedName>
    <definedName name="CEP_Amortization">#REF!</definedName>
    <definedName name="Co_letter">#REF!</definedName>
    <definedName name="Co_List">#REF!</definedName>
    <definedName name="Co_Name">#REF!</definedName>
    <definedName name="Co_Picked">#REF!</definedName>
    <definedName name="COGEN">'[8]October Tariff kwh'!$A$1:$H$83</definedName>
    <definedName name="CombRate">#REF!</definedName>
    <definedName name="Composite_Tax_Rate">[7]Assumptions!$E$31</definedName>
    <definedName name="currentedc">[9]FMPI!$H$8</definedName>
    <definedName name="Curve_Date">[2]Assumptions!#REF!</definedName>
    <definedName name="Cust">[10]Curst882!$C$1:$C$65536</definedName>
    <definedName name="CustLMAccts">'[3]Prior Month Cust'!$D$8:$D$37</definedName>
    <definedName name="CustLMWalkCode">'[3]Prior Month Cust'!$C$8:$C$37</definedName>
    <definedName name="CustTMAccts">'[3]Curr Month Cust'!$D$8:$D$37</definedName>
    <definedName name="CustTMWalkCode">'[3]Curr Month Cust'!$C$8:$C$37</definedName>
    <definedName name="DataTable">#REF!</definedName>
    <definedName name="Decommissioning_Rate">#REF!</definedName>
    <definedName name="Deferral_Interest_Rate">[7]Assumptions!$F$7</definedName>
    <definedName name="Deferral_Recovery">'[6]JFJ-1 Deferral Recovery Rate'!$A$15:$I$101</definedName>
    <definedName name="Deferral_Sec_Date">[6]Assumptions!$E$14</definedName>
    <definedName name="Distribution_Rate_Adjustment">#REF!</definedName>
    <definedName name="DSM_Rate">#REF!</definedName>
    <definedName name="DSSAC">#REF!</definedName>
    <definedName name="ECA">#REF!</definedName>
    <definedName name="FB_CUSTOMERS">#REF!</definedName>
    <definedName name="FB_LINES">#REF!</definedName>
    <definedName name="FCA">#REF!</definedName>
    <definedName name="Federal_Tax_Rate">[6]Assumptions!$E$31</definedName>
    <definedName name="FilterBilled2">#REF!</definedName>
    <definedName name="Formulas8B22">#REF!</definedName>
    <definedName name="Fossil_BGS">[6]Assumptions!$E$38</definedName>
    <definedName name="Fossil_Divest">[7]Assumptions!#REF!</definedName>
    <definedName name="Fossil_Secur_Date">[1]Assumptions!$E$12</definedName>
    <definedName name="Get_Co">#REF!</definedName>
    <definedName name="Get_Mo">#REF!</definedName>
    <definedName name="goaway" hidden="1">{#N/A,#N/A,TRUE,"TAXPROV";#N/A,#N/A,TRUE,"FLOWTHRU";#N/A,#N/A,TRUE,"SCHEDULE M'S";#N/A,#N/A,TRUE,"PLANT M'S";#N/A,#N/A,TRUE,"TAXJE"}</definedName>
    <definedName name="GPURS">#REF!</definedName>
    <definedName name="GRT">#REF!</definedName>
    <definedName name="h">#REF!</definedName>
    <definedName name="HrsUse">#REF!</definedName>
    <definedName name="Include_OTRA_Kwhrs">[11]Inputs!#REF!</definedName>
    <definedName name="IncRate">#REF!</definedName>
    <definedName name="Key">[10]Curst882!$D$1:$D$65536</definedName>
    <definedName name="KeyCon_Close_Date">[6]Assumptions!$E$17</definedName>
    <definedName name="limcount" hidden="1">1</definedName>
    <definedName name="LMP">'[6]2002 - 2007 BGS FP Costs'!$B$150:$Q$245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ddletown">#REF!</definedName>
    <definedName name="MILESTONES_1">#REF!</definedName>
    <definedName name="MILESTONES_2">#REF!</definedName>
    <definedName name="Mo_List">#REF!</definedName>
    <definedName name="Mo_Picked">#REF!</definedName>
    <definedName name="ModelConstant">#REF!</definedName>
    <definedName name="ModelSC">#REF!</definedName>
    <definedName name="ModelSWdiff">#REF!</definedName>
    <definedName name="ModelVol">#REF!</definedName>
    <definedName name="month">'[12]Monthly Bill Data'!$A$49:$M$102</definedName>
    <definedName name="month1">'[12]Monthly Bill Data'!$AC$49:$AO$102</definedName>
    <definedName name="MTC">'[7]MTC Deferral'!$P$6:$CI$169</definedName>
    <definedName name="MTC_Type">#REF!</definedName>
    <definedName name="New">#REF!</definedName>
    <definedName name="newCBT">#REF!</definedName>
    <definedName name="newDataTable">#REF!</definedName>
    <definedName name="newTEFA">#REF!</definedName>
    <definedName name="NUGS">'[7]NNC Deferral'!$AD$7:$CW$42</definedName>
    <definedName name="o">#REF!</definedName>
    <definedName name="opnrg3yr">[9]Monthly!$G$43</definedName>
    <definedName name="opnrgcst3yr">[9]Monthly!$J$43</definedName>
    <definedName name="PAGE1">#REF!</definedName>
    <definedName name="PAGE2">#REF!</definedName>
    <definedName name="PAGE4">#REF!</definedName>
    <definedName name="PAGE5">#REF!</definedName>
    <definedName name="pension">#REF!</definedName>
    <definedName name="PJMISO">#REF!</definedName>
    <definedName name="pknrg3yr">[9]Monthly!$B$43</definedName>
    <definedName name="pknrgcst3yr">[9]Monthly!$E$43</definedName>
    <definedName name="POLR">#REF!</definedName>
    <definedName name="PostTransReturn">[6]Assumptions!$D$58</definedName>
    <definedName name="PPACOST">'[2]BGS Deferral'!#REF!</definedName>
    <definedName name="PreTaxDebt">[6]Assumptions!$F$63</definedName>
    <definedName name="PriceModel">#REF!</definedName>
    <definedName name="PricePerSales">IF('[3]Curr Month Billed'!XFD1=0,"",ROUND('[3]Curr Month Billed'!XFD1/'[3]Curr Month Billed'!XFC1,4))</definedName>
    <definedName name="PricePerSalesInput">IF('[3]Billed Input Sheet'!XFD1=0,"",ROUND('[3]Billed Input Sheet'!XFD1/'[3]Billed Input Sheet'!XFC1,4))</definedName>
    <definedName name="_xlnm.Print_Area" localSheetId="0">'BGS Cost &amp; Bid Factors'!$A$1:$J$480</definedName>
    <definedName name="_xlnm.Print_Area" localSheetId="2">'Rate Calculations'!$A$1:$J$204</definedName>
    <definedName name="_xlnm.Print_Area" localSheetId="1">'Weighted Avg Price Calc'!$A$1:$N$49</definedName>
    <definedName name="Print_Area_MI">#REF!</definedName>
    <definedName name="_xlnm.Print_Titles" localSheetId="2">'Rate Calculations'!$1:$4</definedName>
    <definedName name="Query1">#REF!</definedName>
    <definedName name="RA">#REF!</definedName>
    <definedName name="Rate_Cap_Off">[7]Assumptions!$E$35</definedName>
    <definedName name="Rate_Reduction_Factor">#REF!</definedName>
    <definedName name="Rates">#REF!</definedName>
    <definedName name="Recover">[5]Assumptions!$E$36</definedName>
    <definedName name="RESALE_CUSTOMERS">#REF!</definedName>
    <definedName name="RESALE_LINES">#REF!</definedName>
    <definedName name="Restructure_Amort">'[6]Restructuring Amort.'!$A$7:$V$105</definedName>
    <definedName name="RPA">[7]Assumptions!$E$46</definedName>
    <definedName name="Rpt_Mo">#REF!</definedName>
    <definedName name="s">#REF!</definedName>
    <definedName name="Sales">'[7]ACE 25 Year Sales Forecast'!$A$90:$EA$100</definedName>
    <definedName name="SBC">#REF!</definedName>
    <definedName name="SBC_Amort">'[7]SBC Over Recovery Amort'!$A$14:$F$67</definedName>
    <definedName name="SC">#REF!</definedName>
    <definedName name="SSA">[2]Assumptions!#REF!</definedName>
    <definedName name="State_Tax_Rate">[6]Assumptions!$E$30</definedName>
    <definedName name="SummerWinter">#REF!</definedName>
    <definedName name="SUT">#REF!</definedName>
    <definedName name="SW">#REF!</definedName>
    <definedName name="Swap_Amort">'[1]Keystone Swap Amort Sched'!$A$1:$F$241</definedName>
    <definedName name="Tacx_Factor">[6]Assumptions!$E$33</definedName>
    <definedName name="TaxBasis">[7]Assumptions!$E$42</definedName>
    <definedName name="TBC">#REF!</definedName>
    <definedName name="TBCtax">#REF!</definedName>
    <definedName name="TEFA">#REF!</definedName>
    <definedName name="TOTAL_CUSTOMERS">#REF!</definedName>
    <definedName name="TOTAL_LINES">#REF!</definedName>
    <definedName name="transco">#REF!</definedName>
    <definedName name="transcosts">[7]Assumptions!$E$43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'[3]LYM Unbilled Adjustments'!$E$8:$E$36</definedName>
    <definedName name="UnbilledAdjLMSales">'[3]LYM Unbilled Adjustments'!$D$8:$D$36</definedName>
    <definedName name="UnbilledAdjLMWalkCode">'[3]LYM Unbilled Adjustments'!$C$8:$C$36</definedName>
    <definedName name="UnbilledAdjTMRev">'[3]TYM Unbilled Adjustments'!$E$8:$E$36</definedName>
    <definedName name="UnbilledAdjTMSales">'[3]TYM Unbilled Adjustments'!$D$8:$D$36</definedName>
    <definedName name="UnbilledAdjTMWalkCode">'[3]TYM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'[3]Prior Month Unbilled'!$D$8:$D$43</definedName>
    <definedName name="UnbilledLMSales">'[3]Prior Month Unbilled'!$C$8:$C$43</definedName>
    <definedName name="UnbilledLMWalkCode">'[3]Prior Month Unbilled'!$B$8:$B$43</definedName>
    <definedName name="UnbilledTMRev">'[3]Curr Month Unbilled'!$D$8:$D$43</definedName>
    <definedName name="UnbilledTMSales">'[3]Curr Month Unbilled'!$C$8:$C$43</definedName>
    <definedName name="UnbilledTMWalkCode">'[3]Curr Month Unbilled'!$B$8:$B$43</definedName>
    <definedName name="ValidData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AGT." hidden="1">{"AGT",#N/A,FALSE,"Revenue"}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ettlement._.Analysis." hidden="1">{"Assumptions",#N/A,FALSE,"Assumptions";"2003 - 2007 Summary",#N/A,FALSE,"Income Statement";"Summary Deferral Forecast",#N/A,FALSE,"Deferral Forecast"}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Year">#REF!</definedName>
    <definedName name="Year1">#REF!</definedName>
    <definedName name="Year4BGS">[1]Assumptions!#REF!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9" i="3" l="1"/>
  <c r="U271" i="3"/>
  <c r="R271" i="3"/>
  <c r="J271" i="3"/>
  <c r="K271" i="3"/>
  <c r="M271" i="3" s="1"/>
  <c r="U270" i="3"/>
  <c r="R270" i="3"/>
  <c r="J270" i="3"/>
  <c r="K270" i="3"/>
  <c r="U269" i="3"/>
  <c r="R269" i="3"/>
  <c r="J269" i="3"/>
  <c r="K269" i="3"/>
  <c r="M269" i="3" s="1"/>
  <c r="U268" i="3"/>
  <c r="R268" i="3"/>
  <c r="J268" i="3"/>
  <c r="K268" i="3"/>
  <c r="U267" i="3"/>
  <c r="R267" i="3"/>
  <c r="J267" i="3"/>
  <c r="K267" i="3"/>
  <c r="M267" i="3" s="1"/>
  <c r="U266" i="3"/>
  <c r="R266" i="3"/>
  <c r="J266" i="3"/>
  <c r="K266" i="3"/>
  <c r="U265" i="3"/>
  <c r="R265" i="3"/>
  <c r="J265" i="3"/>
  <c r="K265" i="3"/>
  <c r="M265" i="3" s="1"/>
  <c r="U264" i="3"/>
  <c r="R264" i="3"/>
  <c r="J264" i="3"/>
  <c r="K264" i="3"/>
  <c r="U263" i="3"/>
  <c r="R263" i="3"/>
  <c r="O263" i="3"/>
  <c r="J263" i="3"/>
  <c r="K263" i="3"/>
  <c r="M263" i="3" s="1"/>
  <c r="U262" i="3"/>
  <c r="R262" i="3"/>
  <c r="J262" i="3"/>
  <c r="K262" i="3"/>
  <c r="U261" i="3"/>
  <c r="R261" i="3"/>
  <c r="O261" i="3"/>
  <c r="J261" i="3"/>
  <c r="K261" i="3"/>
  <c r="M261" i="3" s="1"/>
  <c r="B261" i="3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U260" i="3"/>
  <c r="U273" i="3" s="1"/>
  <c r="D283" i="3" s="1"/>
  <c r="E283" i="3" s="1"/>
  <c r="R260" i="3"/>
  <c r="K260" i="3"/>
  <c r="O260" i="3" s="1"/>
  <c r="J260" i="3"/>
  <c r="D273" i="3"/>
  <c r="D253" i="3"/>
  <c r="F252" i="3"/>
  <c r="E246" i="3"/>
  <c r="D246" i="3"/>
  <c r="F245" i="3"/>
  <c r="F244" i="3"/>
  <c r="G233" i="3"/>
  <c r="F233" i="3"/>
  <c r="E233" i="3"/>
  <c r="D233" i="3"/>
  <c r="C233" i="3"/>
  <c r="H232" i="3"/>
  <c r="G232" i="3"/>
  <c r="F232" i="3"/>
  <c r="E232" i="3"/>
  <c r="D232" i="3"/>
  <c r="C232" i="3"/>
  <c r="H231" i="3"/>
  <c r="G231" i="3"/>
  <c r="F231" i="3"/>
  <c r="E231" i="3"/>
  <c r="C231" i="3"/>
  <c r="H230" i="3"/>
  <c r="G230" i="3"/>
  <c r="F230" i="3"/>
  <c r="E230" i="3"/>
  <c r="C230" i="3"/>
  <c r="D229" i="3"/>
  <c r="G225" i="3"/>
  <c r="F225" i="3"/>
  <c r="E225" i="3"/>
  <c r="D225" i="3"/>
  <c r="C225" i="3"/>
  <c r="H224" i="3"/>
  <c r="G224" i="3"/>
  <c r="F224" i="3"/>
  <c r="E224" i="3"/>
  <c r="D224" i="3"/>
  <c r="C224" i="3"/>
  <c r="H223" i="3"/>
  <c r="G223" i="3"/>
  <c r="F223" i="3"/>
  <c r="E223" i="3"/>
  <c r="D223" i="3"/>
  <c r="H222" i="3"/>
  <c r="G222" i="3"/>
  <c r="F222" i="3"/>
  <c r="E222" i="3"/>
  <c r="D222" i="3"/>
  <c r="H221" i="3"/>
  <c r="G221" i="3"/>
  <c r="F221" i="3"/>
  <c r="E221" i="3"/>
  <c r="D221" i="3"/>
  <c r="H220" i="3"/>
  <c r="G220" i="3"/>
  <c r="F220" i="3"/>
  <c r="E220" i="3"/>
  <c r="C220" i="3"/>
  <c r="H219" i="3"/>
  <c r="G219" i="3"/>
  <c r="F219" i="3"/>
  <c r="E219" i="3"/>
  <c r="C219" i="3"/>
  <c r="D218" i="3"/>
  <c r="H211" i="3"/>
  <c r="H210" i="3"/>
  <c r="H209" i="3"/>
  <c r="G209" i="3"/>
  <c r="F209" i="3"/>
  <c r="E209" i="3"/>
  <c r="D209" i="3"/>
  <c r="C209" i="3"/>
  <c r="D190" i="3"/>
  <c r="H167" i="3"/>
  <c r="G167" i="3"/>
  <c r="F167" i="3"/>
  <c r="E167" i="3"/>
  <c r="D167" i="3"/>
  <c r="C167" i="3"/>
  <c r="H118" i="3"/>
  <c r="G118" i="3"/>
  <c r="F118" i="3"/>
  <c r="E118" i="3"/>
  <c r="D118" i="3"/>
  <c r="C118" i="3"/>
  <c r="D100" i="3"/>
  <c r="H78" i="3"/>
  <c r="G78" i="3"/>
  <c r="F78" i="3"/>
  <c r="E78" i="3"/>
  <c r="D78" i="3"/>
  <c r="C78" i="3"/>
  <c r="H55" i="3"/>
  <c r="H208" i="3" s="1"/>
  <c r="G55" i="3"/>
  <c r="G208" i="3" s="1"/>
  <c r="F55" i="3"/>
  <c r="F208" i="3" s="1"/>
  <c r="E55" i="3"/>
  <c r="E208" i="3" s="1"/>
  <c r="D55" i="3"/>
  <c r="D208" i="3" s="1"/>
  <c r="C55" i="3"/>
  <c r="C208" i="3" s="1"/>
  <c r="L49" i="3"/>
  <c r="L48" i="3"/>
  <c r="H40" i="3"/>
  <c r="H39" i="3"/>
  <c r="J37" i="3"/>
  <c r="I37" i="3"/>
  <c r="H37" i="3"/>
  <c r="C33" i="3"/>
  <c r="D33" i="3" s="1"/>
  <c r="G12" i="3"/>
  <c r="F12" i="3"/>
  <c r="E12" i="3"/>
  <c r="D12" i="3"/>
  <c r="C12" i="3"/>
  <c r="A2" i="3"/>
  <c r="I40" i="2"/>
  <c r="D39" i="2"/>
  <c r="D23" i="2"/>
  <c r="D22" i="2"/>
  <c r="I10" i="2"/>
  <c r="G9" i="2"/>
  <c r="E6" i="2"/>
  <c r="D6" i="2"/>
  <c r="A2" i="2"/>
  <c r="H586" i="1"/>
  <c r="G586" i="1"/>
  <c r="F586" i="1"/>
  <c r="E586" i="1"/>
  <c r="D586" i="1"/>
  <c r="C586" i="1"/>
  <c r="H575" i="1"/>
  <c r="G575" i="1"/>
  <c r="F575" i="1"/>
  <c r="E575" i="1"/>
  <c r="D575" i="1"/>
  <c r="C575" i="1"/>
  <c r="G561" i="1"/>
  <c r="F561" i="1"/>
  <c r="E561" i="1"/>
  <c r="D561" i="1"/>
  <c r="C561" i="1"/>
  <c r="H560" i="1"/>
  <c r="G560" i="1"/>
  <c r="F560" i="1"/>
  <c r="E560" i="1"/>
  <c r="D560" i="1"/>
  <c r="C560" i="1"/>
  <c r="H559" i="1"/>
  <c r="G559" i="1"/>
  <c r="F559" i="1"/>
  <c r="E559" i="1"/>
  <c r="C559" i="1"/>
  <c r="H558" i="1"/>
  <c r="G558" i="1"/>
  <c r="F558" i="1"/>
  <c r="E558" i="1"/>
  <c r="C558" i="1"/>
  <c r="D557" i="1"/>
  <c r="G554" i="1"/>
  <c r="F554" i="1"/>
  <c r="E554" i="1"/>
  <c r="D554" i="1"/>
  <c r="C554" i="1"/>
  <c r="H553" i="1"/>
  <c r="G553" i="1"/>
  <c r="F553" i="1"/>
  <c r="E553" i="1"/>
  <c r="D553" i="1"/>
  <c r="C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549" i="1"/>
  <c r="G549" i="1"/>
  <c r="F549" i="1"/>
  <c r="E549" i="1"/>
  <c r="C549" i="1"/>
  <c r="H548" i="1"/>
  <c r="G548" i="1"/>
  <c r="F548" i="1"/>
  <c r="E548" i="1"/>
  <c r="C548" i="1"/>
  <c r="D547" i="1"/>
  <c r="H491" i="1"/>
  <c r="H537" i="1" s="1"/>
  <c r="G491" i="1"/>
  <c r="G537" i="1" s="1"/>
  <c r="F491" i="1"/>
  <c r="F537" i="1" s="1"/>
  <c r="E491" i="1"/>
  <c r="E537" i="1" s="1"/>
  <c r="D491" i="1"/>
  <c r="D537" i="1" s="1"/>
  <c r="C491" i="1"/>
  <c r="C537" i="1" s="1"/>
  <c r="C474" i="1"/>
  <c r="C473" i="1"/>
  <c r="C472" i="1"/>
  <c r="C468" i="1"/>
  <c r="C467" i="1"/>
  <c r="C466" i="1"/>
  <c r="M465" i="1"/>
  <c r="M466" i="1" s="1"/>
  <c r="E447" i="1" s="1"/>
  <c r="G459" i="1" s="1"/>
  <c r="G461" i="1"/>
  <c r="P457" i="1"/>
  <c r="Q456" i="1"/>
  <c r="Q455" i="1"/>
  <c r="Q454" i="1"/>
  <c r="Q453" i="1"/>
  <c r="Q452" i="1"/>
  <c r="R451" i="1"/>
  <c r="R450" i="1"/>
  <c r="R449" i="1"/>
  <c r="D449" i="1"/>
  <c r="G420" i="1"/>
  <c r="F420" i="1"/>
  <c r="G419" i="1"/>
  <c r="F419" i="1"/>
  <c r="F418" i="1"/>
  <c r="I418" i="1" s="1"/>
  <c r="G417" i="1"/>
  <c r="D417" i="1"/>
  <c r="E417" i="1" s="1"/>
  <c r="J417" i="1" s="1"/>
  <c r="G416" i="1"/>
  <c r="D416" i="1"/>
  <c r="E416" i="1"/>
  <c r="G415" i="1"/>
  <c r="E414" i="1"/>
  <c r="J414" i="1" s="1"/>
  <c r="D415" i="1"/>
  <c r="D413" i="1"/>
  <c r="E413" i="1" s="1"/>
  <c r="J413" i="1" s="1"/>
  <c r="G412" i="1"/>
  <c r="F412" i="1"/>
  <c r="G411" i="1"/>
  <c r="F411" i="1"/>
  <c r="F410" i="1"/>
  <c r="I410" i="1" s="1"/>
  <c r="I409" i="1"/>
  <c r="G413" i="1"/>
  <c r="F413" i="1"/>
  <c r="I413" i="1" s="1"/>
  <c r="H383" i="1"/>
  <c r="G383" i="1"/>
  <c r="F383" i="1"/>
  <c r="E383" i="1"/>
  <c r="D383" i="1"/>
  <c r="C383" i="1"/>
  <c r="H361" i="1"/>
  <c r="G361" i="1"/>
  <c r="F361" i="1"/>
  <c r="E361" i="1"/>
  <c r="D361" i="1"/>
  <c r="C361" i="1"/>
  <c r="C346" i="1"/>
  <c r="D346" i="1" s="1"/>
  <c r="G325" i="1"/>
  <c r="F325" i="1"/>
  <c r="E325" i="1"/>
  <c r="D325" i="1"/>
  <c r="C325" i="1"/>
  <c r="J296" i="1"/>
  <c r="J350" i="1" s="1"/>
  <c r="I296" i="1"/>
  <c r="I350" i="1" s="1"/>
  <c r="C292" i="1"/>
  <c r="G271" i="1"/>
  <c r="F271" i="1"/>
  <c r="E271" i="1"/>
  <c r="D271" i="1"/>
  <c r="C271" i="1"/>
  <c r="C253" i="1"/>
  <c r="D253" i="1" s="1"/>
  <c r="G231" i="1"/>
  <c r="F231" i="1"/>
  <c r="E231" i="1"/>
  <c r="D231" i="1"/>
  <c r="C231" i="1"/>
  <c r="L217" i="1"/>
  <c r="L211" i="1"/>
  <c r="G206" i="1"/>
  <c r="H263" i="1" s="1"/>
  <c r="C196" i="1"/>
  <c r="G179" i="1"/>
  <c r="F179" i="1"/>
  <c r="E179" i="1"/>
  <c r="D179" i="1"/>
  <c r="C179" i="1"/>
  <c r="G165" i="1"/>
  <c r="F165" i="1"/>
  <c r="E165" i="1"/>
  <c r="D165" i="1"/>
  <c r="C165" i="1"/>
  <c r="C158" i="1"/>
  <c r="C154" i="1"/>
  <c r="E147" i="1"/>
  <c r="H146" i="1"/>
  <c r="E145" i="1"/>
  <c r="E144" i="1"/>
  <c r="I141" i="1"/>
  <c r="L137" i="1"/>
  <c r="H137" i="1"/>
  <c r="G137" i="1"/>
  <c r="F137" i="1"/>
  <c r="E137" i="1"/>
  <c r="D137" i="1"/>
  <c r="C137" i="1"/>
  <c r="L136" i="1"/>
  <c r="L133" i="1" s="1"/>
  <c r="B136" i="1"/>
  <c r="H122" i="1"/>
  <c r="G122" i="1"/>
  <c r="F122" i="1"/>
  <c r="E122" i="1"/>
  <c r="D122" i="1"/>
  <c r="C122" i="1"/>
  <c r="H104" i="1"/>
  <c r="G104" i="1"/>
  <c r="F104" i="1"/>
  <c r="E104" i="1"/>
  <c r="D104" i="1"/>
  <c r="C104" i="1"/>
  <c r="H86" i="1"/>
  <c r="G86" i="1"/>
  <c r="F86" i="1"/>
  <c r="E86" i="1"/>
  <c r="D86" i="1"/>
  <c r="C86" i="1"/>
  <c r="S78" i="1"/>
  <c r="S77" i="1"/>
  <c r="H76" i="1"/>
  <c r="G76" i="1"/>
  <c r="F76" i="1"/>
  <c r="E76" i="1"/>
  <c r="D76" i="1"/>
  <c r="C76" i="1"/>
  <c r="S60" i="1"/>
  <c r="S71" i="1" s="1"/>
  <c r="S66" i="1"/>
  <c r="P48" i="1"/>
  <c r="M48" i="1"/>
  <c r="S62" i="1"/>
  <c r="M44" i="1"/>
  <c r="P44" i="1"/>
  <c r="F56" i="1"/>
  <c r="D56" i="1"/>
  <c r="Q42" i="1"/>
  <c r="P42" i="1"/>
  <c r="O42" i="1"/>
  <c r="N42" i="1"/>
  <c r="M42" i="1"/>
  <c r="L42" i="1"/>
  <c r="H42" i="1"/>
  <c r="G42" i="1"/>
  <c r="F42" i="1"/>
  <c r="E42" i="1"/>
  <c r="D42" i="1"/>
  <c r="C42" i="1"/>
  <c r="B41" i="1"/>
  <c r="M37" i="1"/>
  <c r="M36" i="1"/>
  <c r="M35" i="1"/>
  <c r="M34" i="1"/>
  <c r="M33" i="1"/>
  <c r="S67" i="1"/>
  <c r="T67" i="1" s="1"/>
  <c r="M31" i="1"/>
  <c r="M30" i="1"/>
  <c r="M29" i="1"/>
  <c r="M28" i="1"/>
  <c r="M27" i="1"/>
  <c r="M26" i="1"/>
  <c r="S63" i="1"/>
  <c r="Q24" i="1"/>
  <c r="P24" i="1"/>
  <c r="O24" i="1"/>
  <c r="N24" i="1"/>
  <c r="M24" i="1"/>
  <c r="L24" i="1"/>
  <c r="H24" i="1"/>
  <c r="G24" i="1"/>
  <c r="F24" i="1"/>
  <c r="E24" i="1"/>
  <c r="D24" i="1"/>
  <c r="C24" i="1"/>
  <c r="M23" i="1"/>
  <c r="L19" i="1"/>
  <c r="Q19" i="1"/>
  <c r="G19" i="1"/>
  <c r="P19" i="1" s="1"/>
  <c r="N19" i="1"/>
  <c r="M19" i="1"/>
  <c r="Q18" i="1"/>
  <c r="M18" i="1"/>
  <c r="L18" i="1"/>
  <c r="G18" i="1"/>
  <c r="P18" i="1" s="1"/>
  <c r="N18" i="1"/>
  <c r="P17" i="1"/>
  <c r="L17" i="1"/>
  <c r="Q17" i="1"/>
  <c r="G17" i="1"/>
  <c r="N17" i="1"/>
  <c r="M17" i="1"/>
  <c r="Q16" i="1"/>
  <c r="M16" i="1"/>
  <c r="L16" i="1"/>
  <c r="G16" i="1"/>
  <c r="P16" i="1" s="1"/>
  <c r="N16" i="1"/>
  <c r="L15" i="1"/>
  <c r="Q15" i="1"/>
  <c r="G15" i="1"/>
  <c r="P15" i="1" s="1"/>
  <c r="N15" i="1"/>
  <c r="M15" i="1"/>
  <c r="Q14" i="1"/>
  <c r="M14" i="1"/>
  <c r="L14" i="1"/>
  <c r="G14" i="1"/>
  <c r="P14" i="1" s="1"/>
  <c r="N14" i="1"/>
  <c r="L13" i="1"/>
  <c r="G13" i="1"/>
  <c r="P13" i="1" s="1"/>
  <c r="Q12" i="1"/>
  <c r="M12" i="1"/>
  <c r="L12" i="1"/>
  <c r="G12" i="1"/>
  <c r="P12" i="1" s="1"/>
  <c r="N12" i="1"/>
  <c r="L11" i="1"/>
  <c r="Q11" i="1"/>
  <c r="G11" i="1"/>
  <c r="P11" i="1" s="1"/>
  <c r="N11" i="1"/>
  <c r="M11" i="1"/>
  <c r="Q10" i="1"/>
  <c r="M10" i="1"/>
  <c r="L10" i="1"/>
  <c r="G10" i="1"/>
  <c r="P10" i="1" s="1"/>
  <c r="N10" i="1"/>
  <c r="P9" i="1"/>
  <c r="L9" i="1"/>
  <c r="Q9" i="1"/>
  <c r="G9" i="1"/>
  <c r="N9" i="1"/>
  <c r="M9" i="1"/>
  <c r="Q8" i="1"/>
  <c r="M8" i="1"/>
  <c r="L8" i="1"/>
  <c r="G8" i="1"/>
  <c r="Q6" i="1"/>
  <c r="P6" i="1"/>
  <c r="O6" i="1"/>
  <c r="N6" i="1"/>
  <c r="M6" i="1"/>
  <c r="L6" i="1"/>
  <c r="L4" i="1"/>
  <c r="D3" i="1"/>
  <c r="B1" i="1"/>
  <c r="T63" i="1" l="1"/>
  <c r="Q457" i="1"/>
  <c r="S457" i="1" s="1"/>
  <c r="S84" i="1"/>
  <c r="J416" i="1"/>
  <c r="O265" i="3"/>
  <c r="R457" i="1"/>
  <c r="D24" i="2"/>
  <c r="L50" i="3"/>
  <c r="S92" i="1"/>
  <c r="S64" i="1"/>
  <c r="D167" i="1"/>
  <c r="S75" i="1"/>
  <c r="M49" i="1"/>
  <c r="M50" i="1" s="1"/>
  <c r="S73" i="1"/>
  <c r="F167" i="1"/>
  <c r="O8" i="1"/>
  <c r="O10" i="1"/>
  <c r="O12" i="1"/>
  <c r="Q13" i="1"/>
  <c r="O18" i="1"/>
  <c r="M32" i="1"/>
  <c r="S68" i="1" s="1"/>
  <c r="L48" i="1"/>
  <c r="O48" i="1"/>
  <c r="S74" i="1"/>
  <c r="T78" i="1"/>
  <c r="D418" i="1"/>
  <c r="E418" i="1" s="1"/>
  <c r="D410" i="1"/>
  <c r="E410" i="1" s="1"/>
  <c r="D419" i="1"/>
  <c r="D411" i="1"/>
  <c r="M264" i="3"/>
  <c r="O264" i="3"/>
  <c r="P8" i="1"/>
  <c r="N13" i="1"/>
  <c r="M13" i="1"/>
  <c r="C56" i="1"/>
  <c r="C167" i="1" s="1"/>
  <c r="M45" i="1"/>
  <c r="M46" i="1" s="1"/>
  <c r="E409" i="1"/>
  <c r="J409" i="1" s="1"/>
  <c r="I412" i="1"/>
  <c r="E415" i="1"/>
  <c r="J415" i="1" s="1"/>
  <c r="E420" i="1"/>
  <c r="J420" i="1" s="1"/>
  <c r="I420" i="1"/>
  <c r="J429" i="1"/>
  <c r="M266" i="3"/>
  <c r="O266" i="3"/>
  <c r="M270" i="3"/>
  <c r="O270" i="3"/>
  <c r="N8" i="1"/>
  <c r="O44" i="1"/>
  <c r="C451" i="1"/>
  <c r="D451" i="1" s="1"/>
  <c r="F451" i="1" s="1"/>
  <c r="M262" i="3"/>
  <c r="O262" i="3"/>
  <c r="M268" i="3"/>
  <c r="O268" i="3"/>
  <c r="O14" i="1"/>
  <c r="O16" i="1"/>
  <c r="G56" i="1"/>
  <c r="G167" i="1" s="1"/>
  <c r="O9" i="1"/>
  <c r="O11" i="1"/>
  <c r="O13" i="1"/>
  <c r="O15" i="1"/>
  <c r="O17" i="1"/>
  <c r="O19" i="1"/>
  <c r="L44" i="1"/>
  <c r="L138" i="1"/>
  <c r="E411" i="1"/>
  <c r="J411" i="1" s="1"/>
  <c r="I411" i="1"/>
  <c r="D412" i="1"/>
  <c r="E412" i="1" s="1"/>
  <c r="J412" i="1" s="1"/>
  <c r="F416" i="1"/>
  <c r="I416" i="1" s="1"/>
  <c r="I414" i="1"/>
  <c r="F417" i="1"/>
  <c r="I417" i="1" s="1"/>
  <c r="F415" i="1"/>
  <c r="I415" i="1" s="1"/>
  <c r="E419" i="1"/>
  <c r="J419" i="1" s="1"/>
  <c r="I419" i="1"/>
  <c r="D420" i="1"/>
  <c r="E28" i="2"/>
  <c r="E27" i="2"/>
  <c r="D27" i="2"/>
  <c r="D28" i="2"/>
  <c r="E253" i="3"/>
  <c r="F251" i="3"/>
  <c r="F253" i="3" s="1"/>
  <c r="K273" i="3"/>
  <c r="M260" i="3"/>
  <c r="R273" i="3"/>
  <c r="I139" i="1"/>
  <c r="G410" i="1"/>
  <c r="G418" i="1"/>
  <c r="D447" i="1"/>
  <c r="F449" i="1" s="1"/>
  <c r="F461" i="1"/>
  <c r="E39" i="2"/>
  <c r="G39" i="2" s="1"/>
  <c r="F246" i="3"/>
  <c r="D285" i="3"/>
  <c r="E279" i="3"/>
  <c r="J273" i="3"/>
  <c r="D280" i="3" s="1"/>
  <c r="E280" i="3" s="1"/>
  <c r="H273" i="3"/>
  <c r="O267" i="3"/>
  <c r="O269" i="3"/>
  <c r="O271" i="3"/>
  <c r="J418" i="1" l="1"/>
  <c r="E29" i="2"/>
  <c r="M273" i="3"/>
  <c r="D281" i="3" s="1"/>
  <c r="E281" i="3" s="1"/>
  <c r="C465" i="1"/>
  <c r="D150" i="1"/>
  <c r="L52" i="1"/>
  <c r="L53" i="1" s="1"/>
  <c r="D183" i="3"/>
  <c r="D195" i="3" s="1"/>
  <c r="D93" i="3"/>
  <c r="D182" i="3"/>
  <c r="C599" i="1"/>
  <c r="F425" i="1"/>
  <c r="C598" i="1"/>
  <c r="J428" i="1"/>
  <c r="F459" i="1"/>
  <c r="D94" i="3" s="1"/>
  <c r="D104" i="3" s="1"/>
  <c r="O273" i="3"/>
  <c r="S87" i="1"/>
  <c r="T74" i="1"/>
  <c r="D29" i="2"/>
  <c r="C464" i="1"/>
  <c r="D149" i="1"/>
  <c r="E45" i="2"/>
  <c r="S79" i="1"/>
  <c r="J410" i="1"/>
  <c r="H461" i="1" l="1"/>
  <c r="D161" i="1" s="1"/>
  <c r="C469" i="1" s="1"/>
  <c r="H439" i="1"/>
  <c r="D73" i="1" s="1"/>
  <c r="H438" i="1"/>
  <c r="D72" i="1" s="1"/>
  <c r="H437" i="1"/>
  <c r="D71" i="1" s="1"/>
  <c r="H436" i="1"/>
  <c r="D70" i="1" s="1"/>
  <c r="H435" i="1"/>
  <c r="D69" i="1" s="1"/>
  <c r="H434" i="1"/>
  <c r="D68" i="1" s="1"/>
  <c r="H433" i="1"/>
  <c r="G432" i="1"/>
  <c r="C66" i="1" s="1"/>
  <c r="G431" i="1"/>
  <c r="C65" i="1" s="1"/>
  <c r="H429" i="1"/>
  <c r="D63" i="1" s="1"/>
  <c r="G437" i="1"/>
  <c r="C71" i="1" s="1"/>
  <c r="G433" i="1"/>
  <c r="H431" i="1"/>
  <c r="D65" i="1" s="1"/>
  <c r="H430" i="1"/>
  <c r="D64" i="1" s="1"/>
  <c r="H428" i="1"/>
  <c r="G438" i="1"/>
  <c r="C72" i="1" s="1"/>
  <c r="G434" i="1"/>
  <c r="C68" i="1" s="1"/>
  <c r="H432" i="1"/>
  <c r="D66" i="1" s="1"/>
  <c r="G430" i="1"/>
  <c r="C64" i="1" s="1"/>
  <c r="G428" i="1"/>
  <c r="G439" i="1"/>
  <c r="C73" i="1" s="1"/>
  <c r="G435" i="1"/>
  <c r="C69" i="1" s="1"/>
  <c r="G429" i="1"/>
  <c r="C63" i="1" s="1"/>
  <c r="G436" i="1"/>
  <c r="C70" i="1" s="1"/>
  <c r="G172" i="1"/>
  <c r="C172" i="1"/>
  <c r="F172" i="1"/>
  <c r="I150" i="1"/>
  <c r="D172" i="1"/>
  <c r="P214" i="1"/>
  <c r="I149" i="1"/>
  <c r="G171" i="1"/>
  <c r="D170" i="1"/>
  <c r="F171" i="1"/>
  <c r="C170" i="1"/>
  <c r="G170" i="1"/>
  <c r="F170" i="1"/>
  <c r="D171" i="1"/>
  <c r="C171" i="1"/>
  <c r="P213" i="1"/>
  <c r="C600" i="1"/>
  <c r="D103" i="3"/>
  <c r="D105" i="3" s="1"/>
  <c r="D95" i="3"/>
  <c r="I53" i="1"/>
  <c r="D184" i="3"/>
  <c r="D194" i="3"/>
  <c r="D196" i="3" s="1"/>
  <c r="I52" i="1"/>
  <c r="I51" i="1"/>
  <c r="D282" i="3"/>
  <c r="N273" i="3"/>
  <c r="I47" i="1"/>
  <c r="I50" i="1" l="1"/>
  <c r="E282" i="3"/>
  <c r="E284" i="3" s="1"/>
  <c r="D284" i="3"/>
  <c r="D286" i="3" s="1"/>
  <c r="E40" i="2" s="1"/>
  <c r="I45" i="1"/>
  <c r="R429" i="1"/>
  <c r="R432" i="1"/>
  <c r="D62" i="1"/>
  <c r="R428" i="1"/>
  <c r="D67" i="1"/>
  <c r="N48" i="1"/>
  <c r="E171" i="1"/>
  <c r="Q432" i="1"/>
  <c r="S432" i="1" s="1"/>
  <c r="Q429" i="1"/>
  <c r="C62" i="1"/>
  <c r="C67" i="1"/>
  <c r="E89" i="1" s="1"/>
  <c r="E107" i="1" s="1"/>
  <c r="Q428" i="1"/>
  <c r="I48" i="1"/>
  <c r="I54" i="1"/>
  <c r="I55" i="1"/>
  <c r="I46" i="1"/>
  <c r="P217" i="1"/>
  <c r="Q430" i="1" l="1"/>
  <c r="D93" i="1"/>
  <c r="C93" i="1"/>
  <c r="C111" i="1" s="1"/>
  <c r="F92" i="1"/>
  <c r="F110" i="1" s="1"/>
  <c r="F128" i="1" s="1"/>
  <c r="F188" i="1" s="1"/>
  <c r="G93" i="1"/>
  <c r="G111" i="1" s="1"/>
  <c r="F93" i="1"/>
  <c r="F111" i="1" s="1"/>
  <c r="G92" i="1"/>
  <c r="G110" i="1" s="1"/>
  <c r="G128" i="1" s="1"/>
  <c r="G188" i="1" s="1"/>
  <c r="C92" i="1"/>
  <c r="C110" i="1" s="1"/>
  <c r="C128" i="1" s="1"/>
  <c r="C188" i="1" s="1"/>
  <c r="D92" i="1"/>
  <c r="D110" i="1" s="1"/>
  <c r="D128" i="1" s="1"/>
  <c r="D188" i="1" s="1"/>
  <c r="R430" i="1"/>
  <c r="H89" i="1"/>
  <c r="H107" i="1" s="1"/>
  <c r="Q48" i="1"/>
  <c r="H88" i="1"/>
  <c r="H90" i="1"/>
  <c r="H108" i="1" s="1"/>
  <c r="I49" i="1"/>
  <c r="C94" i="1"/>
  <c r="C112" i="1" s="1"/>
  <c r="D94" i="1"/>
  <c r="F94" i="1"/>
  <c r="F112" i="1" s="1"/>
  <c r="E94" i="1"/>
  <c r="G94" i="1"/>
  <c r="G112" i="1" s="1"/>
  <c r="Q213" i="1"/>
  <c r="G89" i="1"/>
  <c r="G107" i="1" s="1"/>
  <c r="C88" i="1"/>
  <c r="C89" i="1"/>
  <c r="C107" i="1" s="1"/>
  <c r="D88" i="1"/>
  <c r="F88" i="1"/>
  <c r="D89" i="1"/>
  <c r="G88" i="1"/>
  <c r="F89" i="1"/>
  <c r="F107" i="1" s="1"/>
  <c r="G90" i="1"/>
  <c r="G108" i="1" s="1"/>
  <c r="C90" i="1"/>
  <c r="C108" i="1" s="1"/>
  <c r="D90" i="1"/>
  <c r="F90" i="1"/>
  <c r="F108" i="1" s="1"/>
  <c r="E88" i="1"/>
  <c r="E90" i="1"/>
  <c r="E108" i="1" s="1"/>
  <c r="C189" i="3"/>
  <c r="K40" i="2"/>
  <c r="C99" i="3"/>
  <c r="E43" i="2"/>
  <c r="E44" i="2" s="1"/>
  <c r="C98" i="3"/>
  <c r="E98" i="3" s="1"/>
  <c r="C188" i="3"/>
  <c r="E188" i="3" s="1"/>
  <c r="D106" i="1" l="1"/>
  <c r="D96" i="1"/>
  <c r="D280" i="1"/>
  <c r="D386" i="1" s="1"/>
  <c r="D364" i="1"/>
  <c r="D108" i="1"/>
  <c r="F280" i="1"/>
  <c r="F364" i="1"/>
  <c r="D125" i="1"/>
  <c r="D182" i="1" s="1"/>
  <c r="D107" i="1"/>
  <c r="S93" i="1"/>
  <c r="S94" i="1" s="1"/>
  <c r="D126" i="1" s="1"/>
  <c r="D183" i="1" s="1"/>
  <c r="C96" i="1"/>
  <c r="C106" i="1"/>
  <c r="E56" i="1"/>
  <c r="E112" i="1"/>
  <c r="N44" i="1"/>
  <c r="E92" i="1"/>
  <c r="E110" i="1" s="1"/>
  <c r="E128" i="1" s="1"/>
  <c r="E93" i="1"/>
  <c r="E111" i="1" s="1"/>
  <c r="E172" i="1"/>
  <c r="H106" i="1"/>
  <c r="G280" i="1"/>
  <c r="G364" i="1"/>
  <c r="E189" i="3"/>
  <c r="C190" i="3"/>
  <c r="G96" i="1"/>
  <c r="G106" i="1"/>
  <c r="C280" i="1"/>
  <c r="C364" i="1"/>
  <c r="C100" i="3"/>
  <c r="E99" i="3"/>
  <c r="E100" i="3" s="1"/>
  <c r="E106" i="1"/>
  <c r="E190" i="3"/>
  <c r="F106" i="1"/>
  <c r="F96" i="1"/>
  <c r="D112" i="1"/>
  <c r="D111" i="1"/>
  <c r="S88" i="1"/>
  <c r="S89" i="1" s="1"/>
  <c r="D129" i="1" s="1"/>
  <c r="D189" i="1" s="1"/>
  <c r="E96" i="1" l="1"/>
  <c r="D275" i="1"/>
  <c r="D281" i="1"/>
  <c r="D130" i="1"/>
  <c r="D190" i="1" s="1"/>
  <c r="Q44" i="1"/>
  <c r="H94" i="1"/>
  <c r="H112" i="1" s="1"/>
  <c r="H56" i="1"/>
  <c r="H93" i="1"/>
  <c r="H111" i="1" s="1"/>
  <c r="H92" i="1"/>
  <c r="C124" i="1"/>
  <c r="C114" i="1"/>
  <c r="D274" i="1"/>
  <c r="R213" i="1"/>
  <c r="S213" i="1" s="1"/>
  <c r="L213" i="1"/>
  <c r="U213" i="1"/>
  <c r="V213" i="1" s="1"/>
  <c r="M213" i="1" s="1"/>
  <c r="C386" i="1"/>
  <c r="I44" i="1"/>
  <c r="I56" i="1" s="1"/>
  <c r="F386" i="1"/>
  <c r="D124" i="1"/>
  <c r="D114" i="1"/>
  <c r="E124" i="1"/>
  <c r="E114" i="1"/>
  <c r="G386" i="1"/>
  <c r="F114" i="1"/>
  <c r="F124" i="1"/>
  <c r="G124" i="1"/>
  <c r="G114" i="1"/>
  <c r="H124" i="1"/>
  <c r="E167" i="1"/>
  <c r="E188" i="1" s="1"/>
  <c r="E170" i="1"/>
  <c r="E364" i="1" l="1"/>
  <c r="E280" i="1"/>
  <c r="C198" i="1"/>
  <c r="Q214" i="1"/>
  <c r="I259" i="1"/>
  <c r="I298" i="1" s="1"/>
  <c r="I352" i="1" s="1"/>
  <c r="N213" i="1"/>
  <c r="Z213" i="1" s="1"/>
  <c r="AA213" i="1" s="1"/>
  <c r="H213" i="1"/>
  <c r="H110" i="1"/>
  <c r="H96" i="1"/>
  <c r="C98" i="1" s="1"/>
  <c r="E181" i="1"/>
  <c r="E132" i="1"/>
  <c r="E192" i="1" s="1"/>
  <c r="D181" i="1"/>
  <c r="D132" i="1"/>
  <c r="D192" i="1" s="1"/>
  <c r="G181" i="1"/>
  <c r="G132" i="1"/>
  <c r="G192" i="1" s="1"/>
  <c r="F132" i="1"/>
  <c r="F192" i="1" s="1"/>
  <c r="F181" i="1"/>
  <c r="C181" i="1"/>
  <c r="C132" i="1"/>
  <c r="C192" i="1" s="1"/>
  <c r="D282" i="1"/>
  <c r="G363" i="1" l="1"/>
  <c r="G273" i="1"/>
  <c r="H128" i="1"/>
  <c r="H114" i="1"/>
  <c r="C116" i="1" s="1"/>
  <c r="C133" i="1" s="1"/>
  <c r="C294" i="1"/>
  <c r="E386" i="1"/>
  <c r="C273" i="1"/>
  <c r="C184" i="1"/>
  <c r="F363" i="1"/>
  <c r="F273" i="1"/>
  <c r="E273" i="1"/>
  <c r="E363" i="1"/>
  <c r="G284" i="1"/>
  <c r="D273" i="1"/>
  <c r="D385" i="1" s="1"/>
  <c r="D363" i="1"/>
  <c r="J259" i="1"/>
  <c r="J298" i="1" s="1"/>
  <c r="J352" i="1" s="1"/>
  <c r="I213" i="1"/>
  <c r="C284" i="1"/>
  <c r="E284" i="1"/>
  <c r="H500" i="1"/>
  <c r="I39" i="3"/>
  <c r="F284" i="1"/>
  <c r="D284" i="1"/>
  <c r="H64" i="3"/>
  <c r="H202" i="1"/>
  <c r="E365" i="1"/>
  <c r="E369" i="1" s="1"/>
  <c r="C238" i="1" l="1"/>
  <c r="C185" i="1"/>
  <c r="C239" i="1" s="1"/>
  <c r="H385" i="1"/>
  <c r="C305" i="1"/>
  <c r="R214" i="1"/>
  <c r="S214" i="1" s="1"/>
  <c r="L214" i="1"/>
  <c r="U214" i="1"/>
  <c r="V214" i="1" s="1"/>
  <c r="M214" i="1" s="1"/>
  <c r="J39" i="3"/>
  <c r="H501" i="1"/>
  <c r="H523" i="1" s="1"/>
  <c r="F385" i="1"/>
  <c r="G365" i="1"/>
  <c r="G369" i="1" s="1"/>
  <c r="D387" i="1"/>
  <c r="D391" i="1" s="1"/>
  <c r="H65" i="3"/>
  <c r="I202" i="1"/>
  <c r="E385" i="1"/>
  <c r="E387" i="1" s="1"/>
  <c r="E391" i="1" s="1"/>
  <c r="G385" i="1"/>
  <c r="H522" i="1"/>
  <c r="H554" i="1"/>
  <c r="D365" i="1"/>
  <c r="D369" i="1" s="1"/>
  <c r="E368" i="1"/>
  <c r="F365" i="1"/>
  <c r="F369" i="1" s="1"/>
  <c r="C276" i="1"/>
  <c r="C210" i="1"/>
  <c r="C202" i="1"/>
  <c r="H132" i="1"/>
  <c r="C206" i="1" s="1"/>
  <c r="F368" i="1" l="1"/>
  <c r="C363" i="1"/>
  <c r="C365" i="1" s="1"/>
  <c r="C369" i="1" s="1"/>
  <c r="D255" i="1"/>
  <c r="G368" i="1"/>
  <c r="N214" i="1"/>
  <c r="H214" i="1"/>
  <c r="I260" i="1"/>
  <c r="I299" i="1" s="1"/>
  <c r="I353" i="1" s="1"/>
  <c r="C372" i="1"/>
  <c r="C302" i="1"/>
  <c r="C332" i="1"/>
  <c r="C19" i="3" s="1"/>
  <c r="C277" i="1"/>
  <c r="C333" i="1" s="1"/>
  <c r="C20" i="3" s="1"/>
  <c r="F387" i="1"/>
  <c r="F391" i="1" s="1"/>
  <c r="D348" i="1"/>
  <c r="D35" i="3" s="1"/>
  <c r="E390" i="1"/>
  <c r="C298" i="1"/>
  <c r="D368" i="1"/>
  <c r="G387" i="1"/>
  <c r="G391" i="1" s="1"/>
  <c r="D390" i="1"/>
  <c r="G390" i="1" l="1"/>
  <c r="C385" i="1"/>
  <c r="C309" i="1"/>
  <c r="H386" i="1"/>
  <c r="C394" i="1"/>
  <c r="C387" i="1"/>
  <c r="C391" i="1" s="1"/>
  <c r="C368" i="1"/>
  <c r="I214" i="1"/>
  <c r="C214" i="1" s="1"/>
  <c r="J260" i="1"/>
  <c r="J299" i="1" s="1"/>
  <c r="J353" i="1" s="1"/>
  <c r="F390" i="1"/>
  <c r="E377" i="1"/>
  <c r="H72" i="3"/>
  <c r="H203" i="1"/>
  <c r="I40" i="3"/>
  <c r="H508" i="1"/>
  <c r="D259" i="1" l="1"/>
  <c r="H387" i="1"/>
  <c r="H390" i="1" s="1"/>
  <c r="H391" i="1"/>
  <c r="C395" i="1"/>
  <c r="H561" i="1"/>
  <c r="H530" i="1"/>
  <c r="C390" i="1"/>
  <c r="D352" i="1"/>
  <c r="D39" i="3" s="1"/>
  <c r="H509" i="1"/>
  <c r="H531" i="1" s="1"/>
  <c r="J40" i="3"/>
  <c r="C313" i="1"/>
  <c r="H73" i="3"/>
  <c r="I203" i="1"/>
  <c r="E399" i="1"/>
  <c r="C218" i="1"/>
  <c r="H365" i="1" l="1"/>
  <c r="H368" i="1" s="1"/>
  <c r="C373" i="1"/>
  <c r="C316" i="1"/>
  <c r="C221" i="1"/>
  <c r="E400" i="1"/>
  <c r="C396" i="1"/>
  <c r="C399" i="1" s="1"/>
  <c r="C400" i="1" l="1"/>
  <c r="D223" i="1"/>
  <c r="D222" i="1"/>
  <c r="C374" i="1"/>
  <c r="C377" i="1" s="1"/>
  <c r="E378" i="1"/>
  <c r="D318" i="1"/>
  <c r="D317" i="1"/>
  <c r="H369" i="1"/>
  <c r="J378" i="1" l="1"/>
  <c r="C570" i="1" s="1"/>
  <c r="C378" i="1"/>
  <c r="F336" i="1"/>
  <c r="C336" i="1"/>
  <c r="G336" i="1"/>
  <c r="D328" i="1"/>
  <c r="D337" i="1"/>
  <c r="D329" i="1"/>
  <c r="D338" i="1"/>
  <c r="E336" i="1"/>
  <c r="C340" i="1"/>
  <c r="C27" i="3" s="1"/>
  <c r="F327" i="1"/>
  <c r="D340" i="1"/>
  <c r="D27" i="3" s="1"/>
  <c r="E327" i="1"/>
  <c r="G327" i="1"/>
  <c r="G340" i="1"/>
  <c r="G27" i="3" s="1"/>
  <c r="F340" i="1"/>
  <c r="F27" i="3" s="1"/>
  <c r="E340" i="1"/>
  <c r="E27" i="3" s="1"/>
  <c r="C327" i="1"/>
  <c r="C14" i="3" s="1"/>
  <c r="C348" i="1"/>
  <c r="C352" i="1"/>
  <c r="C356" i="1"/>
  <c r="C43" i="3" s="1"/>
  <c r="J399" i="1"/>
  <c r="F486" i="1"/>
  <c r="M468" i="1"/>
  <c r="C568" i="1"/>
  <c r="D484" i="1"/>
  <c r="L52" i="3"/>
  <c r="F242" i="1"/>
  <c r="G242" i="1"/>
  <c r="C242" i="1"/>
  <c r="D235" i="1"/>
  <c r="D243" i="1"/>
  <c r="D234" i="1"/>
  <c r="D244" i="1"/>
  <c r="E242" i="1"/>
  <c r="D246" i="1"/>
  <c r="G233" i="1"/>
  <c r="F233" i="1"/>
  <c r="E233" i="1"/>
  <c r="E246" i="1"/>
  <c r="F246" i="1"/>
  <c r="C233" i="1"/>
  <c r="G246" i="1"/>
  <c r="C246" i="1"/>
  <c r="C255" i="1"/>
  <c r="C259" i="1"/>
  <c r="J377" i="1"/>
  <c r="C263" i="1"/>
  <c r="J400" i="1"/>
  <c r="F19" i="2" l="1"/>
  <c r="F28" i="2" s="1"/>
  <c r="G28" i="2" s="1"/>
  <c r="C94" i="3" s="1"/>
  <c r="F50" i="3"/>
  <c r="F52" i="3"/>
  <c r="I52" i="3"/>
  <c r="L53" i="3" s="1"/>
  <c r="L54" i="3" s="1"/>
  <c r="D49" i="3" s="1"/>
  <c r="F14" i="3"/>
  <c r="C23" i="3"/>
  <c r="G14" i="3"/>
  <c r="D24" i="3"/>
  <c r="C572" i="1"/>
  <c r="F18" i="2"/>
  <c r="F27" i="2" s="1"/>
  <c r="C569" i="1"/>
  <c r="C571" i="1" s="1"/>
  <c r="C35" i="3"/>
  <c r="D16" i="3"/>
  <c r="F23" i="3"/>
  <c r="E14" i="3"/>
  <c r="E23" i="3"/>
  <c r="D15" i="3"/>
  <c r="F11" i="2"/>
  <c r="M469" i="1"/>
  <c r="M470" i="1" s="1"/>
  <c r="D485" i="1" s="1"/>
  <c r="D486" i="1" s="1"/>
  <c r="F488" i="1"/>
  <c r="C39" i="3"/>
  <c r="D25" i="3"/>
  <c r="G23" i="3"/>
  <c r="C183" i="3" l="1"/>
  <c r="D33" i="2"/>
  <c r="C497" i="1"/>
  <c r="C493" i="1"/>
  <c r="C496" i="1"/>
  <c r="E493" i="1"/>
  <c r="D494" i="1"/>
  <c r="F493" i="1"/>
  <c r="H493" i="1"/>
  <c r="F504" i="1"/>
  <c r="E504" i="1"/>
  <c r="H504" i="1"/>
  <c r="G504" i="1"/>
  <c r="D506" i="1"/>
  <c r="G493" i="1"/>
  <c r="C504" i="1"/>
  <c r="D505" i="1"/>
  <c r="D495" i="1"/>
  <c r="E94" i="3"/>
  <c r="C104" i="3"/>
  <c r="F29" i="2"/>
  <c r="G27" i="2"/>
  <c r="G588" i="1"/>
  <c r="C588" i="1"/>
  <c r="D588" i="1"/>
  <c r="H588" i="1"/>
  <c r="F588" i="1"/>
  <c r="E588" i="1"/>
  <c r="F12" i="2"/>
  <c r="F13" i="2" s="1"/>
  <c r="E11" i="2"/>
  <c r="D42" i="2"/>
  <c r="D45" i="2" s="1"/>
  <c r="G45" i="2" s="1"/>
  <c r="D11" i="2"/>
  <c r="F14" i="2"/>
  <c r="C195" i="3"/>
  <c r="E183" i="3"/>
  <c r="E589" i="1"/>
  <c r="E590" i="1" s="1"/>
  <c r="H589" i="1"/>
  <c r="C589" i="1"/>
  <c r="G589" i="1"/>
  <c r="F589" i="1"/>
  <c r="D589" i="1"/>
  <c r="D590" i="1" l="1"/>
  <c r="H590" i="1"/>
  <c r="C182" i="3"/>
  <c r="D32" i="2"/>
  <c r="C93" i="3"/>
  <c r="G29" i="2"/>
  <c r="D34" i="2" s="1"/>
  <c r="D40" i="2" s="1"/>
  <c r="D43" i="2" s="1"/>
  <c r="D44" i="2" s="1"/>
  <c r="G44" i="2" s="1"/>
  <c r="G46" i="2" s="1"/>
  <c r="D48" i="3" s="1"/>
  <c r="D50" i="3" s="1"/>
  <c r="E104" i="3"/>
  <c r="D110" i="3" s="1"/>
  <c r="D578" i="1"/>
  <c r="D579" i="1" s="1"/>
  <c r="D527" i="1"/>
  <c r="D558" i="1"/>
  <c r="G557" i="1"/>
  <c r="G578" i="1"/>
  <c r="G526" i="1"/>
  <c r="H547" i="1"/>
  <c r="H515" i="1"/>
  <c r="C550" i="1"/>
  <c r="C518" i="1"/>
  <c r="E195" i="3"/>
  <c r="D202" i="3" s="1"/>
  <c r="E12" i="2"/>
  <c r="E13" i="2" s="1"/>
  <c r="E14" i="2"/>
  <c r="D517" i="1"/>
  <c r="D549" i="1"/>
  <c r="D528" i="1"/>
  <c r="D559" i="1"/>
  <c r="E515" i="1"/>
  <c r="E577" i="1"/>
  <c r="E547" i="1"/>
  <c r="F590" i="1"/>
  <c r="G590" i="1"/>
  <c r="D12" i="2"/>
  <c r="D13" i="2" s="1"/>
  <c r="D14" i="2"/>
  <c r="G14" i="2" s="1"/>
  <c r="C557" i="1"/>
  <c r="C526" i="1"/>
  <c r="C578" i="1"/>
  <c r="H557" i="1"/>
  <c r="H526" i="1"/>
  <c r="F577" i="1"/>
  <c r="F547" i="1"/>
  <c r="F515" i="1"/>
  <c r="C547" i="1"/>
  <c r="C577" i="1"/>
  <c r="F526" i="1"/>
  <c r="F557" i="1"/>
  <c r="F578" i="1"/>
  <c r="C590" i="1"/>
  <c r="C594" i="1"/>
  <c r="C593" i="1"/>
  <c r="C603" i="1" s="1"/>
  <c r="G547" i="1"/>
  <c r="G515" i="1"/>
  <c r="G577" i="1"/>
  <c r="E578" i="1"/>
  <c r="E557" i="1"/>
  <c r="E526" i="1"/>
  <c r="D548" i="1"/>
  <c r="D516" i="1"/>
  <c r="D577" i="1"/>
  <c r="C519" i="1"/>
  <c r="C551" i="1"/>
  <c r="H579" i="1" l="1"/>
  <c r="C595" i="1"/>
  <c r="C604" i="1"/>
  <c r="C61" i="3"/>
  <c r="C60" i="3"/>
  <c r="C57" i="3"/>
  <c r="E57" i="3"/>
  <c r="E68" i="3"/>
  <c r="G57" i="3"/>
  <c r="D69" i="3"/>
  <c r="D58" i="3"/>
  <c r="D70" i="3"/>
  <c r="F68" i="3"/>
  <c r="C68" i="3"/>
  <c r="G68" i="3"/>
  <c r="F57" i="3"/>
  <c r="H68" i="3"/>
  <c r="D59" i="3"/>
  <c r="H57" i="3"/>
  <c r="C582" i="1"/>
  <c r="C608" i="1" s="1"/>
  <c r="C583" i="1"/>
  <c r="C579" i="1"/>
  <c r="G13" i="2"/>
  <c r="G15" i="2" s="1"/>
  <c r="G579" i="1"/>
  <c r="E93" i="3"/>
  <c r="E95" i="3" s="1"/>
  <c r="C103" i="3"/>
  <c r="C95" i="3"/>
  <c r="F579" i="1"/>
  <c r="E579" i="1"/>
  <c r="C605" i="1"/>
  <c r="C194" i="3"/>
  <c r="E182" i="3"/>
  <c r="E184" i="3" s="1"/>
  <c r="C184" i="3"/>
  <c r="C584" i="1" l="1"/>
  <c r="H81" i="3"/>
  <c r="F81" i="3"/>
  <c r="G80" i="3"/>
  <c r="E194" i="3"/>
  <c r="C196" i="3"/>
  <c r="F80" i="3"/>
  <c r="E81" i="3"/>
  <c r="H80" i="3"/>
  <c r="G81" i="3"/>
  <c r="D80" i="3"/>
  <c r="E80" i="3"/>
  <c r="C609" i="1"/>
  <c r="C610" i="1" s="1"/>
  <c r="E103" i="3"/>
  <c r="C105" i="3"/>
  <c r="C81" i="3"/>
  <c r="D81" i="3"/>
  <c r="C80" i="3"/>
  <c r="G82" i="3" l="1"/>
  <c r="D82" i="3"/>
  <c r="C86" i="3"/>
  <c r="C82" i="3"/>
  <c r="D109" i="3"/>
  <c r="E105" i="3"/>
  <c r="E196" i="3"/>
  <c r="D201" i="3"/>
  <c r="C85" i="3"/>
  <c r="C109" i="3" s="1"/>
  <c r="H82" i="3"/>
  <c r="E82" i="3"/>
  <c r="F82" i="3"/>
  <c r="E109" i="3" l="1"/>
  <c r="G109" i="3" s="1"/>
  <c r="D111" i="3"/>
  <c r="D203" i="3"/>
  <c r="C110" i="3"/>
  <c r="C87" i="3"/>
  <c r="C111" i="3" l="1"/>
  <c r="E110" i="3"/>
  <c r="H128" i="3"/>
  <c r="H129" i="3"/>
  <c r="H121" i="3"/>
  <c r="C121" i="3"/>
  <c r="G121" i="3"/>
  <c r="D122" i="3"/>
  <c r="F121" i="3"/>
  <c r="C125" i="3"/>
  <c r="E121" i="3"/>
  <c r="C124" i="3"/>
  <c r="D123" i="3"/>
  <c r="C146" i="3" l="1"/>
  <c r="T124" i="3"/>
  <c r="AB124" i="3" s="1"/>
  <c r="C221" i="3"/>
  <c r="D144" i="3"/>
  <c r="U122" i="3"/>
  <c r="AC122" i="3" s="1"/>
  <c r="D219" i="3"/>
  <c r="D169" i="3"/>
  <c r="H226" i="3"/>
  <c r="H151" i="3"/>
  <c r="E143" i="3"/>
  <c r="E169" i="3"/>
  <c r="V121" i="3"/>
  <c r="AD121" i="3" s="1"/>
  <c r="E218" i="3"/>
  <c r="G218" i="3"/>
  <c r="X121" i="3"/>
  <c r="AF121" i="3" s="1"/>
  <c r="G169" i="3"/>
  <c r="G143" i="3"/>
  <c r="H150" i="3"/>
  <c r="Y128" i="3"/>
  <c r="AG128" i="3" s="1"/>
  <c r="H225" i="3"/>
  <c r="C222" i="3"/>
  <c r="C147" i="3"/>
  <c r="T125" i="3"/>
  <c r="AB125" i="3" s="1"/>
  <c r="C218" i="3"/>
  <c r="C169" i="3"/>
  <c r="T121" i="3"/>
  <c r="AB121" i="3" s="1"/>
  <c r="G110" i="3"/>
  <c r="E111" i="3"/>
  <c r="U123" i="3"/>
  <c r="AC123" i="3" s="1"/>
  <c r="D145" i="3"/>
  <c r="D220" i="3"/>
  <c r="F169" i="3"/>
  <c r="F218" i="3"/>
  <c r="W121" i="3"/>
  <c r="AE121" i="3" s="1"/>
  <c r="F143" i="3"/>
  <c r="H143" i="3"/>
  <c r="Y121" i="3"/>
  <c r="AG121" i="3" s="1"/>
  <c r="H169" i="3"/>
  <c r="H218" i="3"/>
  <c r="H136" i="3" l="1"/>
  <c r="H137" i="3"/>
  <c r="C132" i="3"/>
  <c r="H132" i="3"/>
  <c r="E132" i="3"/>
  <c r="G132" i="3"/>
  <c r="F132" i="3"/>
  <c r="D134" i="3"/>
  <c r="D133" i="3"/>
  <c r="C174" i="3"/>
  <c r="C201" i="3" s="1"/>
  <c r="E201" i="3" s="1"/>
  <c r="D156" i="3" l="1"/>
  <c r="U133" i="3"/>
  <c r="AC133" i="3" s="1"/>
  <c r="D231" i="3"/>
  <c r="C229" i="3"/>
  <c r="C170" i="3"/>
  <c r="T131" i="3"/>
  <c r="AB131" i="3" s="1"/>
  <c r="C154" i="3"/>
  <c r="F154" i="3"/>
  <c r="F229" i="3"/>
  <c r="F170" i="3"/>
  <c r="F171" i="3" s="1"/>
  <c r="W131" i="3"/>
  <c r="AE131" i="3" s="1"/>
  <c r="G229" i="3"/>
  <c r="G170" i="3"/>
  <c r="G171" i="3" s="1"/>
  <c r="G154" i="3"/>
  <c r="X131" i="3"/>
  <c r="AF131" i="3" s="1"/>
  <c r="H234" i="3"/>
  <c r="H159" i="3"/>
  <c r="Y131" i="3"/>
  <c r="AG131" i="3" s="1"/>
  <c r="H229" i="3"/>
  <c r="H154" i="3"/>
  <c r="H170" i="3"/>
  <c r="H171" i="3" s="1"/>
  <c r="D230" i="3"/>
  <c r="D155" i="3"/>
  <c r="D170" i="3"/>
  <c r="D171" i="3" s="1"/>
  <c r="U132" i="3"/>
  <c r="AC132" i="3" s="1"/>
  <c r="V131" i="3"/>
  <c r="AD131" i="3" s="1"/>
  <c r="E154" i="3"/>
  <c r="E229" i="3"/>
  <c r="E170" i="3"/>
  <c r="E171" i="3" s="1"/>
  <c r="Y135" i="3"/>
  <c r="AG135" i="3" s="1"/>
  <c r="H158" i="3"/>
  <c r="H233" i="3"/>
  <c r="C171" i="3" l="1"/>
  <c r="C175" i="3"/>
  <c r="C202" i="3" l="1"/>
  <c r="C176" i="3"/>
  <c r="C203" i="3" l="1"/>
  <c r="E202" i="3"/>
  <c r="E20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Jacob, Shajan</author>
    <author>joer</author>
    <author>Bill Atzl</author>
  </authors>
  <commentList>
    <comment ref="A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Jacob, Shajan: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8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joer:</t>
        </r>
        <r>
          <rPr>
            <sz val="8"/>
            <color indexed="81"/>
            <rFont val="Tahoma"/>
            <family val="2"/>
          </rPr>
          <t xml:space="preserve">
Weighted Average</t>
        </r>
      </text>
    </comment>
    <comment ref="D98" authorId="2" shapeId="0" xr:uid="{00000000-0006-0000-0200-000003000000}">
      <text>
        <r>
          <rPr>
            <b/>
            <sz val="8"/>
            <color indexed="81"/>
            <rFont val="Tahoma"/>
            <family val="2"/>
          </rPr>
          <t>Bill Atzl:</t>
        </r>
        <r>
          <rPr>
            <sz val="8"/>
            <color indexed="81"/>
            <rFont val="Tahoma"/>
            <family val="2"/>
          </rPr>
          <t xml:space="preserve">
RECO RFP Price does not include transmission
</t>
        </r>
      </text>
    </comment>
    <comment ref="D99" authorId="2" shapeId="0" xr:uid="{00000000-0006-0000-0200-000004000000}">
      <text>
        <r>
          <rPr>
            <b/>
            <sz val="8"/>
            <color indexed="81"/>
            <rFont val="Tahoma"/>
            <family val="2"/>
          </rPr>
          <t>Bill Atzl:</t>
        </r>
        <r>
          <rPr>
            <sz val="8"/>
            <color indexed="81"/>
            <rFont val="Tahoma"/>
            <family val="2"/>
          </rPr>
          <t xml:space="preserve">
RECO RFP Price does not include transmission
</t>
        </r>
      </text>
    </comment>
    <comment ref="H128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joer:</t>
        </r>
        <r>
          <rPr>
            <sz val="8"/>
            <color indexed="81"/>
            <rFont val="Tahoma"/>
            <family val="2"/>
          </rPr>
          <t xml:space="preserve">
Confirm this number with NERA's pricing spreadsheet.</t>
        </r>
      </text>
    </comment>
    <comment ref="H136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>joer:</t>
        </r>
        <r>
          <rPr>
            <sz val="8"/>
            <color indexed="81"/>
            <rFont val="Tahoma"/>
            <family val="2"/>
          </rPr>
          <t xml:space="preserve">
Confirm this number with NERA's pricing spreadsheet.</t>
        </r>
      </text>
    </comment>
    <comment ref="B139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>joer:</t>
        </r>
        <r>
          <rPr>
            <sz val="8"/>
            <color indexed="81"/>
            <rFont val="Tahoma"/>
            <family val="2"/>
          </rPr>
          <t xml:space="preserve">
These are used to update the BGS Tariff Leaves</t>
        </r>
      </text>
    </comment>
    <comment ref="E139" authorId="1" shapeId="0" xr:uid="{00000000-0006-0000-0200-000008000000}">
      <text>
        <r>
          <rPr>
            <b/>
            <sz val="8"/>
            <color indexed="81"/>
            <rFont val="Tahoma"/>
            <family val="2"/>
          </rPr>
          <t>joer:</t>
        </r>
        <r>
          <rPr>
            <sz val="8"/>
            <color indexed="81"/>
            <rFont val="Tahoma"/>
            <family val="2"/>
          </rPr>
          <t xml:space="preserve">
Increase in SUT</t>
        </r>
      </text>
    </comment>
    <comment ref="D188" authorId="2" shapeId="0" xr:uid="{00000000-0006-0000-0200-000009000000}">
      <text>
        <r>
          <rPr>
            <b/>
            <sz val="8"/>
            <color indexed="81"/>
            <rFont val="Tahoma"/>
            <family val="2"/>
          </rPr>
          <t>Bill Atzl:</t>
        </r>
        <r>
          <rPr>
            <sz val="8"/>
            <color indexed="81"/>
            <rFont val="Tahoma"/>
            <family val="2"/>
          </rPr>
          <t xml:space="preserve">
RECO RFP Price does not include transmission
</t>
        </r>
      </text>
    </comment>
    <comment ref="D189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Bill Atzl:</t>
        </r>
        <r>
          <rPr>
            <sz val="8"/>
            <color indexed="81"/>
            <rFont val="Tahoma"/>
            <family val="2"/>
          </rPr>
          <t xml:space="preserve">
RECO RFP Price does not include transmission
</t>
        </r>
      </text>
    </comment>
  </commentList>
</comments>
</file>

<file path=xl/sharedStrings.xml><?xml version="1.0" encoding="utf-8"?>
<sst xmlns="http://schemas.openxmlformats.org/spreadsheetml/2006/main" count="1121" uniqueCount="402">
  <si>
    <t>&lt;&lt;&lt; Year of the auction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</si>
  <si>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</si>
  <si>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</si>
  <si>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</si>
  <si>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</si>
  <si>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</si>
  <si>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 xml:space="preserve"> -- Other Analysis --</t>
  </si>
  <si>
    <t>SC1/SC5</t>
  </si>
  <si>
    <t>SC3</t>
  </si>
  <si>
    <t>SC2 ND</t>
  </si>
  <si>
    <t>SC4</t>
  </si>
  <si>
    <t>SC6</t>
  </si>
  <si>
    <t>SC2 Dem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</si>
  <si>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</si>
  <si>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</si>
  <si>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</si>
  <si>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</si>
  <si>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</si>
  <si>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</si>
  <si>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</si>
  <si>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</si>
  <si>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</si>
  <si>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</si>
  <si>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</si>
  <si>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</si>
  <si>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</si>
  <si>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RECO On-Peak Billing Period</t>
  </si>
  <si>
    <t>On-Peak periods as defined in specified rate schedule</t>
  </si>
  <si>
    <t>N/A</t>
  </si>
  <si>
    <t>(data rounded to nearest %)</t>
  </si>
  <si>
    <t>----</t>
  </si>
  <si>
    <t>Table #3</t>
  </si>
  <si>
    <t>Class Usage @ customer</t>
  </si>
  <si>
    <t>Usage by season</t>
  </si>
  <si>
    <t>in MWh</t>
  </si>
  <si>
    <t>Total</t>
  </si>
  <si>
    <t>winter MWh =</t>
  </si>
  <si>
    <t>on-peak</t>
  </si>
  <si>
    <t>off-peak</t>
  </si>
  <si>
    <t>summer MWh =</t>
  </si>
  <si>
    <t>Block1</t>
  </si>
  <si>
    <t>Block2</t>
  </si>
  <si>
    <t>Block3</t>
  </si>
  <si>
    <t>Calculation of TOU Rate Adjustment to Reflect Difference between RECO and PJM Time Periods</t>
  </si>
  <si>
    <t>Table #4</t>
  </si>
  <si>
    <t>Forwards Prices - Energy Only @ bulk system</t>
  </si>
  <si>
    <t>Tariff Based On-Peak</t>
  </si>
  <si>
    <t>in $/MWh (See Table 18)</t>
  </si>
  <si>
    <t>On-Peak</t>
  </si>
  <si>
    <t>Off-Peak</t>
  </si>
  <si>
    <t>PJM based On-Peak kWh</t>
  </si>
  <si>
    <t>Table #5</t>
  </si>
  <si>
    <t>Losses</t>
  </si>
  <si>
    <t>Expansion Factor =</t>
  </si>
  <si>
    <t>Expansion Factor (net</t>
  </si>
  <si>
    <t>Marginal Losses)</t>
  </si>
  <si>
    <t>Table #6</t>
  </si>
  <si>
    <t>Summary of Average BGS Energy Only Unit Costs @ customer - PJM Time Periods</t>
  </si>
  <si>
    <t>Delta between PJM and Tariff based On-Peak kWh</t>
  </si>
  <si>
    <t>based on Forwards prices corrected for basis differential &amp; losses</t>
  </si>
  <si>
    <t>in $/MWh</t>
  </si>
  <si>
    <t>Winter</t>
  </si>
  <si>
    <t>On-Peak MWh</t>
  </si>
  <si>
    <t>Summer - all hrs</t>
  </si>
  <si>
    <t>Associated $</t>
  </si>
  <si>
    <t>PJM on pk</t>
  </si>
  <si>
    <t>Rate Increment/MWh</t>
  </si>
  <si>
    <t>PJM off pk</t>
  </si>
  <si>
    <t>Summer</t>
  </si>
  <si>
    <t>Winter - all hrs</t>
  </si>
  <si>
    <t>Annual</t>
  </si>
  <si>
    <t>System Total</t>
  </si>
  <si>
    <t>Table #7</t>
  </si>
  <si>
    <t>Summary of Average BGS Energy Only Costs @ customer - PJM Time Periods</t>
  </si>
  <si>
    <t>in $1000</t>
  </si>
  <si>
    <t>Table #8</t>
  </si>
  <si>
    <t>Summary of Average BGS Energy Only Unit Costs @ customer - RECO Time Periods</t>
  </si>
  <si>
    <t>based on Forwards prices corrected for basis differential &amp; losses - RECO billing time periods in $/MWh</t>
  </si>
  <si>
    <t>RECO On pk</t>
  </si>
  <si>
    <t>RECO Off pk</t>
  </si>
  <si>
    <t>Annual Average</t>
  </si>
  <si>
    <t>System Average</t>
  </si>
  <si>
    <t>Table #9</t>
  </si>
  <si>
    <t>Generation &amp; Transmission Obligations and Costs and Other Adjustments</t>
  </si>
  <si>
    <t>in MW</t>
  </si>
  <si>
    <t>Total FP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</si>
  <si>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</si>
  <si>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</si>
  <si>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</si>
  <si>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</si>
  <si>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</si>
  <si>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</si>
  <si>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</si>
  <si>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</si>
  <si>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Cost*</t>
  </si>
  <si>
    <t>per MW-yr</t>
  </si>
  <si>
    <t>Generation Capacity cost</t>
  </si>
  <si>
    <t>summer</t>
  </si>
  <si>
    <t>$/MW/day</t>
  </si>
  <si>
    <t xml:space="preserve">Resulting avg gen cap cost = </t>
  </si>
  <si>
    <t>summer &gt;&gt;</t>
  </si>
  <si>
    <t>per kW/yr</t>
  </si>
  <si>
    <t>(see Table 19)</t>
  </si>
  <si>
    <t>winter</t>
  </si>
  <si>
    <t>winter  &gt;&gt;</t>
  </si>
  <si>
    <t>Current residential summer BGS charges</t>
  </si>
  <si>
    <t>Current Tariff and % of total summer usage</t>
  </si>
  <si>
    <t>Charges</t>
  </si>
  <si>
    <t>% usage</t>
  </si>
  <si>
    <t>Block 1 (0-600 kWh/month)</t>
  </si>
  <si>
    <t>¢/kWh</t>
  </si>
  <si>
    <t>Block 2 (&gt;600 kWh/m)</t>
  </si>
  <si>
    <t>Calculated inversion =</t>
  </si>
  <si>
    <t>Table #10</t>
  </si>
  <si>
    <t>Ancillary Services</t>
  </si>
  <si>
    <t>forecasted overall annual average</t>
  </si>
  <si>
    <t>/MWh</t>
  </si>
  <si>
    <t>Table #11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</si>
  <si>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</si>
  <si>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</si>
  <si>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</si>
  <si>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</si>
  <si>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per summer MWh</t>
  </si>
  <si>
    <t>per winter MWh</t>
  </si>
  <si>
    <t>Table #12</t>
  </si>
  <si>
    <t>Summary of BGS Unit Costs @ customer</t>
  </si>
  <si>
    <r>
      <t xml:space="preserve">NON-DEMAND RATES </t>
    </r>
    <r>
      <rPr>
        <i/>
        <sz val="10"/>
        <rFont val="Arial"/>
        <family val="2"/>
      </rPr>
      <t>(includes energy, G&amp;T obligations, and Ancillary Services - adjusted to billing time periods in $/MWh)</t>
    </r>
  </si>
  <si>
    <t>Block 1</t>
  </si>
  <si>
    <t>Block 2</t>
  </si>
  <si>
    <t>Annual -all hrs</t>
  </si>
  <si>
    <r>
      <t xml:space="preserve">DEMAND RATES </t>
    </r>
    <r>
      <rPr>
        <i/>
        <sz val="10"/>
        <rFont val="Arial"/>
        <family val="2"/>
      </rPr>
      <t>(includes energy and Ancillary Services, G&amp;T obligations charged separately - adjusted to billing time periods in $/MWh)</t>
    </r>
  </si>
  <si>
    <t>PLUS:</t>
  </si>
  <si>
    <t>Gen Cost (per kW of Billed Demand/Month)</t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</si>
  <si>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 kW</t>
    </r>
  </si>
  <si>
    <t>&gt; 5 kW</t>
  </si>
  <si>
    <t>Trans cost</t>
  </si>
  <si>
    <t>Annual - all hrs per MWh only</t>
  </si>
  <si>
    <t>all months</t>
  </si>
  <si>
    <t>per kW of T obl /month</t>
  </si>
  <si>
    <t>(Continued)</t>
  </si>
  <si>
    <t>Including T&amp;G Obligation $</t>
  </si>
  <si>
    <t>$ / kW</t>
  </si>
  <si>
    <t>Round</t>
  </si>
  <si>
    <t>1st 5 kW</t>
  </si>
  <si>
    <t>Summer Revenue</t>
  </si>
  <si>
    <t>Total kW</t>
  </si>
  <si>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 xml:space="preserve"> 5 kW Charge</t>
    </r>
  </si>
  <si>
    <t>&gt; 5 kW Charge</t>
  </si>
  <si>
    <t>Differential</t>
  </si>
  <si>
    <t>Reduce Differential By:</t>
  </si>
  <si>
    <t>Annual - including T&amp;G Obl $</t>
  </si>
  <si>
    <t>ALL RATES</t>
  </si>
  <si>
    <t>Grand Total Cost in $1000 =</t>
  </si>
  <si>
    <t>SC2 Sales and Demands</t>
  </si>
  <si>
    <t>All-In Average cost @ customer =</t>
  </si>
  <si>
    <t>per MWh at customer (per customer metered MWh)</t>
  </si>
  <si>
    <t>Over 5 kW</t>
  </si>
  <si>
    <t>All-In Average costs @ transmission nodes =</t>
  </si>
  <si>
    <t>per MWH at transmission nodes (per metered MWh at transmission node)</t>
  </si>
  <si>
    <t>Table #13</t>
  </si>
  <si>
    <t>Ratio of BGS Unit Costs @ customer to All-In Average Cost @ transmission nodes</t>
  </si>
  <si>
    <t>NON-DEMAND RATES</t>
  </si>
  <si>
    <t>First 5 kW</t>
  </si>
  <si>
    <t>Includes energy, G&amp;T obligations, and Ancillary Services - adjusted to billing time periods</t>
  </si>
  <si>
    <t>Constant Blk 1</t>
  </si>
  <si>
    <t>Constant Blk 2</t>
  </si>
  <si>
    <t>Annual - all hrs</t>
  </si>
  <si>
    <t>DEMAND RATES</t>
  </si>
  <si>
    <t>Includes energy and Ancillary Services, G&amp;T obligations charged separately - adjusted to billing time periods</t>
  </si>
  <si>
    <t>Multiplier</t>
  </si>
  <si>
    <t>Constant</t>
  </si>
  <si>
    <t>Table #14</t>
  </si>
  <si>
    <t>Summary of BGS Unit Costs Less Transmission @ customer</t>
  </si>
  <si>
    <t>Includes energy, generation capacity obligation, and Ancillary Services - adjusted to billing time periods.  Transmission billed at retail tariff level.</t>
  </si>
  <si>
    <t>Includes energy and Ancillary Services, generation obligation charged separately - adjusted to billing time periods.</t>
  </si>
  <si>
    <t>Transmission billed at retail tariff level.  In $/MWh.</t>
  </si>
  <si>
    <t>Including Generation Obligation $</t>
  </si>
  <si>
    <t>All-In Average costs @ tansmission nodes =</t>
  </si>
  <si>
    <t>per MWh at tranmission node system (per metered MWh at transmission node)</t>
  </si>
  <si>
    <t>Table #15</t>
  </si>
  <si>
    <t>Ratio of BGS Unit Costs Less Transmission @ customer to All-In Average Cost @ transmission nodes</t>
  </si>
  <si>
    <t>includes energy and Ancillary Services, G&amp;T obligations charged separately - adjusted to billing time periods</t>
  </si>
  <si>
    <t>Table #16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</si>
  <si>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</si>
  <si>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</si>
  <si>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</si>
  <si>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</si>
  <si>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</si>
  <si>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transmission node MWhs):</t>
  </si>
  <si>
    <t>Ratio to All-In Cost</t>
  </si>
  <si>
    <t>per MWh @ transmission nodes</t>
  </si>
  <si>
    <t>Table #17</t>
  </si>
  <si>
    <t>Summary of Total BGS Costs by Season - Less Transmission</t>
  </si>
  <si>
    <t>Table #18</t>
  </si>
  <si>
    <t>Forward Energy Prices</t>
  </si>
  <si>
    <t>Zone to Western Hub</t>
  </si>
  <si>
    <t>PJM Forward Prices</t>
  </si>
  <si>
    <t>PJM Forward Prices - Energy Only @ bulk system</t>
  </si>
  <si>
    <t>Basis Differential</t>
  </si>
  <si>
    <t>(incl basis differential)</t>
  </si>
  <si>
    <t>Off/On Peak</t>
  </si>
  <si>
    <r>
      <t xml:space="preserve"> </t>
    </r>
    <r>
      <rPr>
        <i/>
        <sz val="10"/>
        <rFont val="Arial"/>
        <family val="2"/>
      </rPr>
      <t>in $/MWh</t>
    </r>
  </si>
  <si>
    <t>LMP ratio</t>
  </si>
  <si>
    <t>NYISO Forward Prices - Energy Only @ bulk system</t>
  </si>
  <si>
    <t>Weighted Average Forward Prices - Energy Only @ bulk</t>
  </si>
  <si>
    <t>PJM</t>
  </si>
  <si>
    <t>NYISO</t>
  </si>
  <si>
    <t>Table #19</t>
  </si>
  <si>
    <t>Generation Capacity Prices ($/MW/Day)</t>
  </si>
  <si>
    <t>PJM Base</t>
  </si>
  <si>
    <t>Weighted</t>
  </si>
  <si>
    <t xml:space="preserve"> Capacity</t>
  </si>
  <si>
    <t>Average</t>
  </si>
  <si>
    <t>$/kW/mo</t>
  </si>
  <si>
    <t>$/MW/mo</t>
  </si>
  <si>
    <t>Days</t>
  </si>
  <si>
    <t>Oct</t>
  </si>
  <si>
    <t>Nov</t>
  </si>
  <si>
    <t>Dec</t>
  </si>
  <si>
    <t>Jan</t>
  </si>
  <si>
    <t>Feb</t>
  </si>
  <si>
    <t>Mar</t>
  </si>
  <si>
    <t>Table #20</t>
  </si>
  <si>
    <t>Apr</t>
  </si>
  <si>
    <t xml:space="preserve">PJM Ancillary </t>
  </si>
  <si>
    <t xml:space="preserve">NYISO Ancillary </t>
  </si>
  <si>
    <t>Renewable</t>
  </si>
  <si>
    <t xml:space="preserve">Services </t>
  </si>
  <si>
    <t>Power Cost</t>
  </si>
  <si>
    <t>Assumptions:</t>
  </si>
  <si>
    <t>Gen Cost =</t>
  </si>
  <si>
    <t>per MW-day in summer</t>
  </si>
  <si>
    <t>RECO RFP MW</t>
  </si>
  <si>
    <t>per MW-day in winter</t>
  </si>
  <si>
    <t>Tranch MW</t>
  </si>
  <si>
    <t>Trans cost =</t>
  </si>
  <si>
    <t>RFP %</t>
  </si>
  <si>
    <t>Analysis time period =</t>
  </si>
  <si>
    <t>summer months</t>
  </si>
  <si>
    <t>winter months</t>
  </si>
  <si>
    <t>RECO Avg.x'mission</t>
  </si>
  <si>
    <t>$/MWh</t>
  </si>
  <si>
    <t>Ancillary Services =</t>
  </si>
  <si>
    <t>Cen/West x'mission cont</t>
  </si>
  <si>
    <t>Energy Costs =</t>
  </si>
  <si>
    <t>Actual RECO x'mission</t>
  </si>
  <si>
    <t>Usage patterns =</t>
  </si>
  <si>
    <t>Obligations =</t>
  </si>
  <si>
    <t>Losses =</t>
  </si>
  <si>
    <t>Per RECO's Third Party Supplier Agreement adjusted for PJM 500kV losses and inadvertent energy.</t>
  </si>
  <si>
    <t>PJM Time Periods =</t>
  </si>
  <si>
    <t xml:space="preserve">PJM trading time periods - 7 AM to 11 PM weekdays, local time, x NERC </t>
  </si>
  <si>
    <t>Holidays - New Year's, Memorial, 4th of July, Labor Day, Thanksgiving &amp; Christmas</t>
  </si>
  <si>
    <t>RECO Billing time periods =</t>
  </si>
  <si>
    <t xml:space="preserve"> as per specific rate schedule</t>
  </si>
  <si>
    <t>No Longer Used</t>
  </si>
  <si>
    <t>Table #21</t>
  </si>
  <si>
    <t>Determination of Retail Rates to be Charged to BGS Customers</t>
  </si>
  <si>
    <t>All-In Average costs @ bulk system =</t>
  </si>
  <si>
    <t>* Price from Table A (which does not include</t>
  </si>
  <si>
    <t>Less Transmission</t>
  </si>
  <si>
    <t>transmission for the Central/Western Division).</t>
  </si>
  <si>
    <t xml:space="preserve">BGS Cost </t>
  </si>
  <si>
    <t>Central/West transmission contribution to weighted</t>
  </si>
  <si>
    <t>Retail BGS Rates (excl SUT) (¢/kWh)</t>
  </si>
  <si>
    <t>All kWh (¢/kWh)</t>
  </si>
  <si>
    <t>Peak kWh (¢/kWh)</t>
  </si>
  <si>
    <t>Off-Peak kWh (¢/kWh)</t>
  </si>
  <si>
    <t>Demand Charge ($/kW) 1st 5kW</t>
  </si>
  <si>
    <t>Demand Charge ($/kW) &gt; 5 kW</t>
  </si>
  <si>
    <t>Retail BGS Rates (incl SUT) (¢/kWh)</t>
  </si>
  <si>
    <t>SUT @</t>
  </si>
  <si>
    <t>SC1</t>
  </si>
  <si>
    <t>Table #21A</t>
  </si>
  <si>
    <r>
      <t>Determination of Retail Rates to be Charged to BGS Customers</t>
    </r>
    <r>
      <rPr>
        <b/>
        <i/>
        <sz val="8.6999999999999993"/>
        <rFont val="Arial"/>
        <family val="2"/>
      </rPr>
      <t xml:space="preserve"> (INCLUDING RETAIL TRANSMISSION RATES)</t>
    </r>
  </si>
  <si>
    <t>Transmission Rates (excl SUT)</t>
  </si>
  <si>
    <t>Cents/kWh</t>
  </si>
  <si>
    <t>Summer $/kW</t>
  </si>
  <si>
    <t>Winter $/kW</t>
  </si>
  <si>
    <t>Retail Shopping Credits (BGS and Transmission Rates) (excl SUT) (¢/kWh)</t>
  </si>
  <si>
    <t>Demand Charge ($/kW)</t>
  </si>
  <si>
    <t>Table #22</t>
  </si>
  <si>
    <t>Reconciliation of Customer Revenue and Supplier Payments</t>
  </si>
  <si>
    <t>Assumed Winning Bid Price =</t>
  </si>
  <si>
    <t>Payment Ratio - Summer =</t>
  </si>
  <si>
    <t>Payment Ratio - Winter =</t>
  </si>
  <si>
    <t>Supplier Price - Summer =</t>
  </si>
  <si>
    <t>Supplier Price - Winter =</t>
  </si>
  <si>
    <t>Total BGS Revenue (Excl SUT) - in $1000</t>
  </si>
  <si>
    <t>Total Supplier Payment - in $1000</t>
  </si>
  <si>
    <t>Less Transmission Credits</t>
  </si>
  <si>
    <t>Net BGS Cost</t>
  </si>
  <si>
    <t>Differences</t>
  </si>
  <si>
    <t>ROCKLAND ELECTRIC COMPANY</t>
  </si>
  <si>
    <t>Table A</t>
  </si>
  <si>
    <t>Weighted Average Price Calculation</t>
  </si>
  <si>
    <t>Auction</t>
  </si>
  <si>
    <t>Line #</t>
  </si>
  <si>
    <t>Specific BGS-FP Auction &gt;&gt;</t>
  </si>
  <si>
    <t>36 Month</t>
  </si>
  <si>
    <t>Notes:</t>
  </si>
  <si>
    <t>Tranches</t>
  </si>
  <si>
    <t>From then-current auction</t>
  </si>
  <si>
    <t>Winning Bid Price (¢/kWh)*</t>
  </si>
  <si>
    <t>Transmission (¢/kWh)</t>
  </si>
  <si>
    <t>Average transmission cost included in bid</t>
  </si>
  <si>
    <t>BGS (¢/kWh)</t>
  </si>
  <si>
    <t>=(2) - (3)</t>
  </si>
  <si>
    <t>Weighted Avg BGS</t>
  </si>
  <si>
    <t>= (1) / Total Tranches * (4)</t>
  </si>
  <si>
    <t>Weighted Avg Trans</t>
  </si>
  <si>
    <t>= (1) / Total Tranches * (3)</t>
  </si>
  <si>
    <t>Weighted Avg Total Price (¢/kWh)</t>
  </si>
  <si>
    <t>Seasonal Payment Factors</t>
  </si>
  <si>
    <t xml:space="preserve">                           Summer</t>
  </si>
  <si>
    <t>**</t>
  </si>
  <si>
    <t>From then-current Bid Factor Spreadsheet</t>
  </si>
  <si>
    <t xml:space="preserve">                           Winter</t>
  </si>
  <si>
    <t>Applicable Customer Usage @ transmission nodes</t>
  </si>
  <si>
    <t>(Eastern Division)</t>
  </si>
  <si>
    <t xml:space="preserve">                           Summer MWh</t>
  </si>
  <si>
    <t xml:space="preserve">                           Winter MWh</t>
  </si>
  <si>
    <t>Total Cost</t>
  </si>
  <si>
    <t>= (1) / Total Tranches * (2c) / 100 * (8) * (10) * 1,000</t>
  </si>
  <si>
    <t>= (1) / Total Tranches * (2c) / 100* (9) * (11) * 1,000</t>
  </si>
  <si>
    <t>= (13) + (14)</t>
  </si>
  <si>
    <t>Average Cost (NJ Statewide Auction)</t>
  </si>
  <si>
    <t>= sum(line 13) / (10) / 1000 * 100  rounded to 3 decimal places</t>
  </si>
  <si>
    <t>= sum(line 14) / (11) / 1000 * 100  rounded to 3 decimal places</t>
  </si>
  <si>
    <t>= sum(line 15) / (12) / 1000 * 100  rounded to 3 decimal places</t>
  </si>
  <si>
    <t>Average Cost (Including RECO RFP)</t>
  </si>
  <si>
    <t>BGS</t>
  </si>
  <si>
    <t>RECO</t>
  </si>
  <si>
    <t>RFP</t>
  </si>
  <si>
    <t>Includes RECO RFP equivalent tranches</t>
  </si>
  <si>
    <t>Price ¢/kWh</t>
  </si>
  <si>
    <t>(excludes transmission).</t>
  </si>
  <si>
    <t>Transmission</t>
  </si>
  <si>
    <t>= (20) - (21)</t>
  </si>
  <si>
    <t>= (19) / Total Tranches * (22)</t>
  </si>
  <si>
    <t>= (19) / Total Tranches * (21)</t>
  </si>
  <si>
    <t>Weighted Avg Total Price</t>
  </si>
  <si>
    <t>= (23) + (24)</t>
  </si>
  <si>
    <t>*  Includes Impact of PJM Marginal Losses</t>
  </si>
  <si>
    <t>** Auction results set to 1.0 to avoid using an atypical result from the current 12-month forward prices.</t>
  </si>
  <si>
    <t>Table B</t>
  </si>
  <si>
    <t>(from Table 15 of Bid Factor Spreadsheet)</t>
  </si>
  <si>
    <t>includes energy, G&amp;T obligations, and Ancillary Services - adjusted to billing time periods</t>
  </si>
  <si>
    <t>Table C</t>
  </si>
  <si>
    <t>Determination of Preliminary Retail Rates to be Charged to BGS Customers</t>
  </si>
  <si>
    <t>All-In Average costs @ Trans node =</t>
  </si>
  <si>
    <t>/MWh*</t>
  </si>
  <si>
    <t>/MWh**</t>
  </si>
  <si>
    <t>Demand Charge ($/kW)&gt; 5 kW</t>
  </si>
  <si>
    <t>Table D</t>
  </si>
  <si>
    <t>Calculation of Rate Adjustment Factors</t>
  </si>
  <si>
    <t>Total Supplier Payments - in $1000</t>
  </si>
  <si>
    <t>Eastern Division</t>
  </si>
  <si>
    <t>Net BGS</t>
  </si>
  <si>
    <t>Central/Western Division</t>
  </si>
  <si>
    <t>Total RECO FP</t>
  </si>
  <si>
    <t>Rate</t>
  </si>
  <si>
    <t>Adjustment</t>
  </si>
  <si>
    <t>Revenue</t>
  </si>
  <si>
    <t>Costs</t>
  </si>
  <si>
    <t>Difference</t>
  </si>
  <si>
    <t>Factors</t>
  </si>
  <si>
    <t>Table E</t>
  </si>
  <si>
    <t>Final Retail BGS Rates (¢/kWh)</t>
  </si>
  <si>
    <t>Rates Excluding SUT:</t>
  </si>
  <si>
    <t>Original Rates Excluding SUT (zero Retail Access Adjustment)</t>
  </si>
  <si>
    <t>NA</t>
  </si>
  <si>
    <t>Rates Including SUT:</t>
  </si>
  <si>
    <t>Table F</t>
  </si>
  <si>
    <t>Spreadsheet Error Checking</t>
  </si>
  <si>
    <t>Supplier Payments - in $1000</t>
  </si>
  <si>
    <t>$/kW</t>
  </si>
  <si>
    <t>DETAILS OF RECO RFP AND INPUTS</t>
  </si>
  <si>
    <t>Summary of Usage By Season</t>
  </si>
  <si>
    <t>Sales:</t>
  </si>
  <si>
    <t>Eastern</t>
  </si>
  <si>
    <t>Cen/West</t>
  </si>
  <si>
    <t>Sendout:</t>
  </si>
  <si>
    <t>ORU Budget</t>
  </si>
  <si>
    <t>Total NUG</t>
  </si>
  <si>
    <t>Hedged Energy</t>
  </si>
  <si>
    <t>Unhedged Energy</t>
  </si>
  <si>
    <t>Hedged Capacity</t>
  </si>
  <si>
    <t>Unhedged Capacity</t>
  </si>
  <si>
    <t>Sendout (MWh)</t>
  </si>
  <si>
    <t>Output (MWh)</t>
  </si>
  <si>
    <t>Energy Charge ($/MWh)</t>
  </si>
  <si>
    <t>Total ($)</t>
  </si>
  <si>
    <t>ATC Forward Energy ($/MWh)</t>
  </si>
  <si>
    <t>Charge ($/MWh)</t>
  </si>
  <si>
    <t>Peak Load (MW)</t>
  </si>
  <si>
    <t>Capacity Charge ($/kW-month)</t>
  </si>
  <si>
    <t>Avg Annual Price for RECO RFP</t>
  </si>
  <si>
    <t>At Market NUGS</t>
  </si>
  <si>
    <t>MWh</t>
  </si>
  <si>
    <t>Based on Jun  2020 to May 2021 Forwards @ PJM West as of June 03, 2019</t>
  </si>
  <si>
    <t>Based on May 2020 to Apr 2021 Forwards @ NYISO Zone G and Lower Hudson Valley (LHV) as of June 01,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</si>
</sst>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_(&quot;$&quot;* #,##0_);_(&quot;$&quot;* \(#,##0\);_(&quot;$&quot;* &quot;-&quot;??_);_(@_)"/>
    <numFmt numFmtId="167" formatCode="#,##0.000"/>
    <numFmt numFmtId="168" formatCode="#,##0.0"/>
    <numFmt numFmtId="169" formatCode="_(* #,##0_);_(* \(#,##0\);_(* &quot;-&quot;??_);_(@_)"/>
    <numFmt numFmtId="170" formatCode="0.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_(* #,##0.000_);_(* \(#,##0.000\);_(* &quot;-&quot;??_);_(@_)"/>
    <numFmt numFmtId="174" formatCode="_(* #,##0.0000_);_(* \(#,##0.0000\);_(* &quot;-&quot;??_);_(@_)"/>
    <numFmt numFmtId="175" formatCode="0.0000"/>
    <numFmt numFmtId="176" formatCode="&quot;$&quot;#,##0.00"/>
    <numFmt numFmtId="177" formatCode="0.000%"/>
    <numFmt numFmtId="178" formatCode="_(* #,##0.000000_);_(* \(#,##0.000000\);_(* &quot;-&quot;??_);_(@_)"/>
    <numFmt numFmtId="179" formatCode="#,##0.000_);\(#,##0.000\)"/>
    <numFmt numFmtId="180" formatCode="0.00_);\(0.00\)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sz val="8"/>
      <name val="Arial"/>
      <family val="2"/>
    </font>
    <font>
      <b/>
      <i/>
      <sz val="8.6999999999999993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Alignment="1">
      <alignment horizontal="left"/>
    </xf>
    <xf numFmtId="0" fontId="5" fillId="0" borderId="0" xfId="0" quotePrefix="1" applyFont="1" applyFill="1" applyAlignment="1">
      <alignment horizontal="left"/>
    </xf>
    <xf numFmtId="0" fontId="1" fillId="0" borderId="0" xfId="0" applyFont="1"/>
    <xf numFmtId="3" fontId="9" fillId="0" borderId="0" xfId="0" applyNumberFormat="1" applyFont="1" applyFill="1"/>
    <xf numFmtId="0" fontId="0" fillId="0" borderId="0" xfId="0" applyAlignment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Continuous"/>
    </xf>
    <xf numFmtId="0" fontId="5" fillId="0" borderId="0" xfId="0" applyFont="1" applyFill="1" applyBorder="1"/>
    <xf numFmtId="44" fontId="0" fillId="0" borderId="0" xfId="2" quotePrefix="1" applyFont="1" applyFill="1"/>
    <xf numFmtId="166" fontId="0" fillId="0" borderId="0" xfId="2" quotePrefix="1" applyNumberFormat="1" applyFont="1" applyFill="1" applyAlignment="1">
      <alignment horizontal="left"/>
    </xf>
    <xf numFmtId="44" fontId="0" fillId="0" borderId="0" xfId="2" quotePrefix="1" applyFont="1" applyFill="1" applyAlignment="1">
      <alignment horizontal="left"/>
    </xf>
    <xf numFmtId="0" fontId="7" fillId="0" borderId="0" xfId="0" applyFont="1" applyFill="1"/>
    <xf numFmtId="173" fontId="7" fillId="0" borderId="0" xfId="1" quotePrefix="1" applyNumberFormat="1" applyFont="1" applyFill="1" applyBorder="1"/>
    <xf numFmtId="0" fontId="7" fillId="0" borderId="0" xfId="0" applyFont="1" applyFill="1" applyAlignment="1">
      <alignment horizontal="right"/>
    </xf>
    <xf numFmtId="0" fontId="7" fillId="0" borderId="0" xfId="0" quotePrefix="1" applyFont="1" applyFill="1" applyAlignment="1">
      <alignment horizontal="right"/>
    </xf>
    <xf numFmtId="44" fontId="7" fillId="0" borderId="0" xfId="2" quotePrefix="1" applyFont="1" applyFill="1" applyBorder="1"/>
    <xf numFmtId="0" fontId="7" fillId="0" borderId="0" xfId="0" quotePrefix="1" applyFont="1" applyFill="1" applyAlignment="1">
      <alignment horizontal="left"/>
    </xf>
    <xf numFmtId="166" fontId="0" fillId="0" borderId="0" xfId="2" applyNumberFormat="1" applyFont="1" applyFill="1"/>
    <xf numFmtId="9" fontId="0" fillId="0" borderId="0" xfId="3" applyFont="1" applyFill="1"/>
    <xf numFmtId="166" fontId="0" fillId="0" borderId="0" xfId="3" applyNumberFormat="1" applyFont="1" applyFill="1"/>
    <xf numFmtId="0" fontId="8" fillId="0" borderId="0" xfId="0" applyFont="1" applyFill="1" applyAlignment="1">
      <alignment horizontal="right"/>
    </xf>
    <xf numFmtId="7" fontId="0" fillId="0" borderId="0" xfId="3" applyNumberFormat="1" applyFont="1" applyFill="1"/>
    <xf numFmtId="44" fontId="6" fillId="0" borderId="0" xfId="0" quotePrefix="1" applyNumberFormat="1" applyFont="1" applyFill="1"/>
    <xf numFmtId="0" fontId="9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166" fontId="9" fillId="0" borderId="0" xfId="2" applyNumberFormat="1" applyFont="1" applyFill="1"/>
    <xf numFmtId="166" fontId="9" fillId="0" borderId="0" xfId="0" applyNumberFormat="1" applyFont="1" applyFill="1"/>
    <xf numFmtId="166" fontId="7" fillId="0" borderId="0" xfId="0" applyNumberFormat="1" applyFont="1" applyFill="1"/>
    <xf numFmtId="177" fontId="6" fillId="0" borderId="0" xfId="3" applyNumberFormat="1" applyFont="1" applyFill="1"/>
    <xf numFmtId="166" fontId="9" fillId="0" borderId="0" xfId="0" quotePrefix="1" applyNumberFormat="1" applyFont="1" applyFill="1" applyAlignment="1">
      <alignment horizontal="left"/>
    </xf>
    <xf numFmtId="0" fontId="14" fillId="0" borderId="0" xfId="0" applyFont="1"/>
    <xf numFmtId="170" fontId="14" fillId="0" borderId="0" xfId="0" applyNumberFormat="1" applyFont="1" applyFill="1" applyBorder="1"/>
    <xf numFmtId="0" fontId="14" fillId="0" borderId="0" xfId="0" applyFont="1" applyFill="1"/>
    <xf numFmtId="175" fontId="14" fillId="0" borderId="0" xfId="0" applyNumberFormat="1" applyFont="1" applyFill="1"/>
    <xf numFmtId="0" fontId="14" fillId="0" borderId="0" xfId="0" applyFont="1" applyFill="1" applyAlignment="1">
      <alignment horizontal="center"/>
    </xf>
    <xf numFmtId="0" fontId="20" fillId="0" borderId="0" xfId="0" applyFont="1" applyFill="1"/>
    <xf numFmtId="3" fontId="14" fillId="0" borderId="0" xfId="0" applyNumberFormat="1" applyFont="1" applyFill="1"/>
    <xf numFmtId="3" fontId="20" fillId="0" borderId="0" xfId="0" applyNumberFormat="1" applyFont="1" applyFill="1"/>
    <xf numFmtId="0" fontId="14" fillId="0" borderId="0" xfId="0" applyFont="1" applyFill="1" applyBorder="1"/>
    <xf numFmtId="170" fontId="21" fillId="0" borderId="15" xfId="0" applyNumberFormat="1" applyFont="1" applyFill="1" applyBorder="1"/>
    <xf numFmtId="44" fontId="7" fillId="0" borderId="0" xfId="2" quotePrefix="1" applyNumberFormat="1" applyFont="1" applyFill="1" applyBorder="1"/>
    <xf numFmtId="43" fontId="22" fillId="0" borderId="0" xfId="1" applyFont="1" applyFill="1" applyAlignment="1">
      <alignment horizontal="right"/>
    </xf>
    <xf numFmtId="166" fontId="22" fillId="0" borderId="0" xfId="0" applyNumberFormat="1" applyFont="1" applyFill="1"/>
    <xf numFmtId="0" fontId="0" fillId="2" borderId="0" xfId="0" applyFill="1"/>
    <xf numFmtId="0" fontId="8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/>
    <xf numFmtId="0" fontId="0" fillId="2" borderId="0" xfId="0" quotePrefix="1" applyFill="1" applyAlignment="1">
      <alignment horizontal="left"/>
    </xf>
    <xf numFmtId="179" fontId="0" fillId="2" borderId="0" xfId="0" quotePrefix="1" applyNumberFormat="1" applyFill="1" applyAlignment="1">
      <alignment horizontal="right"/>
    </xf>
    <xf numFmtId="179" fontId="0" fillId="2" borderId="0" xfId="0" applyNumberFormat="1" applyFill="1"/>
    <xf numFmtId="164" fontId="0" fillId="2" borderId="0" xfId="3" quotePrefix="1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179" fontId="1" fillId="2" borderId="0" xfId="0" applyNumberFormat="1" applyFont="1" applyFill="1"/>
    <xf numFmtId="0" fontId="1" fillId="2" borderId="0" xfId="0" quotePrefix="1" applyFont="1" applyFill="1" applyAlignment="1">
      <alignment horizontal="left"/>
    </xf>
    <xf numFmtId="179" fontId="1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3" borderId="0" xfId="0" quotePrefix="1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37" fontId="0" fillId="3" borderId="0" xfId="0" applyNumberFormat="1" applyFill="1" applyAlignment="1"/>
    <xf numFmtId="180" fontId="0" fillId="3" borderId="0" xfId="0" applyNumberFormat="1" applyFill="1" applyAlignment="1"/>
    <xf numFmtId="37" fontId="9" fillId="3" borderId="0" xfId="0" applyNumberFormat="1" applyFont="1" applyFill="1" applyAlignment="1"/>
    <xf numFmtId="180" fontId="9" fillId="3" borderId="0" xfId="0" applyNumberFormat="1" applyFont="1" applyFill="1" applyAlignment="1"/>
    <xf numFmtId="0" fontId="0" fillId="3" borderId="0" xfId="0" applyFill="1" applyAlignment="1"/>
    <xf numFmtId="2" fontId="0" fillId="3" borderId="0" xfId="0" applyNumberFormat="1" applyFill="1" applyAlignment="1"/>
    <xf numFmtId="0" fontId="0" fillId="0" borderId="0" xfId="0" applyFont="1" applyFill="1"/>
    <xf numFmtId="10" fontId="0" fillId="0" borderId="0" xfId="3" quotePrefix="1" applyNumberFormat="1" applyFont="1" applyFill="1"/>
    <xf numFmtId="10" fontId="0" fillId="0" borderId="0" xfId="3" applyNumberFormat="1" applyFont="1" applyFill="1"/>
    <xf numFmtId="164" fontId="0" fillId="0" borderId="0" xfId="3" quotePrefix="1" applyNumberFormat="1" applyFont="1" applyFill="1" applyAlignment="1">
      <alignment horizontal="right"/>
    </xf>
    <xf numFmtId="3" fontId="0" fillId="0" borderId="0" xfId="0" applyNumberFormat="1" applyFont="1" applyFill="1"/>
    <xf numFmtId="0" fontId="0" fillId="0" borderId="0" xfId="0" applyFont="1" applyFill="1" applyAlignment="1">
      <alignment horizontal="right"/>
    </xf>
    <xf numFmtId="3" fontId="0" fillId="0" borderId="0" xfId="0" quotePrefix="1" applyNumberFormat="1" applyFont="1" applyFill="1"/>
    <xf numFmtId="0" fontId="0" fillId="0" borderId="0" xfId="0" quotePrefix="1" applyFont="1" applyFill="1" applyAlignment="1">
      <alignment horizontal="right"/>
    </xf>
    <xf numFmtId="4" fontId="0" fillId="0" borderId="0" xfId="0" applyNumberFormat="1" applyFont="1" applyFill="1"/>
    <xf numFmtId="165" fontId="0" fillId="0" borderId="0" xfId="0" applyNumberFormat="1" applyFont="1" applyFill="1"/>
    <xf numFmtId="44" fontId="0" fillId="0" borderId="0" xfId="2" quotePrefix="1" applyNumberFormat="1" applyFont="1" applyFill="1"/>
    <xf numFmtId="166" fontId="0" fillId="0" borderId="0" xfId="2" quotePrefix="1" applyNumberFormat="1" applyFont="1" applyFill="1"/>
    <xf numFmtId="167" fontId="0" fillId="0" borderId="0" xfId="0" applyNumberFormat="1" applyFont="1" applyFill="1"/>
    <xf numFmtId="168" fontId="0" fillId="0" borderId="0" xfId="0" applyNumberFormat="1" applyFont="1" applyFill="1"/>
    <xf numFmtId="169" fontId="0" fillId="0" borderId="0" xfId="0" applyNumberFormat="1" applyFont="1" applyFill="1"/>
    <xf numFmtId="7" fontId="0" fillId="0" borderId="0" xfId="2" applyNumberFormat="1" applyFont="1" applyFill="1"/>
    <xf numFmtId="0" fontId="0" fillId="0" borderId="0" xfId="0" quotePrefix="1" applyFont="1" applyFill="1" applyAlignment="1">
      <alignment horizontal="left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170" fontId="0" fillId="0" borderId="0" xfId="0" applyNumberFormat="1" applyFont="1" applyFill="1"/>
    <xf numFmtId="10" fontId="0" fillId="0" borderId="0" xfId="0" applyNumberFormat="1" applyFont="1" applyFill="1" applyBorder="1"/>
    <xf numFmtId="7" fontId="0" fillId="0" borderId="0" xfId="0" applyNumberFormat="1" applyFont="1" applyFill="1"/>
    <xf numFmtId="0" fontId="0" fillId="0" borderId="0" xfId="0" quotePrefix="1" applyFont="1" applyFill="1"/>
    <xf numFmtId="166" fontId="0" fillId="0" borderId="0" xfId="0" applyNumberFormat="1" applyFont="1" applyFill="1"/>
    <xf numFmtId="5" fontId="0" fillId="0" borderId="0" xfId="0" applyNumberFormat="1" applyFont="1" applyFill="1"/>
    <xf numFmtId="17" fontId="0" fillId="0" borderId="0" xfId="0" applyNumberFormat="1" applyFont="1" applyFill="1"/>
    <xf numFmtId="17" fontId="0" fillId="0" borderId="0" xfId="0" applyNumberFormat="1" applyFont="1" applyFill="1" applyAlignment="1">
      <alignment horizontal="right"/>
    </xf>
    <xf numFmtId="171" fontId="0" fillId="0" borderId="0" xfId="2" quotePrefix="1" applyNumberFormat="1" applyFont="1" applyFill="1"/>
    <xf numFmtId="172" fontId="0" fillId="0" borderId="0" xfId="0" applyNumberFormat="1" applyFont="1" applyFill="1"/>
    <xf numFmtId="166" fontId="0" fillId="0" borderId="0" xfId="0" quotePrefix="1" applyNumberFormat="1" applyFont="1" applyFill="1" applyAlignment="1">
      <alignment horizontal="left"/>
    </xf>
    <xf numFmtId="43" fontId="0" fillId="0" borderId="0" xfId="1" quotePrefix="1" applyFont="1" applyFill="1"/>
    <xf numFmtId="4" fontId="0" fillId="0" borderId="5" xfId="0" applyNumberFormat="1" applyFont="1" applyFill="1" applyBorder="1"/>
    <xf numFmtId="9" fontId="0" fillId="0" borderId="0" xfId="3" applyNumberFormat="1" applyFont="1" applyFill="1"/>
    <xf numFmtId="175" fontId="0" fillId="0" borderId="0" xfId="0" applyNumberFormat="1" applyFont="1" applyFill="1"/>
    <xf numFmtId="9" fontId="0" fillId="0" borderId="0" xfId="1" applyNumberFormat="1" applyFont="1" applyFill="1"/>
    <xf numFmtId="43" fontId="0" fillId="0" borderId="0" xfId="2" applyNumberFormat="1" applyFont="1" applyFill="1"/>
    <xf numFmtId="44" fontId="0" fillId="0" borderId="0" xfId="0" applyNumberFormat="1" applyFont="1" applyFill="1"/>
    <xf numFmtId="176" fontId="0" fillId="0" borderId="0" xfId="0" applyNumberFormat="1" applyFont="1" applyFill="1" applyBorder="1" applyAlignment="1">
      <alignment horizontal="left"/>
    </xf>
    <xf numFmtId="177" fontId="0" fillId="0" borderId="0" xfId="0" applyNumberFormat="1" applyFont="1" applyFill="1"/>
    <xf numFmtId="170" fontId="0" fillId="0" borderId="0" xfId="0" quotePrefix="1" applyNumberFormat="1" applyFont="1" applyFill="1" applyAlignment="1">
      <alignment horizontal="right"/>
    </xf>
    <xf numFmtId="2" fontId="0" fillId="0" borderId="0" xfId="0" quotePrefix="1" applyNumberFormat="1" applyFont="1" applyFill="1" applyAlignment="1">
      <alignment horizontal="right"/>
    </xf>
    <xf numFmtId="176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24" fillId="0" borderId="0" xfId="0" applyFont="1" applyFill="1"/>
    <xf numFmtId="1" fontId="7" fillId="0" borderId="0" xfId="1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Alignment="1">
      <alignment horizontal="left"/>
    </xf>
    <xf numFmtId="0" fontId="7" fillId="0" borderId="0" xfId="0" quotePrefix="1" applyFont="1" applyFill="1" applyBorder="1"/>
    <xf numFmtId="39" fontId="0" fillId="0" borderId="0" xfId="0" quotePrefix="1" applyNumberFormat="1" applyFont="1" applyFill="1"/>
    <xf numFmtId="0" fontId="7" fillId="0" borderId="0" xfId="0" quotePrefix="1" applyFont="1" applyFill="1" applyBorder="1" applyAlignment="1">
      <alignment horizontal="left"/>
    </xf>
    <xf numFmtId="0" fontId="5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5" fillId="0" borderId="0" xfId="0" quotePrefix="1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0" fillId="0" borderId="0" xfId="3" quotePrefix="1" applyNumberFormat="1" applyFont="1" applyFill="1"/>
    <xf numFmtId="9" fontId="0" fillId="0" borderId="0" xfId="3" quotePrefix="1" applyFont="1" applyFill="1"/>
    <xf numFmtId="10" fontId="0" fillId="0" borderId="0" xfId="0" applyNumberFormat="1" applyFont="1" applyFill="1"/>
    <xf numFmtId="9" fontId="5" fillId="0" borderId="0" xfId="3" applyFont="1" applyFill="1"/>
    <xf numFmtId="0" fontId="5" fillId="0" borderId="0" xfId="0" quotePrefix="1" applyFont="1" applyFill="1" applyAlignment="1">
      <alignment horizontal="center" wrapText="1"/>
    </xf>
    <xf numFmtId="9" fontId="0" fillId="0" borderId="0" xfId="3" quotePrefix="1" applyFont="1" applyFill="1" applyAlignment="1">
      <alignment horizontal="center"/>
    </xf>
    <xf numFmtId="17" fontId="7" fillId="0" borderId="0" xfId="0" applyNumberFormat="1" applyFont="1" applyFill="1"/>
    <xf numFmtId="17" fontId="5" fillId="0" borderId="0" xfId="0" quotePrefix="1" applyNumberFormat="1" applyFont="1" applyFill="1" applyAlignment="1">
      <alignment horizontal="left"/>
    </xf>
    <xf numFmtId="3" fontId="0" fillId="0" borderId="0" xfId="0" quotePrefix="1" applyNumberFormat="1" applyFont="1" applyFill="1" applyBorder="1"/>
    <xf numFmtId="17" fontId="0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0" fillId="0" borderId="4" xfId="0" applyNumberFormat="1" applyFont="1" applyFill="1" applyBorder="1"/>
    <xf numFmtId="3" fontId="0" fillId="0" borderId="0" xfId="0" applyNumberFormat="1" applyFont="1" applyFill="1" applyBorder="1"/>
    <xf numFmtId="3" fontId="0" fillId="0" borderId="0" xfId="0" quotePrefix="1" applyNumberFormat="1" applyFont="1" applyFill="1" applyBorder="1" applyAlignment="1">
      <alignment horizontal="right"/>
    </xf>
    <xf numFmtId="165" fontId="0" fillId="0" borderId="0" xfId="0" applyNumberFormat="1" applyFont="1" applyFill="1" applyBorder="1"/>
    <xf numFmtId="0" fontId="0" fillId="0" borderId="5" xfId="0" applyFont="1" applyFill="1" applyBorder="1" applyAlignment="1"/>
    <xf numFmtId="0" fontId="6" fillId="0" borderId="0" xfId="0" quotePrefix="1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quotePrefix="1" applyFont="1" applyFill="1" applyBorder="1" applyAlignment="1">
      <alignment horizontal="right"/>
    </xf>
    <xf numFmtId="166" fontId="0" fillId="0" borderId="0" xfId="2" applyNumberFormat="1" applyFont="1" applyFill="1" applyBorder="1"/>
    <xf numFmtId="44" fontId="0" fillId="0" borderId="0" xfId="0" applyNumberFormat="1" applyFont="1" applyFill="1" applyBorder="1"/>
    <xf numFmtId="44" fontId="0" fillId="0" borderId="0" xfId="2" applyFont="1" applyFill="1"/>
    <xf numFmtId="166" fontId="0" fillId="0" borderId="0" xfId="0" applyNumberFormat="1" applyFont="1" applyFill="1" applyBorder="1"/>
    <xf numFmtId="39" fontId="0" fillId="0" borderId="0" xfId="0" applyNumberFormat="1" applyFont="1" applyFill="1"/>
    <xf numFmtId="14" fontId="0" fillId="0" borderId="0" xfId="0" applyNumberFormat="1" applyFont="1" applyFill="1"/>
    <xf numFmtId="168" fontId="0" fillId="0" borderId="0" xfId="0" applyNumberFormat="1" applyFont="1" applyFill="1" applyAlignment="1">
      <alignment horizontal="right"/>
    </xf>
    <xf numFmtId="43" fontId="0" fillId="0" borderId="0" xfId="1" applyFont="1" applyFill="1"/>
    <xf numFmtId="43" fontId="0" fillId="0" borderId="0" xfId="0" applyNumberFormat="1" applyFont="1" applyFill="1"/>
    <xf numFmtId="171" fontId="0" fillId="0" borderId="0" xfId="0" applyNumberFormat="1" applyFont="1" applyFill="1"/>
    <xf numFmtId="0" fontId="9" fillId="0" borderId="0" xfId="0" applyFont="1" applyFill="1" applyAlignment="1">
      <alignment horizontal="left"/>
    </xf>
    <xf numFmtId="44" fontId="0" fillId="0" borderId="0" xfId="2" applyNumberFormat="1" applyFont="1" applyFill="1"/>
    <xf numFmtId="0" fontId="6" fillId="0" borderId="0" xfId="0" applyFont="1" applyFill="1"/>
    <xf numFmtId="0" fontId="10" fillId="0" borderId="0" xfId="0" applyFont="1" applyFill="1"/>
    <xf numFmtId="0" fontId="11" fillId="0" borderId="0" xfId="0" applyFont="1" applyFill="1"/>
    <xf numFmtId="17" fontId="9" fillId="0" borderId="0" xfId="0" applyNumberFormat="1" applyFont="1" applyFill="1" applyAlignment="1">
      <alignment horizontal="left"/>
    </xf>
    <xf numFmtId="0" fontId="9" fillId="0" borderId="4" xfId="0" quotePrefix="1" applyFont="1" applyFill="1" applyBorder="1" applyAlignment="1">
      <alignment horizontal="left"/>
    </xf>
    <xf numFmtId="0" fontId="12" fillId="0" borderId="0" xfId="0" quotePrefix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9" fontId="11" fillId="0" borderId="0" xfId="0" applyNumberFormat="1" applyFont="1" applyFill="1"/>
    <xf numFmtId="171" fontId="11" fillId="0" borderId="0" xfId="2" quotePrefix="1" applyNumberFormat="1" applyFont="1" applyFill="1"/>
    <xf numFmtId="3" fontId="11" fillId="0" borderId="0" xfId="0" quotePrefix="1" applyNumberFormat="1" applyFont="1" applyFill="1"/>
    <xf numFmtId="3" fontId="11" fillId="0" borderId="0" xfId="0" applyNumberFormat="1" applyFont="1" applyFill="1"/>
    <xf numFmtId="0" fontId="12" fillId="0" borderId="0" xfId="0" applyFont="1" applyFill="1" applyAlignment="1">
      <alignment horizontal="left"/>
    </xf>
    <xf numFmtId="0" fontId="11" fillId="0" borderId="0" xfId="0" quotePrefix="1" applyFont="1" applyFill="1"/>
    <xf numFmtId="44" fontId="11" fillId="0" borderId="0" xfId="2" applyNumberFormat="1" applyFont="1" applyFill="1"/>
    <xf numFmtId="44" fontId="11" fillId="0" borderId="0" xfId="0" applyNumberFormat="1" applyFont="1" applyFill="1"/>
    <xf numFmtId="166" fontId="0" fillId="0" borderId="6" xfId="0" applyNumberFormat="1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3" fontId="0" fillId="0" borderId="9" xfId="0" applyNumberFormat="1" applyFont="1" applyFill="1" applyBorder="1"/>
    <xf numFmtId="0" fontId="0" fillId="0" borderId="10" xfId="0" applyFont="1" applyFill="1" applyBorder="1"/>
    <xf numFmtId="3" fontId="0" fillId="0" borderId="11" xfId="0" applyNumberFormat="1" applyFont="1" applyFill="1" applyBorder="1"/>
    <xf numFmtId="43" fontId="0" fillId="0" borderId="0" xfId="1" quotePrefix="1" applyFont="1" applyFill="1" applyBorder="1"/>
    <xf numFmtId="43" fontId="7" fillId="0" borderId="0" xfId="1" quotePrefix="1" applyFont="1" applyFill="1" applyBorder="1"/>
    <xf numFmtId="173" fontId="0" fillId="0" borderId="0" xfId="1" quotePrefix="1" applyNumberFormat="1" applyFont="1" applyFill="1" applyBorder="1"/>
    <xf numFmtId="173" fontId="0" fillId="0" borderId="0" xfId="1" quotePrefix="1" applyNumberFormat="1" applyFont="1" applyFill="1"/>
    <xf numFmtId="0" fontId="7" fillId="0" borderId="4" xfId="0" applyFont="1" applyFill="1" applyBorder="1"/>
    <xf numFmtId="171" fontId="7" fillId="0" borderId="0" xfId="0" applyNumberFormat="1" applyFont="1" applyFill="1"/>
    <xf numFmtId="17" fontId="0" fillId="0" borderId="0" xfId="0" quotePrefix="1" applyNumberFormat="1" applyFont="1" applyFill="1" applyAlignment="1">
      <alignment horizontal="right"/>
    </xf>
    <xf numFmtId="44" fontId="7" fillId="0" borderId="0" xfId="0" applyNumberFormat="1" applyFont="1" applyFill="1"/>
    <xf numFmtId="0" fontId="0" fillId="0" borderId="4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left"/>
    </xf>
    <xf numFmtId="17" fontId="9" fillId="0" borderId="0" xfId="0" quotePrefix="1" applyNumberFormat="1" applyFont="1" applyFill="1" applyAlignment="1">
      <alignment horizontal="left"/>
    </xf>
    <xf numFmtId="0" fontId="8" fillId="0" borderId="0" xfId="0" quotePrefix="1" applyFont="1" applyFill="1" applyAlignment="1">
      <alignment horizontal="right"/>
    </xf>
    <xf numFmtId="173" fontId="7" fillId="0" borderId="0" xfId="0" applyNumberFormat="1" applyFont="1" applyFill="1"/>
    <xf numFmtId="173" fontId="0" fillId="0" borderId="0" xfId="0" applyNumberFormat="1" applyFont="1" applyFill="1"/>
    <xf numFmtId="174" fontId="7" fillId="0" borderId="0" xfId="1" applyNumberFormat="1" applyFont="1" applyFill="1"/>
    <xf numFmtId="43" fontId="7" fillId="0" borderId="0" xfId="1" applyFont="1" applyFill="1"/>
    <xf numFmtId="0" fontId="0" fillId="0" borderId="5" xfId="0" applyFont="1" applyFill="1" applyBorder="1" applyAlignment="1">
      <alignment horizontal="right"/>
    </xf>
    <xf numFmtId="0" fontId="5" fillId="0" borderId="0" xfId="0" applyFont="1" applyFill="1" applyAlignment="1"/>
    <xf numFmtId="0" fontId="7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right"/>
    </xf>
    <xf numFmtId="164" fontId="0" fillId="0" borderId="0" xfId="0" applyNumberFormat="1" applyFont="1" applyFill="1"/>
    <xf numFmtId="0" fontId="9" fillId="0" borderId="0" xfId="0" applyFont="1" applyFill="1" applyAlignment="1">
      <alignment horizontal="center"/>
    </xf>
    <xf numFmtId="164" fontId="9" fillId="0" borderId="0" xfId="3" applyNumberFormat="1" applyFont="1" applyFill="1"/>
    <xf numFmtId="0" fontId="9" fillId="0" borderId="0" xfId="0" applyFont="1" applyFill="1" applyAlignment="1">
      <alignment horizontal="right"/>
    </xf>
    <xf numFmtId="7" fontId="0" fillId="0" borderId="0" xfId="0" applyNumberFormat="1" applyFont="1" applyFill="1" applyAlignment="1">
      <alignment horizontal="right"/>
    </xf>
    <xf numFmtId="0" fontId="14" fillId="0" borderId="6" xfId="0" applyFont="1" applyFill="1" applyBorder="1"/>
    <xf numFmtId="2" fontId="0" fillId="0" borderId="12" xfId="0" applyNumberFormat="1" applyFont="1" applyFill="1" applyBorder="1"/>
    <xf numFmtId="0" fontId="14" fillId="0" borderId="8" xfId="0" applyFont="1" applyFill="1" applyBorder="1"/>
    <xf numFmtId="2" fontId="0" fillId="0" borderId="0" xfId="0" applyNumberFormat="1" applyFont="1" applyFill="1" applyBorder="1"/>
    <xf numFmtId="169" fontId="0" fillId="0" borderId="0" xfId="1" applyNumberFormat="1" applyFont="1" applyFill="1"/>
    <xf numFmtId="176" fontId="0" fillId="0" borderId="0" xfId="0" applyNumberFormat="1" applyFont="1" applyFill="1" applyBorder="1"/>
    <xf numFmtId="0" fontId="14" fillId="0" borderId="10" xfId="0" applyFont="1" applyFill="1" applyBorder="1"/>
    <xf numFmtId="2" fontId="0" fillId="0" borderId="13" xfId="0" applyNumberFormat="1" applyFont="1" applyFill="1" applyBorder="1"/>
    <xf numFmtId="0" fontId="0" fillId="0" borderId="11" xfId="0" applyFont="1" applyFill="1" applyBorder="1"/>
    <xf numFmtId="0" fontId="7" fillId="0" borderId="14" xfId="0" applyFont="1" applyFill="1" applyBorder="1" applyAlignment="1">
      <alignment horizontal="left"/>
    </xf>
    <xf numFmtId="0" fontId="0" fillId="0" borderId="14" xfId="0" applyFont="1" applyFill="1" applyBorder="1"/>
    <xf numFmtId="44" fontId="9" fillId="0" borderId="0" xfId="0" applyNumberFormat="1" applyFont="1" applyFill="1"/>
    <xf numFmtId="44" fontId="14" fillId="0" borderId="0" xfId="0" applyNumberFormat="1" applyFont="1" applyFill="1"/>
    <xf numFmtId="178" fontId="0" fillId="0" borderId="0" xfId="1" quotePrefix="1" applyNumberFormat="1" applyFont="1" applyFill="1"/>
    <xf numFmtId="174" fontId="0" fillId="0" borderId="0" xfId="1" quotePrefix="1" applyNumberFormat="1" applyFont="1" applyFill="1"/>
    <xf numFmtId="166" fontId="9" fillId="0" borderId="0" xfId="2" quotePrefix="1" applyNumberFormat="1" applyFont="1" applyFill="1"/>
    <xf numFmtId="0" fontId="8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14" fillId="0" borderId="0" xfId="0" quotePrefix="1" applyFont="1" applyFill="1" applyAlignment="1">
      <alignment horizontal="left"/>
    </xf>
    <xf numFmtId="170" fontId="14" fillId="0" borderId="0" xfId="0" applyNumberFormat="1" applyFont="1" applyFill="1"/>
    <xf numFmtId="170" fontId="21" fillId="0" borderId="0" xfId="0" applyNumberFormat="1" applyFont="1" applyFill="1"/>
    <xf numFmtId="9" fontId="14" fillId="0" borderId="0" xfId="3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20" fillId="0" borderId="0" xfId="0" quotePrefix="1" applyFont="1" applyFill="1" applyAlignment="1">
      <alignment horizontal="left"/>
    </xf>
    <xf numFmtId="0" fontId="20" fillId="0" borderId="0" xfId="0" quotePrefix="1" applyFont="1" applyFill="1" applyAlignment="1">
      <alignment horizontal="right"/>
    </xf>
    <xf numFmtId="0" fontId="21" fillId="0" borderId="0" xfId="0" applyFont="1" applyFill="1"/>
    <xf numFmtId="0" fontId="14" fillId="0" borderId="0" xfId="0" applyFont="1" applyFill="1" applyAlignment="1">
      <alignment horizontal="left"/>
    </xf>
    <xf numFmtId="170" fontId="21" fillId="0" borderId="0" xfId="0" applyNumberFormat="1" applyFont="1" applyFill="1" applyBorder="1"/>
    <xf numFmtId="44" fontId="0" fillId="0" borderId="0" xfId="0" quotePrefix="1" applyNumberFormat="1" applyFont="1" applyFill="1"/>
    <xf numFmtId="2" fontId="0" fillId="0" borderId="0" xfId="0" applyNumberFormat="1" applyFont="1" applyFill="1"/>
    <xf numFmtId="179" fontId="0" fillId="0" borderId="0" xfId="0" quotePrefix="1" applyNumberFormat="1" applyFont="1" applyFill="1" applyAlignment="1">
      <alignment horizontal="right"/>
    </xf>
    <xf numFmtId="175" fontId="0" fillId="0" borderId="0" xfId="0" quotePrefix="1" applyNumberFormat="1" applyFont="1" applyFill="1" applyAlignment="1">
      <alignment horizontal="right"/>
    </xf>
    <xf numFmtId="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38" fontId="0" fillId="0" borderId="0" xfId="0" applyNumberFormat="1" applyFont="1" applyFill="1" applyAlignment="1">
      <alignment horizontal="center"/>
    </xf>
    <xf numFmtId="38" fontId="0" fillId="0" borderId="9" xfId="0" applyNumberFormat="1" applyFont="1" applyFill="1" applyBorder="1" applyAlignment="1">
      <alignment horizontal="center"/>
    </xf>
    <xf numFmtId="176" fontId="0" fillId="0" borderId="0" xfId="0" applyNumberFormat="1" applyFont="1" applyFill="1" applyAlignment="1">
      <alignment horizontal="left"/>
    </xf>
    <xf numFmtId="179" fontId="0" fillId="0" borderId="0" xfId="0" applyNumberFormat="1" applyFont="1" applyFill="1"/>
    <xf numFmtId="179" fontId="0" fillId="0" borderId="0" xfId="0" applyNumberFormat="1" applyFont="1" applyFill="1" applyAlignment="1">
      <alignment horizontal="right"/>
    </xf>
    <xf numFmtId="0" fontId="7" fillId="0" borderId="16" xfId="0" applyFont="1" applyFill="1" applyBorder="1" applyAlignment="1">
      <alignment horizontal="centerContinuous" vertical="center"/>
    </xf>
    <xf numFmtId="0" fontId="7" fillId="0" borderId="17" xfId="0" applyFont="1" applyFill="1" applyBorder="1" applyAlignment="1">
      <alignment horizontal="centerContinuous" vertical="center"/>
    </xf>
    <xf numFmtId="0" fontId="7" fillId="0" borderId="18" xfId="0" applyFont="1" applyFill="1" applyBorder="1" applyAlignment="1">
      <alignment horizontal="centerContinuous" vertical="center"/>
    </xf>
    <xf numFmtId="0" fontId="8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39" fontId="0" fillId="0" borderId="12" xfId="0" applyNumberFormat="1" applyFont="1" applyFill="1" applyBorder="1"/>
    <xf numFmtId="0" fontId="7" fillId="0" borderId="8" xfId="0" applyFont="1" applyFill="1" applyBorder="1" applyAlignment="1">
      <alignment horizontal="center"/>
    </xf>
    <xf numFmtId="39" fontId="0" fillId="0" borderId="0" xfId="0" applyNumberFormat="1" applyFont="1" applyFill="1" applyBorder="1"/>
    <xf numFmtId="0" fontId="7" fillId="0" borderId="8" xfId="0" applyFont="1" applyFill="1" applyBorder="1" applyAlignment="1">
      <alignment horizontal="left"/>
    </xf>
    <xf numFmtId="39" fontId="8" fillId="0" borderId="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9" fontId="0" fillId="0" borderId="0" xfId="1" applyNumberFormat="1" applyFont="1" applyFill="1" applyBorder="1" applyAlignment="1">
      <alignment horizontal="right"/>
    </xf>
    <xf numFmtId="169" fontId="0" fillId="0" borderId="9" xfId="1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/>
    </xf>
    <xf numFmtId="169" fontId="7" fillId="0" borderId="19" xfId="1" applyNumberFormat="1" applyFont="1" applyFill="1" applyBorder="1" applyAlignment="1">
      <alignment horizontal="right"/>
    </xf>
    <xf numFmtId="43" fontId="0" fillId="0" borderId="8" xfId="1" quotePrefix="1" applyFont="1" applyFill="1" applyBorder="1"/>
    <xf numFmtId="0" fontId="0" fillId="0" borderId="13" xfId="0" applyFont="1" applyFill="1" applyBorder="1"/>
    <xf numFmtId="39" fontId="0" fillId="0" borderId="13" xfId="0" applyNumberFormat="1" applyFont="1" applyFill="1" applyBorder="1"/>
    <xf numFmtId="0" fontId="23" fillId="0" borderId="0" xfId="0" applyFont="1" applyFill="1"/>
    <xf numFmtId="0" fontId="2" fillId="0" borderId="9" xfId="0" applyFont="1" applyFill="1" applyBorder="1"/>
    <xf numFmtId="0" fontId="23" fillId="0" borderId="15" xfId="0" applyFont="1" applyFill="1" applyBorder="1" applyAlignment="1">
      <alignment horizontal="center"/>
    </xf>
    <xf numFmtId="0" fontId="0" fillId="0" borderId="13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0" fillId="0" borderId="15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9" xfId="0" applyFont="1" applyFill="1" applyBorder="1"/>
    <xf numFmtId="2" fontId="0" fillId="0" borderId="20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7" fontId="7" fillId="0" borderId="0" xfId="0" applyNumberFormat="1" applyFont="1" applyFill="1" applyBorder="1"/>
    <xf numFmtId="4" fontId="0" fillId="0" borderId="20" xfId="0" applyNumberFormat="1" applyFont="1" applyFill="1" applyBorder="1" applyAlignment="1">
      <alignment horizontal="center"/>
    </xf>
    <xf numFmtId="37" fontId="0" fillId="0" borderId="8" xfId="0" applyNumberFormat="1" applyFont="1" applyFill="1" applyBorder="1" applyAlignment="1">
      <alignment horizontal="center"/>
    </xf>
    <xf numFmtId="0" fontId="7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0" fillId="0" borderId="18" xfId="0" applyFont="1" applyFill="1" applyBorder="1"/>
    <xf numFmtId="37" fontId="0" fillId="0" borderId="15" xfId="0" applyNumberFormat="1" applyFont="1" applyFill="1" applyBorder="1" applyAlignment="1">
      <alignment horizontal="center"/>
    </xf>
    <xf numFmtId="37" fontId="0" fillId="0" borderId="17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37" fontId="0" fillId="0" borderId="18" xfId="0" applyNumberFormat="1" applyFont="1" applyFill="1" applyBorder="1" applyAlignment="1">
      <alignment horizontal="center"/>
    </xf>
    <xf numFmtId="37" fontId="0" fillId="0" borderId="16" xfId="0" applyNumberFormat="1" applyFont="1" applyFill="1" applyBorder="1" applyAlignment="1">
      <alignment horizontal="center"/>
    </xf>
    <xf numFmtId="2" fontId="0" fillId="0" borderId="17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JJanocha\2004%20TUB%20Budget\2004%20Financial%20Reporting\September\2004%20TUB%20Forecast%209&amp;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09fi\datadirs\Forecasting\ORU%20Historical%20Data\NoCustomers\NoCustomersHistory_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Documents%20and%20Settings\jjanocha\August%202003%20Rate%20Change\Distribution%20Rates\Discovery\NJBPU-S-RD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%20JERSEY%20DEFERRAL%20RECOVERY%20CASE%202002\DEFERRAL%20CASE\Work%20Papers\Janocha%20Work%20Papers\2002-2006%20TUB%20Forecast%20Deferral%20Case%20v05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\2004%204Bs\Aug%2004%20OR%204B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,%204Bs,%208Bs\8Bs\2006%208Bs\O&amp;R\Dec%2006%20OR%208B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August%202003%20Rate%20Change\BPU%20Deferral%20Order\2003-2007%20TUB%20Forecast%20Deferral%20Case%20v080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May%20Board%20Retreat\2004-2008%20TUB%20Forecast%20MBR%20v04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NNC%20SBC%20Rate%20Update\Update%20for%20June%20Actuals\2003-2007%20TUB%20Forecast%20Deferral%20Case%20v08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Chantale.LaCasse%20Group\Stored\BGS\Starting%20Prices%20-%202016\RSCP%20Starting%20Price\RSCP%20Starting%20Price%20Info_1-25-2016_update(check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UBR Forecast"/>
      <sheetName val="Income Statement 9&amp;3"/>
      <sheetName val="Bonds Summary"/>
      <sheetName val="ACE LLC Detail Income Statement"/>
      <sheetName val="JFJ-1 Deferral Recovery Rate"/>
      <sheetName val="JFJ-2 NNC Rates"/>
      <sheetName val="JFJ-3 MTC Rate"/>
      <sheetName val="JFJ-4 CEP Rate"/>
      <sheetName val="JFJ-5 USF Rate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- 2007 BGS FP Costs"/>
      <sheetName val="Keystone Swap Amort Sched"/>
      <sheetName val="Restructuring Amort."/>
      <sheetName val="ACE 25 Year Sales Forecast"/>
      <sheetName val="BL England Rev Req"/>
      <sheetName val="Keystone Rev Req"/>
      <sheetName val="Conemaugh Rev Req"/>
      <sheetName val="Generation Summary"/>
      <sheetName val="taxes"/>
      <sheetName val="OTRA Discounts"/>
      <sheetName val="Deferral Securitization"/>
      <sheetName val="Debt Design"/>
      <sheetName val="TBC Development"/>
      <sheetName val="MTC -Tax Development"/>
      <sheetName val="Budget Summary"/>
      <sheetName val="ACE TUB - Monthly Summary"/>
      <sheetName val="TUB OTHER"/>
      <sheetName val="TUB ACE xd"/>
      <sheetName val="ACE FUND"/>
      <sheetName val="Amort Summary"/>
    </sheetNames>
    <sheetDataSet>
      <sheetData sheetId="0" refreshError="1">
        <row r="12">
          <cell r="E12">
            <v>37956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>
            <v>37622</v>
          </cell>
        </row>
        <row r="32">
          <cell r="C32" t="str">
            <v>STARTING</v>
          </cell>
          <cell r="F32" t="str">
            <v>PRINCIPAL</v>
          </cell>
          <cell r="G32" t="str">
            <v>ENDING</v>
          </cell>
        </row>
        <row r="33">
          <cell r="B33" t="str">
            <v>PERIOD</v>
          </cell>
          <cell r="C33" t="str">
            <v>BALANCE</v>
          </cell>
          <cell r="D33" t="str">
            <v>TOTAL</v>
          </cell>
          <cell r="E33" t="str">
            <v>RETURN</v>
          </cell>
          <cell r="F33" t="str">
            <v>AMORTIZATION</v>
          </cell>
          <cell r="G33" t="str">
            <v>BALANCE</v>
          </cell>
        </row>
        <row r="34">
          <cell r="B34">
            <v>37803</v>
          </cell>
          <cell r="C34">
            <v>149500000</v>
          </cell>
          <cell r="G34">
            <v>149500000</v>
          </cell>
        </row>
        <row r="35">
          <cell r="B35">
            <v>37834</v>
          </cell>
          <cell r="C35">
            <v>149500000</v>
          </cell>
          <cell r="D35">
            <v>1578055.5555555555</v>
          </cell>
          <cell r="E35">
            <v>747500</v>
          </cell>
          <cell r="F35">
            <v>830555.5555555555</v>
          </cell>
          <cell r="G35">
            <v>148669444.44444445</v>
          </cell>
          <cell r="H35">
            <v>3.5899271989497552E-3</v>
          </cell>
        </row>
        <row r="36">
          <cell r="B36">
            <v>37865</v>
          </cell>
          <cell r="C36">
            <v>148669444.44444445</v>
          </cell>
          <cell r="D36">
            <v>1575979.1666666665</v>
          </cell>
          <cell r="E36">
            <v>745423.61111111101</v>
          </cell>
          <cell r="F36">
            <v>830555.5555555555</v>
          </cell>
          <cell r="G36">
            <v>147838888.8888889</v>
          </cell>
          <cell r="H36">
            <v>3.5899271989497552E-3</v>
          </cell>
        </row>
        <row r="37">
          <cell r="B37">
            <v>37895</v>
          </cell>
          <cell r="C37">
            <v>147838888.8888889</v>
          </cell>
          <cell r="D37">
            <v>1571826.388888889</v>
          </cell>
          <cell r="E37">
            <v>741270.83333333349</v>
          </cell>
          <cell r="F37">
            <v>830555.5555555555</v>
          </cell>
          <cell r="G37">
            <v>147008333.33333334</v>
          </cell>
          <cell r="H37">
            <v>3.5899271989497552E-3</v>
          </cell>
        </row>
        <row r="38">
          <cell r="B38">
            <v>37926</v>
          </cell>
          <cell r="C38">
            <v>147008333.33333334</v>
          </cell>
          <cell r="D38">
            <v>1567673.611111111</v>
          </cell>
          <cell r="E38">
            <v>737118.0555555555</v>
          </cell>
          <cell r="F38">
            <v>830555.5555555555</v>
          </cell>
          <cell r="G38">
            <v>146177777.77777779</v>
          </cell>
          <cell r="H38">
            <v>3.5899271989497552E-3</v>
          </cell>
        </row>
        <row r="39">
          <cell r="B39">
            <v>37956</v>
          </cell>
          <cell r="C39">
            <v>146177777.77777779</v>
          </cell>
          <cell r="D39">
            <v>1563520.8333333335</v>
          </cell>
          <cell r="E39">
            <v>732965.27777777787</v>
          </cell>
          <cell r="F39">
            <v>830555.5555555555</v>
          </cell>
          <cell r="G39">
            <v>145347222.22222224</v>
          </cell>
          <cell r="H39">
            <v>3.5899271989497552E-3</v>
          </cell>
        </row>
        <row r="40">
          <cell r="B40">
            <v>37987</v>
          </cell>
          <cell r="C40">
            <v>145347222.22222224</v>
          </cell>
          <cell r="D40">
            <v>1559368.0555555555</v>
          </cell>
          <cell r="E40">
            <v>728812.5</v>
          </cell>
          <cell r="F40">
            <v>830555.5555555555</v>
          </cell>
          <cell r="G40">
            <v>144516666.66666669</v>
          </cell>
          <cell r="H40">
            <v>3.5899271989497552E-3</v>
          </cell>
        </row>
        <row r="41">
          <cell r="B41">
            <v>38018</v>
          </cell>
          <cell r="C41">
            <v>144516666.66666669</v>
          </cell>
          <cell r="D41">
            <v>1555215.277777778</v>
          </cell>
          <cell r="E41">
            <v>724659.72222222236</v>
          </cell>
          <cell r="F41">
            <v>830555.5555555555</v>
          </cell>
          <cell r="G41">
            <v>143686111.11111113</v>
          </cell>
          <cell r="H41">
            <v>3.5899271989497552E-3</v>
          </cell>
        </row>
        <row r="42">
          <cell r="B42">
            <v>38047</v>
          </cell>
          <cell r="C42">
            <v>143686111.11111113</v>
          </cell>
          <cell r="D42">
            <v>1551062.5</v>
          </cell>
          <cell r="E42">
            <v>720506.9444444445</v>
          </cell>
          <cell r="F42">
            <v>830555.5555555555</v>
          </cell>
          <cell r="G42">
            <v>142855555.55555558</v>
          </cell>
          <cell r="H42">
            <v>3.5899271989497552E-3</v>
          </cell>
        </row>
        <row r="43">
          <cell r="B43">
            <v>38078</v>
          </cell>
          <cell r="C43">
            <v>142855555.55555558</v>
          </cell>
          <cell r="D43">
            <v>1546909.7222222225</v>
          </cell>
          <cell r="E43">
            <v>716354.16666666686</v>
          </cell>
          <cell r="F43">
            <v>830555.5555555555</v>
          </cell>
          <cell r="G43">
            <v>142025000.00000003</v>
          </cell>
          <cell r="H43">
            <v>3.5899271989497552E-3</v>
          </cell>
        </row>
        <row r="44">
          <cell r="B44">
            <v>38108</v>
          </cell>
          <cell r="C44">
            <v>142025000.00000003</v>
          </cell>
          <cell r="D44">
            <v>1542756.9444444445</v>
          </cell>
          <cell r="E44">
            <v>712201.38888888899</v>
          </cell>
          <cell r="F44">
            <v>830555.5555555555</v>
          </cell>
          <cell r="G44">
            <v>141194444.44444448</v>
          </cell>
          <cell r="H44">
            <v>2.928624820195853E-3</v>
          </cell>
        </row>
        <row r="45">
          <cell r="B45">
            <v>38139</v>
          </cell>
          <cell r="C45">
            <v>141194444.44444448</v>
          </cell>
          <cell r="D45">
            <v>1538604.166666667</v>
          </cell>
          <cell r="E45">
            <v>708048.61111111136</v>
          </cell>
          <cell r="F45">
            <v>830555.5555555555</v>
          </cell>
          <cell r="G45">
            <v>140363888.88888893</v>
          </cell>
          <cell r="H45">
            <v>2.928624820195853E-3</v>
          </cell>
        </row>
        <row r="46">
          <cell r="B46">
            <v>38169</v>
          </cell>
          <cell r="C46">
            <v>140363888.88888893</v>
          </cell>
          <cell r="D46">
            <v>1534451.388888889</v>
          </cell>
          <cell r="E46">
            <v>703895.83333333349</v>
          </cell>
          <cell r="F46">
            <v>830555.5555555555</v>
          </cell>
          <cell r="G46">
            <v>139533333.33333337</v>
          </cell>
          <cell r="H46">
            <v>2.928624820195853E-3</v>
          </cell>
        </row>
        <row r="47">
          <cell r="B47">
            <v>38200</v>
          </cell>
          <cell r="C47">
            <v>139533333.33333337</v>
          </cell>
          <cell r="D47">
            <v>1530298.6111111115</v>
          </cell>
          <cell r="E47">
            <v>699743.05555555585</v>
          </cell>
          <cell r="F47">
            <v>830555.5555555555</v>
          </cell>
          <cell r="G47">
            <v>138702777.77777782</v>
          </cell>
          <cell r="H47">
            <v>2.928624820195853E-3</v>
          </cell>
        </row>
        <row r="48">
          <cell r="B48">
            <v>38231</v>
          </cell>
          <cell r="C48">
            <v>138702777.77777782</v>
          </cell>
          <cell r="D48">
            <v>1526145.8333333335</v>
          </cell>
          <cell r="E48">
            <v>695590.27777777787</v>
          </cell>
          <cell r="F48">
            <v>830555.5555555555</v>
          </cell>
          <cell r="G48">
            <v>137872222.22222227</v>
          </cell>
          <cell r="H48">
            <v>2.928624820195853E-3</v>
          </cell>
        </row>
        <row r="49">
          <cell r="B49">
            <v>38261</v>
          </cell>
          <cell r="C49">
            <v>137872222.22222227</v>
          </cell>
          <cell r="D49">
            <v>1521993.055555556</v>
          </cell>
          <cell r="E49">
            <v>691437.50000000035</v>
          </cell>
          <cell r="F49">
            <v>830555.5555555555</v>
          </cell>
          <cell r="G49">
            <v>137041666.66666672</v>
          </cell>
          <cell r="H49">
            <v>2.928624820195853E-3</v>
          </cell>
        </row>
        <row r="50">
          <cell r="B50">
            <v>38292</v>
          </cell>
          <cell r="C50">
            <v>137041666.66666672</v>
          </cell>
          <cell r="D50">
            <v>1517840.277777778</v>
          </cell>
          <cell r="E50">
            <v>687284.72222222236</v>
          </cell>
          <cell r="F50">
            <v>830555.5555555555</v>
          </cell>
          <cell r="G50">
            <v>136211111.11111116</v>
          </cell>
          <cell r="H50">
            <v>2.928624820195853E-3</v>
          </cell>
        </row>
        <row r="51">
          <cell r="B51">
            <v>38322</v>
          </cell>
          <cell r="C51">
            <v>136211111.11111116</v>
          </cell>
          <cell r="D51">
            <v>1513687.5000000005</v>
          </cell>
          <cell r="E51">
            <v>683131.94444444485</v>
          </cell>
          <cell r="F51">
            <v>830555.5555555555</v>
          </cell>
          <cell r="G51">
            <v>135380555.55555561</v>
          </cell>
          <cell r="H51">
            <v>2.928624820195853E-3</v>
          </cell>
        </row>
        <row r="52">
          <cell r="B52">
            <v>38353</v>
          </cell>
          <cell r="C52">
            <v>135380555.55555561</v>
          </cell>
          <cell r="D52">
            <v>1509534.7222222225</v>
          </cell>
          <cell r="E52">
            <v>678979.16666666686</v>
          </cell>
          <cell r="F52">
            <v>830555.5555555555</v>
          </cell>
          <cell r="G52">
            <v>134550000.00000006</v>
          </cell>
          <cell r="H52">
            <v>2.928624820195853E-3</v>
          </cell>
        </row>
        <row r="53">
          <cell r="B53">
            <v>38384</v>
          </cell>
          <cell r="C53">
            <v>134550000.00000006</v>
          </cell>
          <cell r="D53">
            <v>1505381.9444444447</v>
          </cell>
          <cell r="E53">
            <v>674826.38888888923</v>
          </cell>
          <cell r="F53">
            <v>830555.5555555555</v>
          </cell>
          <cell r="G53">
            <v>133719444.44444451</v>
          </cell>
          <cell r="H53">
            <v>2.928624820195853E-3</v>
          </cell>
        </row>
        <row r="54">
          <cell r="B54">
            <v>38412</v>
          </cell>
          <cell r="C54">
            <v>133719444.44444451</v>
          </cell>
          <cell r="D54">
            <v>1501229.166666667</v>
          </cell>
          <cell r="E54">
            <v>670673.61111111147</v>
          </cell>
          <cell r="F54">
            <v>830555.5555555555</v>
          </cell>
          <cell r="G54">
            <v>132888888.88888896</v>
          </cell>
          <cell r="H54">
            <v>2.928624820195853E-3</v>
          </cell>
        </row>
        <row r="55">
          <cell r="B55">
            <v>38443</v>
          </cell>
          <cell r="C55">
            <v>132888888.88888896</v>
          </cell>
          <cell r="D55">
            <v>1497076.3888888892</v>
          </cell>
          <cell r="E55">
            <v>666520.83333333372</v>
          </cell>
          <cell r="F55">
            <v>830555.5555555555</v>
          </cell>
          <cell r="G55">
            <v>132058333.3333334</v>
          </cell>
          <cell r="H55">
            <v>2.928624820195853E-3</v>
          </cell>
        </row>
        <row r="56">
          <cell r="B56">
            <v>38473</v>
          </cell>
          <cell r="C56">
            <v>132058333.3333334</v>
          </cell>
          <cell r="D56">
            <v>1492923.6111111115</v>
          </cell>
          <cell r="E56">
            <v>662368.05555555585</v>
          </cell>
          <cell r="F56">
            <v>830555.5555555555</v>
          </cell>
          <cell r="G56">
            <v>131227777.77777785</v>
          </cell>
          <cell r="H56">
            <v>2.7959623369199944E-3</v>
          </cell>
        </row>
        <row r="57">
          <cell r="B57">
            <v>38504</v>
          </cell>
          <cell r="C57">
            <v>131227777.77777785</v>
          </cell>
          <cell r="D57">
            <v>1488770.8333333335</v>
          </cell>
          <cell r="E57">
            <v>658215.2777777781</v>
          </cell>
          <cell r="F57">
            <v>830555.5555555555</v>
          </cell>
          <cell r="G57">
            <v>130397222.2222223</v>
          </cell>
          <cell r="H57">
            <v>2.7959623369199944E-3</v>
          </cell>
        </row>
        <row r="58">
          <cell r="B58">
            <v>38534</v>
          </cell>
          <cell r="C58">
            <v>130397222.2222223</v>
          </cell>
          <cell r="D58">
            <v>1484618.055555556</v>
          </cell>
          <cell r="E58">
            <v>654062.50000000035</v>
          </cell>
          <cell r="F58">
            <v>830555.5555555555</v>
          </cell>
          <cell r="G58">
            <v>129566666.66666675</v>
          </cell>
          <cell r="H58">
            <v>2.7959623369199944E-3</v>
          </cell>
        </row>
        <row r="59">
          <cell r="B59">
            <v>38565</v>
          </cell>
          <cell r="C59">
            <v>129566666.66666675</v>
          </cell>
          <cell r="D59">
            <v>1480465.277777778</v>
          </cell>
          <cell r="E59">
            <v>649909.7222222226</v>
          </cell>
          <cell r="F59">
            <v>830555.5555555555</v>
          </cell>
          <cell r="G59">
            <v>128736111.11111119</v>
          </cell>
          <cell r="H59">
            <v>2.7959623369199944E-3</v>
          </cell>
        </row>
        <row r="60">
          <cell r="B60">
            <v>38596</v>
          </cell>
          <cell r="C60">
            <v>128736111.11111119</v>
          </cell>
          <cell r="D60">
            <v>1476312.5000000005</v>
          </cell>
          <cell r="E60">
            <v>645756.94444444485</v>
          </cell>
          <cell r="F60">
            <v>830555.5555555555</v>
          </cell>
          <cell r="G60">
            <v>127905555.55555564</v>
          </cell>
          <cell r="H60">
            <v>2.7959623369199944E-3</v>
          </cell>
        </row>
        <row r="61">
          <cell r="B61">
            <v>38626</v>
          </cell>
          <cell r="C61">
            <v>127905555.55555564</v>
          </cell>
          <cell r="D61">
            <v>1472159.7222222225</v>
          </cell>
          <cell r="E61">
            <v>641604.16666666709</v>
          </cell>
          <cell r="F61">
            <v>830555.5555555555</v>
          </cell>
          <cell r="G61">
            <v>127075000.00000009</v>
          </cell>
          <cell r="H61">
            <v>2.7959623369199944E-3</v>
          </cell>
        </row>
        <row r="62">
          <cell r="B62">
            <v>38657</v>
          </cell>
          <cell r="C62">
            <v>127075000.00000009</v>
          </cell>
          <cell r="D62">
            <v>1468006.944444445</v>
          </cell>
          <cell r="E62">
            <v>637451.38888888934</v>
          </cell>
          <cell r="F62">
            <v>830555.5555555555</v>
          </cell>
          <cell r="G62">
            <v>126244444.44444454</v>
          </cell>
          <cell r="H62">
            <v>2.7959623369199944E-3</v>
          </cell>
        </row>
        <row r="63">
          <cell r="B63">
            <v>38687</v>
          </cell>
          <cell r="C63">
            <v>126244444.44444454</v>
          </cell>
          <cell r="D63">
            <v>1463854.166666667</v>
          </cell>
          <cell r="E63">
            <v>633298.61111111159</v>
          </cell>
          <cell r="F63">
            <v>830555.5555555555</v>
          </cell>
          <cell r="G63">
            <v>125413888.88888898</v>
          </cell>
          <cell r="H63">
            <v>2.7959623369199944E-3</v>
          </cell>
        </row>
        <row r="64">
          <cell r="B64">
            <v>38718</v>
          </cell>
          <cell r="C64">
            <v>125413888.88888898</v>
          </cell>
          <cell r="D64">
            <v>1459701.3888888895</v>
          </cell>
          <cell r="E64">
            <v>629145.83333333384</v>
          </cell>
          <cell r="F64">
            <v>830555.5555555555</v>
          </cell>
          <cell r="G64">
            <v>124583333.33333343</v>
          </cell>
          <cell r="H64">
            <v>2.7959623369199944E-3</v>
          </cell>
        </row>
        <row r="65">
          <cell r="B65">
            <v>38749</v>
          </cell>
          <cell r="C65">
            <v>124583333.33333343</v>
          </cell>
          <cell r="D65">
            <v>1455548.6111111115</v>
          </cell>
          <cell r="E65">
            <v>624993.05555555609</v>
          </cell>
          <cell r="F65">
            <v>830555.5555555555</v>
          </cell>
          <cell r="G65">
            <v>123752777.77777788</v>
          </cell>
          <cell r="H65">
            <v>2.7959623369199944E-3</v>
          </cell>
        </row>
        <row r="66">
          <cell r="B66">
            <v>38777</v>
          </cell>
          <cell r="C66">
            <v>123752777.77777788</v>
          </cell>
          <cell r="D66">
            <v>1451395.833333334</v>
          </cell>
          <cell r="E66">
            <v>620840.27777777833</v>
          </cell>
          <cell r="F66">
            <v>830555.5555555555</v>
          </cell>
          <cell r="G66">
            <v>122922222.22222233</v>
          </cell>
          <cell r="H66">
            <v>2.7959623369199944E-3</v>
          </cell>
        </row>
        <row r="67">
          <cell r="B67">
            <v>38808</v>
          </cell>
          <cell r="C67">
            <v>122922222.22222233</v>
          </cell>
          <cell r="D67">
            <v>1447243.055555556</v>
          </cell>
          <cell r="E67">
            <v>616687.50000000058</v>
          </cell>
          <cell r="F67">
            <v>830555.5555555555</v>
          </cell>
          <cell r="G67">
            <v>122091666.66666678</v>
          </cell>
          <cell r="H67">
            <v>2.7959623369199944E-3</v>
          </cell>
        </row>
        <row r="68">
          <cell r="B68">
            <v>38838</v>
          </cell>
          <cell r="C68">
            <v>122091666.66666678</v>
          </cell>
          <cell r="D68">
            <v>1443090.2777777785</v>
          </cell>
          <cell r="E68">
            <v>612534.72222222283</v>
          </cell>
          <cell r="F68">
            <v>830555.5555555555</v>
          </cell>
          <cell r="G68">
            <v>121261111.11111122</v>
          </cell>
          <cell r="H68">
            <v>2.6683249477076148E-3</v>
          </cell>
        </row>
        <row r="69">
          <cell r="B69">
            <v>38869</v>
          </cell>
          <cell r="C69">
            <v>121261111.11111122</v>
          </cell>
          <cell r="D69">
            <v>1438937.5000000005</v>
          </cell>
          <cell r="E69">
            <v>608381.94444444496</v>
          </cell>
          <cell r="F69">
            <v>830555.5555555555</v>
          </cell>
          <cell r="G69">
            <v>120430555.55555567</v>
          </cell>
          <cell r="H69">
            <v>2.6683249477076148E-3</v>
          </cell>
        </row>
        <row r="70">
          <cell r="B70">
            <v>38899</v>
          </cell>
          <cell r="C70">
            <v>120430555.55555567</v>
          </cell>
          <cell r="D70">
            <v>1434784.7222222227</v>
          </cell>
          <cell r="E70">
            <v>604229.16666666721</v>
          </cell>
          <cell r="F70">
            <v>830555.5555555555</v>
          </cell>
          <cell r="G70">
            <v>119600000.00000012</v>
          </cell>
          <cell r="H70">
            <v>2.6683249477076148E-3</v>
          </cell>
        </row>
        <row r="71">
          <cell r="B71">
            <v>38930</v>
          </cell>
          <cell r="C71">
            <v>119600000.00000012</v>
          </cell>
          <cell r="D71">
            <v>1430631.944444445</v>
          </cell>
          <cell r="E71">
            <v>600076.38888888946</v>
          </cell>
          <cell r="F71">
            <v>830555.5555555555</v>
          </cell>
          <cell r="G71">
            <v>118769444.44444457</v>
          </cell>
          <cell r="H71">
            <v>2.6683249477076148E-3</v>
          </cell>
        </row>
        <row r="72">
          <cell r="B72">
            <v>38961</v>
          </cell>
          <cell r="C72">
            <v>118769444.44444457</v>
          </cell>
          <cell r="D72">
            <v>1426479.1666666672</v>
          </cell>
          <cell r="E72">
            <v>595923.61111111171</v>
          </cell>
          <cell r="F72">
            <v>830555.5555555555</v>
          </cell>
          <cell r="G72">
            <v>117938888.88888901</v>
          </cell>
          <cell r="H72">
            <v>2.6683249477076148E-3</v>
          </cell>
        </row>
        <row r="73">
          <cell r="B73">
            <v>38991</v>
          </cell>
          <cell r="C73">
            <v>117938888.88888901</v>
          </cell>
          <cell r="D73">
            <v>1422326.3888888895</v>
          </cell>
          <cell r="E73">
            <v>591770.83333333395</v>
          </cell>
          <cell r="F73">
            <v>830555.5555555555</v>
          </cell>
          <cell r="G73">
            <v>117108333.33333346</v>
          </cell>
          <cell r="H73">
            <v>2.6683249477076148E-3</v>
          </cell>
        </row>
        <row r="74">
          <cell r="B74">
            <v>39022</v>
          </cell>
          <cell r="C74">
            <v>117108333.33333346</v>
          </cell>
          <cell r="D74">
            <v>1418173.6111111117</v>
          </cell>
          <cell r="E74">
            <v>587618.0555555562</v>
          </cell>
          <cell r="F74">
            <v>830555.5555555555</v>
          </cell>
          <cell r="G74">
            <v>116277777.77777791</v>
          </cell>
          <cell r="H74">
            <v>2.6683249477076148E-3</v>
          </cell>
        </row>
        <row r="75">
          <cell r="B75">
            <v>39052</v>
          </cell>
          <cell r="C75">
            <v>116277777.77777791</v>
          </cell>
          <cell r="D75">
            <v>1414020.833333334</v>
          </cell>
          <cell r="E75">
            <v>583465.27777777845</v>
          </cell>
          <cell r="F75">
            <v>830555.5555555555</v>
          </cell>
          <cell r="G75">
            <v>115447222.22222236</v>
          </cell>
          <cell r="H75">
            <v>2.6683249477076148E-3</v>
          </cell>
        </row>
        <row r="76">
          <cell r="B76">
            <v>39083</v>
          </cell>
          <cell r="C76">
            <v>115447222.22222236</v>
          </cell>
          <cell r="D76">
            <v>1409868.0555555562</v>
          </cell>
          <cell r="E76">
            <v>579312.5000000007</v>
          </cell>
          <cell r="F76">
            <v>830555.5555555555</v>
          </cell>
          <cell r="G76">
            <v>114616666.66666681</v>
          </cell>
          <cell r="H76">
            <v>2.6683249477076148E-3</v>
          </cell>
        </row>
        <row r="77">
          <cell r="B77">
            <v>39114</v>
          </cell>
          <cell r="C77">
            <v>114616666.66666681</v>
          </cell>
          <cell r="D77">
            <v>1405715.2777777785</v>
          </cell>
          <cell r="E77">
            <v>575159.72222222295</v>
          </cell>
          <cell r="F77">
            <v>830555.5555555555</v>
          </cell>
          <cell r="G77">
            <v>113786111.11111125</v>
          </cell>
          <cell r="H77">
            <v>2.6683249477076148E-3</v>
          </cell>
        </row>
        <row r="78">
          <cell r="B78">
            <v>39142</v>
          </cell>
          <cell r="C78">
            <v>113786111.11111125</v>
          </cell>
          <cell r="D78">
            <v>1401562.5000000007</v>
          </cell>
          <cell r="E78">
            <v>571006.94444444519</v>
          </cell>
          <cell r="F78">
            <v>830555.5555555555</v>
          </cell>
          <cell r="G78">
            <v>112955555.5555557</v>
          </cell>
          <cell r="H78">
            <v>2.6683249477076148E-3</v>
          </cell>
        </row>
        <row r="79">
          <cell r="B79">
            <v>39173</v>
          </cell>
          <cell r="C79">
            <v>112955555.5555557</v>
          </cell>
          <cell r="D79">
            <v>1397409.7222222229</v>
          </cell>
          <cell r="E79">
            <v>566854.16666666744</v>
          </cell>
          <cell r="F79">
            <v>830555.5555555555</v>
          </cell>
          <cell r="G79">
            <v>112125000.00000015</v>
          </cell>
          <cell r="H79">
            <v>2.6683249477076148E-3</v>
          </cell>
        </row>
        <row r="80">
          <cell r="B80">
            <v>39203</v>
          </cell>
          <cell r="C80">
            <v>112125000.00000015</v>
          </cell>
          <cell r="D80">
            <v>1393256.9444444452</v>
          </cell>
          <cell r="E80">
            <v>562701.38888888969</v>
          </cell>
          <cell r="F80">
            <v>830555.5555555555</v>
          </cell>
          <cell r="G80">
            <v>111294444.4444446</v>
          </cell>
          <cell r="H80">
            <v>2.544707633746019E-3</v>
          </cell>
        </row>
        <row r="81">
          <cell r="B81">
            <v>39234</v>
          </cell>
          <cell r="C81">
            <v>111294444.4444446</v>
          </cell>
          <cell r="D81">
            <v>1389104.1666666674</v>
          </cell>
          <cell r="E81">
            <v>558548.61111111182</v>
          </cell>
          <cell r="F81">
            <v>830555.5555555555</v>
          </cell>
          <cell r="G81">
            <v>110463888.88888904</v>
          </cell>
          <cell r="H81">
            <v>2.544707633746019E-3</v>
          </cell>
        </row>
        <row r="82">
          <cell r="B82">
            <v>39264</v>
          </cell>
          <cell r="C82">
            <v>110463888.88888904</v>
          </cell>
          <cell r="D82">
            <v>1384951.3888888895</v>
          </cell>
          <cell r="E82">
            <v>554395.83333333407</v>
          </cell>
          <cell r="F82">
            <v>830555.5555555555</v>
          </cell>
          <cell r="G82">
            <v>109633333.33333349</v>
          </cell>
          <cell r="H82">
            <v>2.544707633746019E-3</v>
          </cell>
        </row>
        <row r="83">
          <cell r="B83">
            <v>39295</v>
          </cell>
          <cell r="C83">
            <v>109633333.33333349</v>
          </cell>
          <cell r="D83">
            <v>1380798.6111111119</v>
          </cell>
          <cell r="E83">
            <v>550243.05555555632</v>
          </cell>
          <cell r="F83">
            <v>830555.5555555555</v>
          </cell>
          <cell r="G83">
            <v>108802777.77777794</v>
          </cell>
          <cell r="H83">
            <v>2.544707633746019E-3</v>
          </cell>
        </row>
        <row r="84">
          <cell r="B84">
            <v>39326</v>
          </cell>
          <cell r="C84">
            <v>108802777.77777794</v>
          </cell>
          <cell r="D84">
            <v>1376645.833333334</v>
          </cell>
          <cell r="E84">
            <v>546090.27777777857</v>
          </cell>
          <cell r="F84">
            <v>830555.5555555555</v>
          </cell>
          <cell r="G84">
            <v>107972222.22222239</v>
          </cell>
          <cell r="H84">
            <v>2.544707633746019E-3</v>
          </cell>
        </row>
        <row r="85">
          <cell r="B85">
            <v>39356</v>
          </cell>
          <cell r="C85">
            <v>107972222.22222239</v>
          </cell>
          <cell r="D85">
            <v>1372493.0555555564</v>
          </cell>
          <cell r="E85">
            <v>541937.50000000081</v>
          </cell>
          <cell r="F85">
            <v>830555.5555555555</v>
          </cell>
          <cell r="G85">
            <v>107141666.66666684</v>
          </cell>
          <cell r="H85">
            <v>2.544707633746019E-3</v>
          </cell>
        </row>
        <row r="86">
          <cell r="B86">
            <v>39387</v>
          </cell>
          <cell r="C86">
            <v>107141666.66666684</v>
          </cell>
          <cell r="D86">
            <v>1368340.2777777785</v>
          </cell>
          <cell r="E86">
            <v>537784.72222222306</v>
          </cell>
          <cell r="F86">
            <v>830555.5555555555</v>
          </cell>
          <cell r="G86">
            <v>106311111.11111128</v>
          </cell>
          <cell r="H86">
            <v>2.544707633746019E-3</v>
          </cell>
        </row>
        <row r="87">
          <cell r="B87">
            <v>39417</v>
          </cell>
          <cell r="C87">
            <v>106311111.11111128</v>
          </cell>
          <cell r="D87">
            <v>1364187.5000000009</v>
          </cell>
          <cell r="E87">
            <v>533631.94444444531</v>
          </cell>
          <cell r="F87">
            <v>830555.5555555555</v>
          </cell>
          <cell r="G87">
            <v>105480555.55555573</v>
          </cell>
          <cell r="H87">
            <v>2.544707633746019E-3</v>
          </cell>
        </row>
        <row r="88">
          <cell r="B88">
            <v>39448</v>
          </cell>
          <cell r="C88">
            <v>105480555.55555573</v>
          </cell>
          <cell r="D88">
            <v>1360034.7222222229</v>
          </cell>
          <cell r="E88">
            <v>529479.16666666756</v>
          </cell>
          <cell r="F88">
            <v>830555.5555555555</v>
          </cell>
          <cell r="G88">
            <v>104650000.00000018</v>
          </cell>
          <cell r="H88">
            <v>2.544707633746019E-3</v>
          </cell>
        </row>
        <row r="89">
          <cell r="B89">
            <v>39479</v>
          </cell>
          <cell r="C89">
            <v>104650000.00000018</v>
          </cell>
          <cell r="D89">
            <v>1355881.9444444454</v>
          </cell>
          <cell r="E89">
            <v>525326.38888888981</v>
          </cell>
          <cell r="F89">
            <v>830555.5555555555</v>
          </cell>
          <cell r="G89">
            <v>103819444.44444463</v>
          </cell>
          <cell r="H89">
            <v>2.544707633746019E-3</v>
          </cell>
        </row>
        <row r="90">
          <cell r="B90">
            <v>39508</v>
          </cell>
          <cell r="C90">
            <v>103819444.44444463</v>
          </cell>
          <cell r="D90">
            <v>1351729.1666666674</v>
          </cell>
          <cell r="E90">
            <v>521173.611111112</v>
          </cell>
          <cell r="F90">
            <v>830555.5555555555</v>
          </cell>
          <cell r="G90">
            <v>102988888.88888907</v>
          </cell>
          <cell r="H90">
            <v>2.544707633746019E-3</v>
          </cell>
        </row>
        <row r="91">
          <cell r="B91">
            <v>39539</v>
          </cell>
          <cell r="C91">
            <v>102988888.88888907</v>
          </cell>
          <cell r="D91">
            <v>1347576.3888888897</v>
          </cell>
          <cell r="E91">
            <v>517020.83333333425</v>
          </cell>
          <cell r="F91">
            <v>830555.5555555555</v>
          </cell>
          <cell r="G91">
            <v>102158333.33333352</v>
          </cell>
          <cell r="H91">
            <v>2.544707633746019E-3</v>
          </cell>
        </row>
        <row r="92">
          <cell r="B92">
            <v>39569</v>
          </cell>
          <cell r="C92">
            <v>102158333.33333352</v>
          </cell>
          <cell r="D92">
            <v>1343423.6111111119</v>
          </cell>
          <cell r="E92">
            <v>512868.05555555649</v>
          </cell>
          <cell r="F92">
            <v>830555.5555555555</v>
          </cell>
          <cell r="G92">
            <v>101327777.77777797</v>
          </cell>
        </row>
        <row r="93">
          <cell r="B93">
            <v>39600</v>
          </cell>
          <cell r="C93">
            <v>101327777.77777797</v>
          </cell>
          <cell r="D93">
            <v>1339270.8333333342</v>
          </cell>
          <cell r="E93">
            <v>508715.27777777874</v>
          </cell>
          <cell r="F93">
            <v>830555.5555555555</v>
          </cell>
          <cell r="G93">
            <v>100497222.22222242</v>
          </cell>
        </row>
        <row r="94">
          <cell r="B94">
            <v>39630</v>
          </cell>
          <cell r="C94">
            <v>100497222.22222242</v>
          </cell>
          <cell r="D94">
            <v>1335118.0555555564</v>
          </cell>
          <cell r="E94">
            <v>504562.50000000099</v>
          </cell>
          <cell r="F94">
            <v>830555.5555555555</v>
          </cell>
          <cell r="G94">
            <v>99666666.666666865</v>
          </cell>
        </row>
        <row r="95">
          <cell r="B95">
            <v>39661</v>
          </cell>
          <cell r="C95">
            <v>99666666.666666865</v>
          </cell>
          <cell r="D95">
            <v>1330965.2777777787</v>
          </cell>
          <cell r="E95">
            <v>500409.72222222324</v>
          </cell>
          <cell r="F95">
            <v>830555.5555555555</v>
          </cell>
          <cell r="G95">
            <v>98836111.111111313</v>
          </cell>
        </row>
        <row r="96">
          <cell r="B96">
            <v>39692</v>
          </cell>
          <cell r="C96">
            <v>98836111.111111313</v>
          </cell>
          <cell r="D96">
            <v>1326812.5000000009</v>
          </cell>
          <cell r="E96">
            <v>496256.94444444543</v>
          </cell>
          <cell r="F96">
            <v>830555.5555555555</v>
          </cell>
          <cell r="G96">
            <v>98005555.555555761</v>
          </cell>
        </row>
        <row r="97">
          <cell r="B97">
            <v>39722</v>
          </cell>
          <cell r="C97">
            <v>98005555.555555761</v>
          </cell>
          <cell r="D97">
            <v>1322659.7222222232</v>
          </cell>
          <cell r="E97">
            <v>492104.16666666768</v>
          </cell>
          <cell r="F97">
            <v>830555.5555555555</v>
          </cell>
          <cell r="G97">
            <v>97175000.000000209</v>
          </cell>
        </row>
        <row r="98">
          <cell r="B98">
            <v>39753</v>
          </cell>
          <cell r="C98">
            <v>97175000.000000209</v>
          </cell>
          <cell r="D98">
            <v>1318506.9444444454</v>
          </cell>
          <cell r="E98">
            <v>487951.38888888992</v>
          </cell>
          <cell r="F98">
            <v>830555.5555555555</v>
          </cell>
          <cell r="G98">
            <v>96344444.444444656</v>
          </cell>
        </row>
        <row r="99">
          <cell r="B99">
            <v>39783</v>
          </cell>
          <cell r="C99">
            <v>96344444.444444656</v>
          </cell>
          <cell r="D99">
            <v>1314354.1666666677</v>
          </cell>
          <cell r="E99">
            <v>483798.61111111217</v>
          </cell>
          <cell r="F99">
            <v>830555.5555555555</v>
          </cell>
          <cell r="G99">
            <v>95513888.888889104</v>
          </cell>
        </row>
        <row r="100">
          <cell r="B100">
            <v>39814</v>
          </cell>
          <cell r="C100">
            <v>95513888.888889104</v>
          </cell>
          <cell r="D100">
            <v>1310201.3888888899</v>
          </cell>
          <cell r="E100">
            <v>479645.83333333442</v>
          </cell>
          <cell r="F100">
            <v>830555.5555555555</v>
          </cell>
          <cell r="G100">
            <v>94683333.333333552</v>
          </cell>
        </row>
        <row r="101">
          <cell r="B101">
            <v>39845</v>
          </cell>
          <cell r="C101">
            <v>94683333.333333552</v>
          </cell>
          <cell r="D101">
            <v>1306048.6111111122</v>
          </cell>
          <cell r="E101">
            <v>475493.05555555667</v>
          </cell>
          <cell r="F101">
            <v>830555.5555555555</v>
          </cell>
          <cell r="G101">
            <v>93852777.777778</v>
          </cell>
        </row>
        <row r="102">
          <cell r="B102">
            <v>39873</v>
          </cell>
          <cell r="C102">
            <v>93852777.777778</v>
          </cell>
          <cell r="D102">
            <v>1301895.8333333344</v>
          </cell>
          <cell r="E102">
            <v>471340.27777777892</v>
          </cell>
          <cell r="F102">
            <v>830555.5555555555</v>
          </cell>
          <cell r="G102">
            <v>93022222.222222447</v>
          </cell>
        </row>
        <row r="103">
          <cell r="B103">
            <v>39904</v>
          </cell>
          <cell r="C103">
            <v>93022222.222222447</v>
          </cell>
          <cell r="D103">
            <v>1297743.0555555567</v>
          </cell>
          <cell r="E103">
            <v>467187.50000000111</v>
          </cell>
          <cell r="F103">
            <v>830555.5555555555</v>
          </cell>
          <cell r="G103">
            <v>92191666.666666895</v>
          </cell>
        </row>
        <row r="104">
          <cell r="B104">
            <v>39934</v>
          </cell>
          <cell r="C104">
            <v>92191666.666666895</v>
          </cell>
          <cell r="D104">
            <v>1293590.2777777789</v>
          </cell>
          <cell r="E104">
            <v>463034.72222222335</v>
          </cell>
          <cell r="F104">
            <v>830555.5555555555</v>
          </cell>
          <cell r="G104">
            <v>91361111.111111343</v>
          </cell>
        </row>
        <row r="105">
          <cell r="B105">
            <v>39965</v>
          </cell>
          <cell r="C105">
            <v>91361111.111111343</v>
          </cell>
          <cell r="D105">
            <v>1289437.5000000012</v>
          </cell>
          <cell r="E105">
            <v>458881.9444444456</v>
          </cell>
          <cell r="F105">
            <v>830555.5555555555</v>
          </cell>
          <cell r="G105">
            <v>90530555.555555791</v>
          </cell>
        </row>
        <row r="106">
          <cell r="B106">
            <v>39995</v>
          </cell>
          <cell r="C106">
            <v>90530555.555555791</v>
          </cell>
          <cell r="D106">
            <v>1285284.7222222234</v>
          </cell>
          <cell r="E106">
            <v>454729.16666666785</v>
          </cell>
          <cell r="F106">
            <v>830555.5555555555</v>
          </cell>
          <cell r="G106">
            <v>89700000.000000238</v>
          </cell>
        </row>
        <row r="107">
          <cell r="B107">
            <v>40026</v>
          </cell>
          <cell r="C107">
            <v>89700000.000000238</v>
          </cell>
          <cell r="D107">
            <v>1281131.9444444457</v>
          </cell>
          <cell r="E107">
            <v>450576.3888888901</v>
          </cell>
          <cell r="F107">
            <v>830555.5555555555</v>
          </cell>
          <cell r="G107">
            <v>88869444.444444686</v>
          </cell>
        </row>
        <row r="108">
          <cell r="B108">
            <v>40057</v>
          </cell>
          <cell r="C108">
            <v>88869444.444444686</v>
          </cell>
          <cell r="D108">
            <v>1276979.1666666679</v>
          </cell>
          <cell r="E108">
            <v>446423.61111111235</v>
          </cell>
          <cell r="F108">
            <v>830555.5555555555</v>
          </cell>
          <cell r="G108">
            <v>88038888.888889134</v>
          </cell>
        </row>
        <row r="109">
          <cell r="B109">
            <v>40087</v>
          </cell>
          <cell r="C109">
            <v>88038888.888889134</v>
          </cell>
          <cell r="D109">
            <v>1272826.3888888899</v>
          </cell>
          <cell r="E109">
            <v>442270.83333333454</v>
          </cell>
          <cell r="F109">
            <v>830555.5555555555</v>
          </cell>
          <cell r="G109">
            <v>87208333.333333582</v>
          </cell>
        </row>
        <row r="110">
          <cell r="B110">
            <v>40118</v>
          </cell>
          <cell r="C110">
            <v>87208333.333333582</v>
          </cell>
          <cell r="D110">
            <v>1268673.6111111124</v>
          </cell>
          <cell r="E110">
            <v>438118.05555555678</v>
          </cell>
          <cell r="F110">
            <v>830555.5555555555</v>
          </cell>
          <cell r="G110">
            <v>86377777.777778029</v>
          </cell>
        </row>
        <row r="111">
          <cell r="B111">
            <v>40148</v>
          </cell>
          <cell r="C111">
            <v>86377777.777778029</v>
          </cell>
          <cell r="D111">
            <v>1264520.8333333344</v>
          </cell>
          <cell r="E111">
            <v>433965.27777777903</v>
          </cell>
          <cell r="F111">
            <v>830555.5555555555</v>
          </cell>
          <cell r="G111">
            <v>85547222.222222477</v>
          </cell>
        </row>
        <row r="112">
          <cell r="B112">
            <v>40179</v>
          </cell>
          <cell r="C112">
            <v>85547222.222222477</v>
          </cell>
          <cell r="D112">
            <v>1260368.0555555569</v>
          </cell>
          <cell r="E112">
            <v>429812.50000000128</v>
          </cell>
          <cell r="F112">
            <v>830555.5555555555</v>
          </cell>
          <cell r="G112">
            <v>84716666.666666925</v>
          </cell>
        </row>
        <row r="113">
          <cell r="B113">
            <v>40210</v>
          </cell>
          <cell r="C113">
            <v>84716666.666666925</v>
          </cell>
          <cell r="D113">
            <v>1256215.2777777789</v>
          </cell>
          <cell r="E113">
            <v>425659.72222222353</v>
          </cell>
          <cell r="F113">
            <v>830555.5555555555</v>
          </cell>
          <cell r="G113">
            <v>83886111.111111373</v>
          </cell>
        </row>
        <row r="114">
          <cell r="B114">
            <v>40238</v>
          </cell>
          <cell r="C114">
            <v>83886111.111111373</v>
          </cell>
          <cell r="D114">
            <v>1252062.5000000014</v>
          </cell>
          <cell r="E114">
            <v>421506.94444444578</v>
          </cell>
          <cell r="F114">
            <v>830555.5555555555</v>
          </cell>
          <cell r="G114">
            <v>83055555.55555582</v>
          </cell>
        </row>
        <row r="115">
          <cell r="B115">
            <v>40269</v>
          </cell>
          <cell r="C115">
            <v>83055555.55555582</v>
          </cell>
          <cell r="D115">
            <v>1247909.7222222234</v>
          </cell>
          <cell r="E115">
            <v>417354.16666666797</v>
          </cell>
          <cell r="F115">
            <v>830555.5555555555</v>
          </cell>
          <cell r="G115">
            <v>82225000.000000268</v>
          </cell>
        </row>
        <row r="116">
          <cell r="B116">
            <v>40299</v>
          </cell>
          <cell r="C116">
            <v>82225000.000000268</v>
          </cell>
          <cell r="D116">
            <v>1243756.9444444457</v>
          </cell>
          <cell r="E116">
            <v>413201.38888889021</v>
          </cell>
          <cell r="F116">
            <v>830555.5555555555</v>
          </cell>
          <cell r="G116">
            <v>81394444.444444716</v>
          </cell>
        </row>
        <row r="117">
          <cell r="B117">
            <v>40330</v>
          </cell>
          <cell r="C117">
            <v>81394444.444444716</v>
          </cell>
          <cell r="D117">
            <v>1239604.1666666679</v>
          </cell>
          <cell r="E117">
            <v>409048.61111111246</v>
          </cell>
          <cell r="F117">
            <v>830555.5555555555</v>
          </cell>
          <cell r="G117">
            <v>80563888.888889164</v>
          </cell>
        </row>
        <row r="118">
          <cell r="B118">
            <v>40360</v>
          </cell>
          <cell r="C118">
            <v>80563888.888889164</v>
          </cell>
          <cell r="D118">
            <v>1235451.3888888902</v>
          </cell>
          <cell r="E118">
            <v>404895.83333333471</v>
          </cell>
          <cell r="F118">
            <v>830555.5555555555</v>
          </cell>
          <cell r="G118">
            <v>79733333.333333611</v>
          </cell>
        </row>
        <row r="119">
          <cell r="B119">
            <v>40391</v>
          </cell>
          <cell r="C119">
            <v>79733333.333333611</v>
          </cell>
          <cell r="D119">
            <v>1231298.6111111124</v>
          </cell>
          <cell r="E119">
            <v>400743.05555555696</v>
          </cell>
          <cell r="F119">
            <v>830555.5555555555</v>
          </cell>
          <cell r="G119">
            <v>78902777.777778059</v>
          </cell>
        </row>
        <row r="120">
          <cell r="B120">
            <v>40422</v>
          </cell>
          <cell r="C120">
            <v>78902777.777778059</v>
          </cell>
          <cell r="D120">
            <v>1227145.8333333347</v>
          </cell>
          <cell r="E120">
            <v>396590.27777777921</v>
          </cell>
          <cell r="F120">
            <v>830555.5555555555</v>
          </cell>
          <cell r="G120">
            <v>78072222.222222507</v>
          </cell>
        </row>
        <row r="121">
          <cell r="B121">
            <v>40452</v>
          </cell>
          <cell r="C121">
            <v>78072222.222222507</v>
          </cell>
          <cell r="D121">
            <v>1222993.0555555569</v>
          </cell>
          <cell r="E121">
            <v>392437.5000000014</v>
          </cell>
          <cell r="F121">
            <v>830555.5555555555</v>
          </cell>
          <cell r="G121">
            <v>77241666.666666955</v>
          </cell>
        </row>
        <row r="122">
          <cell r="B122">
            <v>40483</v>
          </cell>
          <cell r="C122">
            <v>77241666.666666955</v>
          </cell>
          <cell r="D122">
            <v>1218840.2777777791</v>
          </cell>
          <cell r="E122">
            <v>388284.72222222365</v>
          </cell>
          <cell r="F122">
            <v>830555.5555555555</v>
          </cell>
          <cell r="G122">
            <v>76411111.111111403</v>
          </cell>
        </row>
        <row r="123">
          <cell r="B123">
            <v>40513</v>
          </cell>
          <cell r="C123">
            <v>76411111.111111403</v>
          </cell>
          <cell r="D123">
            <v>1214687.5000000014</v>
          </cell>
          <cell r="E123">
            <v>384131.94444444589</v>
          </cell>
          <cell r="F123">
            <v>830555.5555555555</v>
          </cell>
          <cell r="G123">
            <v>75580555.55555585</v>
          </cell>
        </row>
        <row r="124">
          <cell r="B124">
            <v>40544</v>
          </cell>
          <cell r="C124">
            <v>75580555.55555585</v>
          </cell>
          <cell r="D124">
            <v>1210534.7222222236</v>
          </cell>
          <cell r="E124">
            <v>379979.16666666814</v>
          </cell>
          <cell r="F124">
            <v>830555.5555555555</v>
          </cell>
          <cell r="G124">
            <v>74750000.000000298</v>
          </cell>
        </row>
        <row r="125">
          <cell r="B125">
            <v>40575</v>
          </cell>
          <cell r="C125">
            <v>74750000.000000298</v>
          </cell>
          <cell r="D125">
            <v>1206381.9444444459</v>
          </cell>
          <cell r="E125">
            <v>375826.38888889039</v>
          </cell>
          <cell r="F125">
            <v>830555.5555555555</v>
          </cell>
          <cell r="G125">
            <v>73919444.444444746</v>
          </cell>
        </row>
        <row r="126">
          <cell r="B126">
            <v>40603</v>
          </cell>
          <cell r="C126">
            <v>73919444.444444746</v>
          </cell>
          <cell r="D126">
            <v>1202229.1666666681</v>
          </cell>
          <cell r="E126">
            <v>371673.61111111264</v>
          </cell>
          <cell r="F126">
            <v>830555.5555555555</v>
          </cell>
          <cell r="G126">
            <v>73088888.888889194</v>
          </cell>
        </row>
        <row r="127">
          <cell r="B127">
            <v>40634</v>
          </cell>
          <cell r="C127">
            <v>73088888.888889194</v>
          </cell>
          <cell r="D127">
            <v>1198076.3888888904</v>
          </cell>
          <cell r="E127">
            <v>367520.83333333483</v>
          </cell>
          <cell r="F127">
            <v>830555.5555555555</v>
          </cell>
          <cell r="G127">
            <v>72258333.333333641</v>
          </cell>
        </row>
        <row r="128">
          <cell r="B128">
            <v>40664</v>
          </cell>
          <cell r="C128">
            <v>72258333.333333641</v>
          </cell>
          <cell r="D128">
            <v>1193923.6111111126</v>
          </cell>
          <cell r="E128">
            <v>363368.05555555708</v>
          </cell>
          <cell r="F128">
            <v>830555.5555555555</v>
          </cell>
          <cell r="G128">
            <v>71427777.777778089</v>
          </cell>
        </row>
        <row r="129">
          <cell r="B129">
            <v>40695</v>
          </cell>
          <cell r="C129">
            <v>71427777.777778089</v>
          </cell>
          <cell r="D129">
            <v>1189770.8333333349</v>
          </cell>
          <cell r="E129">
            <v>359215.27777777932</v>
          </cell>
          <cell r="F129">
            <v>830555.5555555555</v>
          </cell>
          <cell r="G129">
            <v>70597222.222222537</v>
          </cell>
        </row>
        <row r="130">
          <cell r="B130">
            <v>40725</v>
          </cell>
          <cell r="C130">
            <v>70597222.222222537</v>
          </cell>
          <cell r="D130">
            <v>1185618.0555555571</v>
          </cell>
          <cell r="E130">
            <v>355062.50000000157</v>
          </cell>
          <cell r="F130">
            <v>830555.5555555555</v>
          </cell>
          <cell r="G130">
            <v>69766666.666666985</v>
          </cell>
        </row>
        <row r="131">
          <cell r="B131">
            <v>40756</v>
          </cell>
          <cell r="C131">
            <v>69766666.666666985</v>
          </cell>
          <cell r="D131">
            <v>1181465.2777777794</v>
          </cell>
          <cell r="E131">
            <v>350909.72222222382</v>
          </cell>
          <cell r="F131">
            <v>830555.5555555555</v>
          </cell>
          <cell r="G131">
            <v>68936111.111111432</v>
          </cell>
        </row>
        <row r="132">
          <cell r="B132">
            <v>40787</v>
          </cell>
          <cell r="C132">
            <v>68936111.111111432</v>
          </cell>
          <cell r="D132">
            <v>1177312.5000000016</v>
          </cell>
          <cell r="E132">
            <v>346756.94444444607</v>
          </cell>
          <cell r="F132">
            <v>830555.5555555555</v>
          </cell>
          <cell r="G132">
            <v>68105555.55555588</v>
          </cell>
        </row>
        <row r="133">
          <cell r="B133">
            <v>40817</v>
          </cell>
          <cell r="C133">
            <v>68105555.55555588</v>
          </cell>
          <cell r="D133">
            <v>1173159.7222222239</v>
          </cell>
          <cell r="E133">
            <v>342604.16666666832</v>
          </cell>
          <cell r="F133">
            <v>830555.5555555555</v>
          </cell>
          <cell r="G133">
            <v>67275000.000000328</v>
          </cell>
        </row>
        <row r="134">
          <cell r="B134">
            <v>40848</v>
          </cell>
          <cell r="C134">
            <v>67275000.000000328</v>
          </cell>
          <cell r="D134">
            <v>1169006.9444444459</v>
          </cell>
          <cell r="E134">
            <v>338451.38888889051</v>
          </cell>
          <cell r="F134">
            <v>830555.5555555555</v>
          </cell>
          <cell r="G134">
            <v>66444444.444444776</v>
          </cell>
        </row>
        <row r="135">
          <cell r="B135">
            <v>40878</v>
          </cell>
          <cell r="C135">
            <v>66444444.444444776</v>
          </cell>
          <cell r="D135">
            <v>1164854.1666666684</v>
          </cell>
          <cell r="E135">
            <v>334298.61111111275</v>
          </cell>
          <cell r="F135">
            <v>830555.5555555555</v>
          </cell>
          <cell r="G135">
            <v>65613888.888889223</v>
          </cell>
        </row>
        <row r="136">
          <cell r="B136">
            <v>40909</v>
          </cell>
          <cell r="C136">
            <v>65613888.888889223</v>
          </cell>
          <cell r="D136">
            <v>1160701.3888888904</v>
          </cell>
          <cell r="E136">
            <v>330145.833333335</v>
          </cell>
          <cell r="F136">
            <v>830555.5555555555</v>
          </cell>
          <cell r="G136">
            <v>64783333.333333671</v>
          </cell>
        </row>
        <row r="137">
          <cell r="B137">
            <v>40940</v>
          </cell>
          <cell r="C137">
            <v>64783333.333333671</v>
          </cell>
          <cell r="D137">
            <v>1156548.6111111129</v>
          </cell>
          <cell r="E137">
            <v>325993.05555555725</v>
          </cell>
          <cell r="F137">
            <v>830555.5555555555</v>
          </cell>
          <cell r="G137">
            <v>63952777.777778119</v>
          </cell>
        </row>
        <row r="138">
          <cell r="B138">
            <v>40969</v>
          </cell>
          <cell r="C138">
            <v>63952777.777778119</v>
          </cell>
          <cell r="D138">
            <v>1152395.8333333349</v>
          </cell>
          <cell r="E138">
            <v>321840.2777777795</v>
          </cell>
          <cell r="F138">
            <v>830555.5555555555</v>
          </cell>
          <cell r="G138">
            <v>63122222.222222567</v>
          </cell>
        </row>
        <row r="139">
          <cell r="B139">
            <v>41000</v>
          </cell>
          <cell r="C139">
            <v>63122222.222222567</v>
          </cell>
          <cell r="D139">
            <v>1148243.0555555574</v>
          </cell>
          <cell r="E139">
            <v>317687.50000000175</v>
          </cell>
          <cell r="F139">
            <v>830555.5555555555</v>
          </cell>
          <cell r="G139">
            <v>62291666.666667014</v>
          </cell>
        </row>
        <row r="140">
          <cell r="B140">
            <v>41030</v>
          </cell>
          <cell r="C140">
            <v>62291666.666667014</v>
          </cell>
          <cell r="D140">
            <v>1144090.2777777794</v>
          </cell>
          <cell r="E140">
            <v>313534.72222222394</v>
          </cell>
          <cell r="F140">
            <v>830555.5555555555</v>
          </cell>
          <cell r="G140">
            <v>61461111.111111462</v>
          </cell>
        </row>
        <row r="141">
          <cell r="B141">
            <v>41061</v>
          </cell>
          <cell r="C141">
            <v>61461111.111111462</v>
          </cell>
          <cell r="D141">
            <v>1139937.5000000016</v>
          </cell>
          <cell r="E141">
            <v>309381.94444444618</v>
          </cell>
          <cell r="F141">
            <v>830555.5555555555</v>
          </cell>
          <cell r="G141">
            <v>60630555.55555591</v>
          </cell>
        </row>
        <row r="142">
          <cell r="B142">
            <v>41091</v>
          </cell>
          <cell r="C142">
            <v>60630555.55555591</v>
          </cell>
          <cell r="D142">
            <v>1135784.7222222239</v>
          </cell>
          <cell r="E142">
            <v>305229.16666666843</v>
          </cell>
          <cell r="F142">
            <v>830555.5555555555</v>
          </cell>
          <cell r="G142">
            <v>59800000.000000358</v>
          </cell>
        </row>
        <row r="143">
          <cell r="B143">
            <v>41122</v>
          </cell>
          <cell r="C143">
            <v>59800000.000000358</v>
          </cell>
          <cell r="D143">
            <v>1131631.9444444461</v>
          </cell>
          <cell r="E143">
            <v>301076.38888889068</v>
          </cell>
          <cell r="F143">
            <v>830555.5555555555</v>
          </cell>
          <cell r="G143">
            <v>58969444.444444805</v>
          </cell>
        </row>
        <row r="144">
          <cell r="B144">
            <v>41153</v>
          </cell>
          <cell r="C144">
            <v>58969444.444444805</v>
          </cell>
          <cell r="D144">
            <v>1127479.1666666684</v>
          </cell>
          <cell r="E144">
            <v>296923.61111111293</v>
          </cell>
          <cell r="F144">
            <v>830555.5555555555</v>
          </cell>
          <cell r="G144">
            <v>58138888.888889253</v>
          </cell>
        </row>
        <row r="145">
          <cell r="B145">
            <v>41183</v>
          </cell>
          <cell r="C145">
            <v>58138888.888889253</v>
          </cell>
          <cell r="D145">
            <v>1123326.3888888906</v>
          </cell>
          <cell r="E145">
            <v>292770.83333333518</v>
          </cell>
          <cell r="F145">
            <v>830555.5555555555</v>
          </cell>
          <cell r="G145">
            <v>57308333.333333701</v>
          </cell>
        </row>
        <row r="146">
          <cell r="B146">
            <v>41214</v>
          </cell>
          <cell r="C146">
            <v>57308333.333333701</v>
          </cell>
          <cell r="D146">
            <v>1119173.6111111129</v>
          </cell>
          <cell r="E146">
            <v>288618.05555555737</v>
          </cell>
          <cell r="F146">
            <v>830555.5555555555</v>
          </cell>
          <cell r="G146">
            <v>56477777.777778149</v>
          </cell>
        </row>
        <row r="147">
          <cell r="B147">
            <v>41244</v>
          </cell>
          <cell r="C147">
            <v>56477777.777778149</v>
          </cell>
          <cell r="D147">
            <v>1115020.8333333351</v>
          </cell>
          <cell r="E147">
            <v>284465.27777777961</v>
          </cell>
          <cell r="F147">
            <v>830555.5555555555</v>
          </cell>
          <cell r="G147">
            <v>55647222.222222596</v>
          </cell>
        </row>
        <row r="148">
          <cell r="B148">
            <v>41275</v>
          </cell>
          <cell r="C148">
            <v>55647222.222222596</v>
          </cell>
          <cell r="D148">
            <v>1110868.0555555574</v>
          </cell>
          <cell r="E148">
            <v>280312.50000000186</v>
          </cell>
          <cell r="F148">
            <v>830555.5555555555</v>
          </cell>
          <cell r="G148">
            <v>54816666.666667044</v>
          </cell>
        </row>
        <row r="149">
          <cell r="B149">
            <v>41306</v>
          </cell>
          <cell r="C149">
            <v>54816666.666667044</v>
          </cell>
          <cell r="D149">
            <v>1106715.2777777796</v>
          </cell>
          <cell r="E149">
            <v>276159.72222222411</v>
          </cell>
          <cell r="F149">
            <v>830555.5555555555</v>
          </cell>
          <cell r="G149">
            <v>53986111.111111492</v>
          </cell>
        </row>
        <row r="150">
          <cell r="B150">
            <v>41334</v>
          </cell>
          <cell r="C150">
            <v>53986111.111111492</v>
          </cell>
          <cell r="D150">
            <v>1102562.5000000019</v>
          </cell>
          <cell r="E150">
            <v>272006.94444444636</v>
          </cell>
          <cell r="F150">
            <v>830555.5555555555</v>
          </cell>
          <cell r="G150">
            <v>53155555.55555594</v>
          </cell>
        </row>
        <row r="151">
          <cell r="B151">
            <v>41365</v>
          </cell>
          <cell r="C151">
            <v>53155555.55555594</v>
          </cell>
          <cell r="D151">
            <v>1098409.7222222241</v>
          </cell>
          <cell r="E151">
            <v>267854.16666666861</v>
          </cell>
          <cell r="F151">
            <v>830555.5555555555</v>
          </cell>
          <cell r="G151">
            <v>52325000.000000387</v>
          </cell>
        </row>
        <row r="152">
          <cell r="B152">
            <v>41395</v>
          </cell>
          <cell r="C152">
            <v>52325000.000000387</v>
          </cell>
          <cell r="D152">
            <v>1094256.9444444464</v>
          </cell>
          <cell r="E152">
            <v>263701.3888888908</v>
          </cell>
          <cell r="F152">
            <v>830555.5555555555</v>
          </cell>
          <cell r="G152">
            <v>51494444.444444835</v>
          </cell>
        </row>
        <row r="153">
          <cell r="B153">
            <v>41426</v>
          </cell>
          <cell r="C153">
            <v>51494444.444444835</v>
          </cell>
          <cell r="D153">
            <v>1090104.1666666686</v>
          </cell>
          <cell r="E153">
            <v>259548.61111111307</v>
          </cell>
          <cell r="F153">
            <v>830555.5555555555</v>
          </cell>
          <cell r="G153">
            <v>50663888.888889283</v>
          </cell>
        </row>
        <row r="154">
          <cell r="B154">
            <v>41456</v>
          </cell>
          <cell r="C154">
            <v>50663888.888889283</v>
          </cell>
          <cell r="D154">
            <v>1085951.3888888909</v>
          </cell>
          <cell r="E154">
            <v>255395.83333333529</v>
          </cell>
          <cell r="F154">
            <v>830555.5555555555</v>
          </cell>
          <cell r="G154">
            <v>49833333.333333731</v>
          </cell>
        </row>
        <row r="155">
          <cell r="B155">
            <v>41487</v>
          </cell>
          <cell r="C155">
            <v>49833333.333333731</v>
          </cell>
          <cell r="D155">
            <v>1081798.6111111131</v>
          </cell>
          <cell r="E155">
            <v>251243.05555555754</v>
          </cell>
          <cell r="F155">
            <v>830555.5555555555</v>
          </cell>
          <cell r="G155">
            <v>49002777.777778178</v>
          </cell>
        </row>
        <row r="156">
          <cell r="B156">
            <v>41518</v>
          </cell>
          <cell r="C156">
            <v>49002777.777778178</v>
          </cell>
          <cell r="D156">
            <v>1077645.8333333354</v>
          </cell>
          <cell r="E156">
            <v>247090.27777777979</v>
          </cell>
          <cell r="F156">
            <v>830555.5555555555</v>
          </cell>
          <cell r="G156">
            <v>48172222.222222626</v>
          </cell>
        </row>
        <row r="157">
          <cell r="B157">
            <v>41548</v>
          </cell>
          <cell r="C157">
            <v>48172222.222222626</v>
          </cell>
          <cell r="D157">
            <v>1073493.0555555576</v>
          </cell>
          <cell r="E157">
            <v>242937.50000000201</v>
          </cell>
          <cell r="F157">
            <v>830555.5555555555</v>
          </cell>
          <cell r="G157">
            <v>47341666.666667074</v>
          </cell>
        </row>
        <row r="158">
          <cell r="B158">
            <v>41579</v>
          </cell>
          <cell r="C158">
            <v>47341666.666667074</v>
          </cell>
          <cell r="D158">
            <v>1069340.2777777798</v>
          </cell>
          <cell r="E158">
            <v>238784.72222222426</v>
          </cell>
          <cell r="F158">
            <v>830555.5555555555</v>
          </cell>
          <cell r="G158">
            <v>46511111.111111522</v>
          </cell>
        </row>
        <row r="159">
          <cell r="B159">
            <v>41609</v>
          </cell>
          <cell r="C159">
            <v>46511111.111111522</v>
          </cell>
          <cell r="D159">
            <v>1065187.5000000021</v>
          </cell>
          <cell r="E159">
            <v>234631.9444444465</v>
          </cell>
          <cell r="F159">
            <v>830555.5555555555</v>
          </cell>
          <cell r="G159">
            <v>45680555.555555969</v>
          </cell>
        </row>
        <row r="160">
          <cell r="B160">
            <v>41640</v>
          </cell>
          <cell r="C160">
            <v>45680555.555555969</v>
          </cell>
          <cell r="D160">
            <v>1061034.7222222243</v>
          </cell>
          <cell r="E160">
            <v>230479.16666666872</v>
          </cell>
          <cell r="F160">
            <v>830555.5555555555</v>
          </cell>
          <cell r="G160">
            <v>44850000.000000417</v>
          </cell>
        </row>
        <row r="161">
          <cell r="B161">
            <v>41671</v>
          </cell>
          <cell r="C161">
            <v>44850000.000000417</v>
          </cell>
          <cell r="D161">
            <v>1056881.9444444464</v>
          </cell>
          <cell r="E161">
            <v>226326.38888889097</v>
          </cell>
          <cell r="F161">
            <v>830555.5555555555</v>
          </cell>
          <cell r="G161">
            <v>44019444.444444865</v>
          </cell>
        </row>
        <row r="162">
          <cell r="B162">
            <v>41699</v>
          </cell>
          <cell r="C162">
            <v>44019444.444444865</v>
          </cell>
          <cell r="D162">
            <v>1052729.1666666688</v>
          </cell>
          <cell r="E162">
            <v>222173.61111111322</v>
          </cell>
          <cell r="F162">
            <v>830555.5555555555</v>
          </cell>
          <cell r="G162">
            <v>43188888.888889313</v>
          </cell>
        </row>
        <row r="163">
          <cell r="B163">
            <v>41730</v>
          </cell>
          <cell r="C163">
            <v>43188888.888889313</v>
          </cell>
          <cell r="D163">
            <v>1048576.3888888909</v>
          </cell>
          <cell r="E163">
            <v>218020.83333333544</v>
          </cell>
          <cell r="F163">
            <v>830555.5555555555</v>
          </cell>
          <cell r="G163">
            <v>42358333.33333376</v>
          </cell>
        </row>
        <row r="164">
          <cell r="B164">
            <v>41760</v>
          </cell>
          <cell r="C164">
            <v>42358333.33333376</v>
          </cell>
          <cell r="D164">
            <v>1044423.6111111132</v>
          </cell>
          <cell r="E164">
            <v>213868.05555555769</v>
          </cell>
          <cell r="F164">
            <v>830555.5555555555</v>
          </cell>
          <cell r="G164">
            <v>41527777.777778208</v>
          </cell>
        </row>
        <row r="165">
          <cell r="B165">
            <v>41791</v>
          </cell>
          <cell r="C165">
            <v>41527777.777778208</v>
          </cell>
          <cell r="D165">
            <v>1040270.8333333355</v>
          </cell>
          <cell r="E165">
            <v>209715.27777777993</v>
          </cell>
          <cell r="F165">
            <v>830555.5555555555</v>
          </cell>
          <cell r="G165">
            <v>40697222.222222656</v>
          </cell>
        </row>
        <row r="166">
          <cell r="B166">
            <v>41821</v>
          </cell>
          <cell r="C166">
            <v>40697222.222222656</v>
          </cell>
          <cell r="D166">
            <v>1036118.0555555576</v>
          </cell>
          <cell r="E166">
            <v>205562.50000000215</v>
          </cell>
          <cell r="F166">
            <v>830555.5555555555</v>
          </cell>
          <cell r="G166">
            <v>39866666.666667104</v>
          </cell>
        </row>
        <row r="167">
          <cell r="B167">
            <v>41852</v>
          </cell>
          <cell r="C167">
            <v>39866666.666667104</v>
          </cell>
          <cell r="D167">
            <v>1031965.2777777798</v>
          </cell>
          <cell r="E167">
            <v>201409.7222222244</v>
          </cell>
          <cell r="F167">
            <v>830555.5555555555</v>
          </cell>
          <cell r="G167">
            <v>39036111.111111552</v>
          </cell>
        </row>
        <row r="168">
          <cell r="B168">
            <v>41883</v>
          </cell>
          <cell r="C168">
            <v>39036111.111111552</v>
          </cell>
          <cell r="D168">
            <v>1027812.5000000021</v>
          </cell>
          <cell r="E168">
            <v>197256.94444444665</v>
          </cell>
          <cell r="F168">
            <v>830555.5555555555</v>
          </cell>
          <cell r="G168">
            <v>38205555.555555999</v>
          </cell>
        </row>
        <row r="169">
          <cell r="B169">
            <v>41913</v>
          </cell>
          <cell r="C169">
            <v>38205555.555555999</v>
          </cell>
          <cell r="D169">
            <v>1023659.7222222243</v>
          </cell>
          <cell r="E169">
            <v>193104.16666666887</v>
          </cell>
          <cell r="F169">
            <v>830555.5555555555</v>
          </cell>
          <cell r="G169">
            <v>37375000.000000447</v>
          </cell>
        </row>
        <row r="170">
          <cell r="B170">
            <v>41944</v>
          </cell>
          <cell r="C170">
            <v>37375000.000000447</v>
          </cell>
          <cell r="D170">
            <v>1019506.9444444466</v>
          </cell>
          <cell r="E170">
            <v>188951.38888889112</v>
          </cell>
          <cell r="F170">
            <v>830555.5555555555</v>
          </cell>
          <cell r="G170">
            <v>36544444.444444895</v>
          </cell>
        </row>
        <row r="171">
          <cell r="B171">
            <v>41974</v>
          </cell>
          <cell r="C171">
            <v>36544444.444444895</v>
          </cell>
          <cell r="D171">
            <v>1015354.1666666688</v>
          </cell>
          <cell r="E171">
            <v>184798.61111111337</v>
          </cell>
          <cell r="F171">
            <v>830555.5555555555</v>
          </cell>
          <cell r="G171">
            <v>35713888.888889343</v>
          </cell>
        </row>
        <row r="172">
          <cell r="B172">
            <v>42005</v>
          </cell>
          <cell r="C172">
            <v>35713888.888889343</v>
          </cell>
          <cell r="D172">
            <v>1011201.3888888911</v>
          </cell>
          <cell r="E172">
            <v>180645.83333333558</v>
          </cell>
          <cell r="F172">
            <v>830555.5555555555</v>
          </cell>
          <cell r="G172">
            <v>34883333.33333379</v>
          </cell>
        </row>
        <row r="173">
          <cell r="B173">
            <v>42036</v>
          </cell>
          <cell r="C173">
            <v>34883333.33333379</v>
          </cell>
          <cell r="D173">
            <v>1007048.6111111133</v>
          </cell>
          <cell r="E173">
            <v>176493.05555555783</v>
          </cell>
          <cell r="F173">
            <v>830555.5555555555</v>
          </cell>
          <cell r="G173">
            <v>34052777.777778238</v>
          </cell>
        </row>
        <row r="174">
          <cell r="B174">
            <v>42064</v>
          </cell>
          <cell r="C174">
            <v>34052777.777778238</v>
          </cell>
          <cell r="D174">
            <v>1002895.8333333356</v>
          </cell>
          <cell r="E174">
            <v>172340.27777778008</v>
          </cell>
          <cell r="F174">
            <v>830555.5555555555</v>
          </cell>
          <cell r="G174">
            <v>33222222.222222682</v>
          </cell>
        </row>
        <row r="175">
          <cell r="B175">
            <v>42095</v>
          </cell>
          <cell r="C175">
            <v>33222222.222222682</v>
          </cell>
          <cell r="D175">
            <v>998743.05555555783</v>
          </cell>
          <cell r="E175">
            <v>168187.5000000023</v>
          </cell>
          <cell r="F175">
            <v>830555.5555555555</v>
          </cell>
          <cell r="G175">
            <v>32391666.666667126</v>
          </cell>
        </row>
        <row r="176">
          <cell r="B176">
            <v>42125</v>
          </cell>
          <cell r="C176">
            <v>32391666.666667126</v>
          </cell>
          <cell r="D176">
            <v>994590.27777778008</v>
          </cell>
          <cell r="E176">
            <v>164034.72222222452</v>
          </cell>
          <cell r="F176">
            <v>830555.5555555555</v>
          </cell>
          <cell r="G176">
            <v>31561111.11111157</v>
          </cell>
        </row>
        <row r="177">
          <cell r="B177">
            <v>42156</v>
          </cell>
          <cell r="C177">
            <v>31561111.11111157</v>
          </cell>
          <cell r="D177">
            <v>990437.50000000233</v>
          </cell>
          <cell r="E177">
            <v>159881.94444444677</v>
          </cell>
          <cell r="F177">
            <v>830555.5555555555</v>
          </cell>
          <cell r="G177">
            <v>30730555.555556014</v>
          </cell>
        </row>
        <row r="178">
          <cell r="B178">
            <v>42186</v>
          </cell>
          <cell r="C178">
            <v>30730555.555556014</v>
          </cell>
          <cell r="D178">
            <v>986284.72222222446</v>
          </cell>
          <cell r="E178">
            <v>155729.16666666896</v>
          </cell>
          <cell r="F178">
            <v>830555.5555555555</v>
          </cell>
          <cell r="G178">
            <v>29900000.000000458</v>
          </cell>
        </row>
        <row r="179">
          <cell r="B179">
            <v>42217</v>
          </cell>
          <cell r="C179">
            <v>29900000.000000458</v>
          </cell>
          <cell r="D179">
            <v>982131.94444444671</v>
          </cell>
          <cell r="E179">
            <v>151576.3888888912</v>
          </cell>
          <cell r="F179">
            <v>830555.5555555555</v>
          </cell>
          <cell r="G179">
            <v>29069444.444444902</v>
          </cell>
        </row>
        <row r="180">
          <cell r="B180">
            <v>42248</v>
          </cell>
          <cell r="C180">
            <v>29069444.444444902</v>
          </cell>
          <cell r="D180">
            <v>977979.16666666884</v>
          </cell>
          <cell r="E180">
            <v>147423.61111111339</v>
          </cell>
          <cell r="F180">
            <v>830555.5555555555</v>
          </cell>
          <cell r="G180">
            <v>28238888.888889346</v>
          </cell>
        </row>
        <row r="181">
          <cell r="B181">
            <v>42278</v>
          </cell>
          <cell r="C181">
            <v>28238888.888889346</v>
          </cell>
          <cell r="D181">
            <v>973826.38888889109</v>
          </cell>
          <cell r="E181">
            <v>143270.83333333564</v>
          </cell>
          <cell r="F181">
            <v>830555.5555555555</v>
          </cell>
          <cell r="G181">
            <v>27408333.33333379</v>
          </cell>
        </row>
        <row r="182">
          <cell r="B182">
            <v>42309</v>
          </cell>
          <cell r="C182">
            <v>27408333.33333379</v>
          </cell>
          <cell r="D182">
            <v>969673.61111111334</v>
          </cell>
          <cell r="E182">
            <v>139118.05555555783</v>
          </cell>
          <cell r="F182">
            <v>830555.5555555555</v>
          </cell>
          <cell r="G182">
            <v>26577777.777778234</v>
          </cell>
        </row>
        <row r="183">
          <cell r="B183">
            <v>42339</v>
          </cell>
          <cell r="C183">
            <v>26577777.777778234</v>
          </cell>
          <cell r="D183">
            <v>965520.83333333558</v>
          </cell>
          <cell r="E183">
            <v>134965.27777778008</v>
          </cell>
          <cell r="F183">
            <v>830555.5555555555</v>
          </cell>
          <cell r="G183">
            <v>25747222.222222678</v>
          </cell>
        </row>
        <row r="184">
          <cell r="B184">
            <v>42370</v>
          </cell>
          <cell r="C184">
            <v>25747222.222222678</v>
          </cell>
          <cell r="D184">
            <v>961368.05555555783</v>
          </cell>
          <cell r="E184">
            <v>130812.50000000227</v>
          </cell>
          <cell r="F184">
            <v>830555.5555555555</v>
          </cell>
          <cell r="G184">
            <v>24916666.666667122</v>
          </cell>
        </row>
        <row r="185">
          <cell r="B185">
            <v>42401</v>
          </cell>
          <cell r="C185">
            <v>24916666.666667122</v>
          </cell>
          <cell r="D185">
            <v>957215.27777778008</v>
          </cell>
          <cell r="E185">
            <v>126659.72222222452</v>
          </cell>
          <cell r="F185">
            <v>830555.5555555555</v>
          </cell>
          <cell r="G185">
            <v>24086111.111111566</v>
          </cell>
        </row>
        <row r="186">
          <cell r="B186">
            <v>42430</v>
          </cell>
          <cell r="C186">
            <v>24086111.111111566</v>
          </cell>
          <cell r="D186">
            <v>953062.50000000221</v>
          </cell>
          <cell r="E186">
            <v>122506.94444444671</v>
          </cell>
          <cell r="F186">
            <v>830555.5555555555</v>
          </cell>
          <cell r="G186">
            <v>23255555.55555601</v>
          </cell>
        </row>
        <row r="187">
          <cell r="B187">
            <v>42461</v>
          </cell>
          <cell r="C187">
            <v>23255555.55555601</v>
          </cell>
          <cell r="D187">
            <v>948909.72222222446</v>
          </cell>
          <cell r="E187">
            <v>118354.16666666896</v>
          </cell>
          <cell r="F187">
            <v>830555.5555555555</v>
          </cell>
          <cell r="G187">
            <v>22425000.000000454</v>
          </cell>
        </row>
        <row r="188">
          <cell r="B188">
            <v>42491</v>
          </cell>
          <cell r="C188">
            <v>22425000.000000454</v>
          </cell>
          <cell r="D188">
            <v>944756.94444444671</v>
          </cell>
          <cell r="E188">
            <v>114201.38888889116</v>
          </cell>
          <cell r="F188">
            <v>830555.5555555555</v>
          </cell>
          <cell r="G188">
            <v>21594444.444444899</v>
          </cell>
        </row>
        <row r="189">
          <cell r="B189">
            <v>42522</v>
          </cell>
          <cell r="C189">
            <v>21594444.444444899</v>
          </cell>
          <cell r="D189">
            <v>940604.16666666884</v>
          </cell>
          <cell r="E189">
            <v>110048.61111111339</v>
          </cell>
          <cell r="F189">
            <v>830555.5555555555</v>
          </cell>
          <cell r="G189">
            <v>20763888.888889343</v>
          </cell>
        </row>
        <row r="190">
          <cell r="B190">
            <v>42552</v>
          </cell>
          <cell r="C190">
            <v>20763888.888889343</v>
          </cell>
          <cell r="D190">
            <v>936451.38888889109</v>
          </cell>
          <cell r="E190">
            <v>105895.8333333356</v>
          </cell>
          <cell r="F190">
            <v>830555.5555555555</v>
          </cell>
          <cell r="G190">
            <v>19933333.333333787</v>
          </cell>
        </row>
        <row r="191">
          <cell r="B191">
            <v>42583</v>
          </cell>
          <cell r="C191">
            <v>19933333.333333787</v>
          </cell>
          <cell r="D191">
            <v>932298.61111111334</v>
          </cell>
          <cell r="E191">
            <v>101743.05555555783</v>
          </cell>
          <cell r="F191">
            <v>830555.5555555555</v>
          </cell>
          <cell r="G191">
            <v>19102777.777778231</v>
          </cell>
        </row>
        <row r="192">
          <cell r="B192">
            <v>42614</v>
          </cell>
          <cell r="C192">
            <v>19102777.777778231</v>
          </cell>
          <cell r="D192">
            <v>928145.83333333558</v>
          </cell>
          <cell r="E192">
            <v>97590.277777780037</v>
          </cell>
          <cell r="F192">
            <v>830555.5555555555</v>
          </cell>
          <cell r="G192">
            <v>18272222.222222675</v>
          </cell>
        </row>
        <row r="193">
          <cell r="B193">
            <v>42644</v>
          </cell>
          <cell r="C193">
            <v>18272222.222222675</v>
          </cell>
          <cell r="D193">
            <v>923993.05555555783</v>
          </cell>
          <cell r="E193">
            <v>93437.50000000227</v>
          </cell>
          <cell r="F193">
            <v>830555.5555555555</v>
          </cell>
          <cell r="G193">
            <v>17441666.666667119</v>
          </cell>
        </row>
        <row r="194">
          <cell r="B194">
            <v>42675</v>
          </cell>
          <cell r="C194">
            <v>17441666.666667119</v>
          </cell>
          <cell r="D194">
            <v>919840.27777777996</v>
          </cell>
          <cell r="E194">
            <v>89284.722222224475</v>
          </cell>
          <cell r="F194">
            <v>830555.5555555555</v>
          </cell>
          <cell r="G194">
            <v>16611111.111111563</v>
          </cell>
        </row>
        <row r="195">
          <cell r="B195">
            <v>42705</v>
          </cell>
          <cell r="C195">
            <v>16611111.111111563</v>
          </cell>
          <cell r="D195">
            <v>915687.50000000221</v>
          </cell>
          <cell r="E195">
            <v>85131.944444446708</v>
          </cell>
          <cell r="F195">
            <v>830555.5555555555</v>
          </cell>
          <cell r="G195">
            <v>15780555.555556007</v>
          </cell>
        </row>
        <row r="196">
          <cell r="B196">
            <v>42736</v>
          </cell>
          <cell r="C196">
            <v>15780555.555556007</v>
          </cell>
          <cell r="D196">
            <v>911534.72222222446</v>
          </cell>
          <cell r="E196">
            <v>80979.166666668927</v>
          </cell>
          <cell r="F196">
            <v>830555.5555555555</v>
          </cell>
          <cell r="G196">
            <v>14950000.000000451</v>
          </cell>
        </row>
        <row r="197">
          <cell r="B197">
            <v>42767</v>
          </cell>
          <cell r="C197">
            <v>14950000.000000451</v>
          </cell>
          <cell r="D197">
            <v>907381.94444444659</v>
          </cell>
          <cell r="E197">
            <v>76826.388888891146</v>
          </cell>
          <cell r="F197">
            <v>830555.5555555555</v>
          </cell>
          <cell r="G197">
            <v>14119444.444444895</v>
          </cell>
        </row>
        <row r="198">
          <cell r="B198">
            <v>42795</v>
          </cell>
          <cell r="C198">
            <v>14119444.444444895</v>
          </cell>
          <cell r="D198">
            <v>903229.16666666884</v>
          </cell>
          <cell r="E198">
            <v>72673.611111113365</v>
          </cell>
          <cell r="F198">
            <v>830555.5555555555</v>
          </cell>
          <cell r="G198">
            <v>13288888.888889339</v>
          </cell>
        </row>
        <row r="199">
          <cell r="B199">
            <v>42826</v>
          </cell>
          <cell r="C199">
            <v>13288888.888889339</v>
          </cell>
          <cell r="D199">
            <v>899076.38888889109</v>
          </cell>
          <cell r="E199">
            <v>68520.833333335584</v>
          </cell>
          <cell r="F199">
            <v>830555.5555555555</v>
          </cell>
          <cell r="G199">
            <v>12458333.333333783</v>
          </cell>
        </row>
        <row r="200">
          <cell r="B200">
            <v>42856</v>
          </cell>
          <cell r="C200">
            <v>12458333.333333783</v>
          </cell>
          <cell r="D200">
            <v>894923.61111111334</v>
          </cell>
          <cell r="E200">
            <v>64368.055555557803</v>
          </cell>
          <cell r="F200">
            <v>830555.5555555555</v>
          </cell>
          <cell r="G200">
            <v>11627777.777778227</v>
          </cell>
        </row>
        <row r="201">
          <cell r="B201">
            <v>42887</v>
          </cell>
          <cell r="C201">
            <v>11627777.777778227</v>
          </cell>
          <cell r="D201">
            <v>890770.83333333558</v>
          </cell>
          <cell r="E201">
            <v>60215.277777780022</v>
          </cell>
          <cell r="F201">
            <v>830555.5555555555</v>
          </cell>
          <cell r="G201">
            <v>10797222.222222671</v>
          </cell>
        </row>
        <row r="202">
          <cell r="B202">
            <v>42917</v>
          </cell>
          <cell r="C202">
            <v>10797222.222222671</v>
          </cell>
          <cell r="D202">
            <v>886618.05555555772</v>
          </cell>
          <cell r="E202">
            <v>56062.500000002248</v>
          </cell>
          <cell r="F202">
            <v>830555.5555555555</v>
          </cell>
          <cell r="G202">
            <v>9966666.6666671149</v>
          </cell>
        </row>
        <row r="203">
          <cell r="B203">
            <v>42948</v>
          </cell>
          <cell r="C203">
            <v>9966666.6666671149</v>
          </cell>
          <cell r="D203">
            <v>882465.27777777996</v>
          </cell>
          <cell r="E203">
            <v>51909.722222224467</v>
          </cell>
          <cell r="F203">
            <v>830555.5555555555</v>
          </cell>
          <cell r="G203">
            <v>9136111.111111559</v>
          </cell>
        </row>
        <row r="204">
          <cell r="B204">
            <v>42979</v>
          </cell>
          <cell r="C204">
            <v>9136111.111111559</v>
          </cell>
          <cell r="D204">
            <v>878312.50000000221</v>
          </cell>
          <cell r="E204">
            <v>47756.944444446686</v>
          </cell>
          <cell r="F204">
            <v>830555.5555555555</v>
          </cell>
          <cell r="G204">
            <v>8305555.555556003</v>
          </cell>
        </row>
        <row r="205">
          <cell r="B205">
            <v>43009</v>
          </cell>
          <cell r="C205">
            <v>8305555.555556003</v>
          </cell>
          <cell r="D205">
            <v>874159.72222222446</v>
          </cell>
          <cell r="E205">
            <v>43604.166666668905</v>
          </cell>
          <cell r="F205">
            <v>830555.5555555555</v>
          </cell>
          <cell r="G205">
            <v>7475000.000000447</v>
          </cell>
        </row>
        <row r="206">
          <cell r="B206">
            <v>43040</v>
          </cell>
          <cell r="C206">
            <v>7475000.000000447</v>
          </cell>
          <cell r="D206">
            <v>870006.94444444659</v>
          </cell>
          <cell r="E206">
            <v>39451.388888891124</v>
          </cell>
          <cell r="F206">
            <v>830555.5555555555</v>
          </cell>
          <cell r="G206">
            <v>6644444.4444448911</v>
          </cell>
        </row>
        <row r="207">
          <cell r="B207">
            <v>43070</v>
          </cell>
          <cell r="C207">
            <v>6644444.4444448911</v>
          </cell>
          <cell r="D207">
            <v>865854.16666666884</v>
          </cell>
          <cell r="E207">
            <v>35298.611111113343</v>
          </cell>
          <cell r="F207">
            <v>830555.5555555555</v>
          </cell>
          <cell r="G207">
            <v>5813888.8888893351</v>
          </cell>
        </row>
        <row r="208">
          <cell r="B208">
            <v>43101</v>
          </cell>
          <cell r="C208">
            <v>5813888.8888893351</v>
          </cell>
          <cell r="D208">
            <v>861701.38888889109</v>
          </cell>
          <cell r="E208">
            <v>31145.833333335566</v>
          </cell>
          <cell r="F208">
            <v>830555.5555555555</v>
          </cell>
          <cell r="G208">
            <v>4983333.3333337791</v>
          </cell>
        </row>
        <row r="209">
          <cell r="B209">
            <v>43132</v>
          </cell>
          <cell r="C209">
            <v>4983333.3333337791</v>
          </cell>
          <cell r="D209">
            <v>857548.61111111334</v>
          </cell>
          <cell r="E209">
            <v>26993.055555557785</v>
          </cell>
          <cell r="F209">
            <v>830555.5555555555</v>
          </cell>
          <cell r="G209">
            <v>4152777.7777782236</v>
          </cell>
        </row>
        <row r="210">
          <cell r="B210">
            <v>43160</v>
          </cell>
          <cell r="C210">
            <v>4152777.7777782236</v>
          </cell>
          <cell r="D210">
            <v>853395.83333333547</v>
          </cell>
          <cell r="E210">
            <v>22840.277777780007</v>
          </cell>
          <cell r="F210">
            <v>830555.5555555555</v>
          </cell>
          <cell r="G210">
            <v>3322222.2222226681</v>
          </cell>
        </row>
        <row r="211">
          <cell r="B211">
            <v>43191</v>
          </cell>
          <cell r="C211">
            <v>3322222.2222226681</v>
          </cell>
          <cell r="D211">
            <v>849243.05555555772</v>
          </cell>
          <cell r="E211">
            <v>18687.50000000223</v>
          </cell>
          <cell r="F211">
            <v>830555.5555555555</v>
          </cell>
          <cell r="G211">
            <v>2491666.6666671126</v>
          </cell>
        </row>
        <row r="212">
          <cell r="B212">
            <v>43221</v>
          </cell>
          <cell r="C212">
            <v>2491666.6666671126</v>
          </cell>
          <cell r="D212">
            <v>845090.27777777996</v>
          </cell>
          <cell r="E212">
            <v>14534.722222224451</v>
          </cell>
          <cell r="F212">
            <v>830555.5555555555</v>
          </cell>
          <cell r="G212">
            <v>1661111.1111115571</v>
          </cell>
        </row>
        <row r="213">
          <cell r="B213">
            <v>43252</v>
          </cell>
          <cell r="C213">
            <v>1661111.1111115571</v>
          </cell>
          <cell r="D213">
            <v>840937.50000000221</v>
          </cell>
          <cell r="E213">
            <v>10381.944444446675</v>
          </cell>
          <cell r="F213">
            <v>830555.5555555555</v>
          </cell>
          <cell r="G213">
            <v>830555.55555600161</v>
          </cell>
        </row>
        <row r="214">
          <cell r="B214">
            <v>43282</v>
          </cell>
          <cell r="C214">
            <v>830555.55555600161</v>
          </cell>
          <cell r="D214">
            <v>836784.72222222434</v>
          </cell>
          <cell r="E214">
            <v>6229.1666666688971</v>
          </cell>
          <cell r="F214">
            <v>830555.5555555555</v>
          </cell>
          <cell r="G214">
            <v>4.4610351324081421E-7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 refreshError="1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Impact Analysis"/>
      <sheetName val="Monthly Bill Data"/>
    </sheetNames>
    <sheetDataSet>
      <sheetData sheetId="0" refreshError="1"/>
      <sheetData sheetId="1" refreshError="1">
        <row r="49">
          <cell r="A49">
            <v>0</v>
          </cell>
          <cell r="B49">
            <v>14.073885546814747</v>
          </cell>
          <cell r="C49">
            <v>9.5884621317291376</v>
          </cell>
          <cell r="D49">
            <v>8.8141292611445312</v>
          </cell>
          <cell r="E49">
            <v>8.1224741631960509</v>
          </cell>
          <cell r="F49">
            <v>9.0413388863180622</v>
          </cell>
          <cell r="G49">
            <v>15.817985500539873</v>
          </cell>
          <cell r="H49">
            <v>29.243868579361408</v>
          </cell>
          <cell r="I49">
            <v>39.850686410612369</v>
          </cell>
          <cell r="J49">
            <v>35.641215486657408</v>
          </cell>
          <cell r="K49">
            <v>18.342125559154713</v>
          </cell>
          <cell r="L49">
            <v>12.103192966219343</v>
          </cell>
          <cell r="M49">
            <v>13.182322998611754</v>
          </cell>
          <cell r="AC49">
            <v>50</v>
          </cell>
          <cell r="AD49">
            <v>39.492398676675755</v>
          </cell>
          <cell r="AE49">
            <v>26.905957700370646</v>
          </cell>
          <cell r="AF49">
            <v>24.733120474157513</v>
          </cell>
          <cell r="AG49">
            <v>22.792283397994233</v>
          </cell>
          <cell r="AH49">
            <v>25.370688050693758</v>
          </cell>
          <cell r="AI49">
            <v>44.386476468865368</v>
          </cell>
          <cell r="AJ49">
            <v>82.060530685915353</v>
          </cell>
          <cell r="AK49">
            <v>111.82407232402684</v>
          </cell>
          <cell r="AL49">
            <v>100.01197513212318</v>
          </cell>
          <cell r="AM49">
            <v>51.469406422999178</v>
          </cell>
          <cell r="AN49">
            <v>33.962484652353254</v>
          </cell>
          <cell r="AO49">
            <v>36.990606013824781</v>
          </cell>
        </row>
        <row r="50">
          <cell r="A50">
            <v>50</v>
          </cell>
          <cell r="B50">
            <v>39.697966584639296</v>
          </cell>
          <cell r="C50">
            <v>30.778008030047921</v>
          </cell>
          <cell r="D50">
            <v>30.398523507317705</v>
          </cell>
          <cell r="E50">
            <v>32.740836679186636</v>
          </cell>
          <cell r="F50">
            <v>45.561973837585803</v>
          </cell>
          <cell r="G50">
            <v>78.650304364719602</v>
          </cell>
          <cell r="H50">
            <v>142.04895738893924</v>
          </cell>
          <cell r="I50">
            <v>186.1994560290118</v>
          </cell>
          <cell r="J50">
            <v>159.77243880326384</v>
          </cell>
          <cell r="K50">
            <v>85.222121486854036</v>
          </cell>
          <cell r="L50">
            <v>52.300738246341147</v>
          </cell>
          <cell r="M50">
            <v>42.94145836031602</v>
          </cell>
          <cell r="AC50">
            <v>100</v>
          </cell>
          <cell r="AD50">
            <v>51.427078152717101</v>
          </cell>
          <cell r="AE50">
            <v>39.871639797255639</v>
          </cell>
          <cell r="AF50">
            <v>39.380033251953527</v>
          </cell>
          <cell r="AG50">
            <v>42.414403344714209</v>
          </cell>
          <cell r="AH50">
            <v>59.023657656163728</v>
          </cell>
          <cell r="AI50">
            <v>101.88822494662728</v>
          </cell>
          <cell r="AJ50">
            <v>184.01856471861745</v>
          </cell>
          <cell r="AK50">
            <v>241.2137144803435</v>
          </cell>
          <cell r="AL50">
            <v>206.97860378987261</v>
          </cell>
          <cell r="AM50">
            <v>110.40174293815448</v>
          </cell>
          <cell r="AN50">
            <v>67.75344897086309</v>
          </cell>
          <cell r="AO50">
            <v>55.628887952717406</v>
          </cell>
        </row>
        <row r="51">
          <cell r="A51">
            <v>100</v>
          </cell>
          <cell r="B51">
            <v>75.533333333333331</v>
          </cell>
          <cell r="C51">
            <v>59.197396559739659</v>
          </cell>
          <cell r="D51">
            <v>60.888423988842398</v>
          </cell>
          <cell r="E51">
            <v>66.467131566713164</v>
          </cell>
          <cell r="F51">
            <v>81.593770339377031</v>
          </cell>
          <cell r="G51">
            <v>122.37740585774058</v>
          </cell>
          <cell r="H51">
            <v>217.13370525337052</v>
          </cell>
          <cell r="I51">
            <v>284.98354253835424</v>
          </cell>
          <cell r="J51">
            <v>242.27494188749418</v>
          </cell>
          <cell r="K51">
            <v>128.78847047884705</v>
          </cell>
          <cell r="L51">
            <v>89.647791724779168</v>
          </cell>
          <cell r="M51">
            <v>79.642119944211998</v>
          </cell>
          <cell r="AC51">
            <v>150</v>
          </cell>
          <cell r="AD51">
            <v>90.127592582422608</v>
          </cell>
          <cell r="AE51">
            <v>70.635289131637094</v>
          </cell>
          <cell r="AF51">
            <v>72.653050356383872</v>
          </cell>
          <cell r="AG51">
            <v>79.309654289060077</v>
          </cell>
          <cell r="AH51">
            <v>97.359003844807546</v>
          </cell>
          <cell r="AI51">
            <v>146.02269606937628</v>
          </cell>
          <cell r="AJ51">
            <v>259.08744205191016</v>
          </cell>
          <cell r="AK51">
            <v>340.04696312346374</v>
          </cell>
          <cell r="AL51">
            <v>289.08637143026726</v>
          </cell>
          <cell r="AM51">
            <v>153.67248186183878</v>
          </cell>
          <cell r="AN51">
            <v>106.96919216881871</v>
          </cell>
          <cell r="AO51">
            <v>95.030263090013761</v>
          </cell>
        </row>
        <row r="52">
          <cell r="A52">
            <v>150</v>
          </cell>
          <cell r="B52">
            <v>125.37033307513555</v>
          </cell>
          <cell r="C52">
            <v>98.862122385747483</v>
          </cell>
          <cell r="D52">
            <v>102.01874515879163</v>
          </cell>
          <cell r="E52">
            <v>109.09279628195198</v>
          </cell>
          <cell r="F52">
            <v>120.23780015491867</v>
          </cell>
          <cell r="G52">
            <v>159.51905499612704</v>
          </cell>
          <cell r="H52">
            <v>279.18613477924089</v>
          </cell>
          <cell r="I52">
            <v>373.56305189775367</v>
          </cell>
          <cell r="J52">
            <v>310.25236250968243</v>
          </cell>
          <cell r="K52">
            <v>167.65259488768396</v>
          </cell>
          <cell r="L52">
            <v>131.49744384198297</v>
          </cell>
          <cell r="M52">
            <v>129.26181254841208</v>
          </cell>
          <cell r="AC52">
            <v>200</v>
          </cell>
          <cell r="AD52">
            <v>142.8372957936281</v>
          </cell>
          <cell r="AE52">
            <v>112.63588339943165</v>
          </cell>
          <cell r="AF52">
            <v>116.23229612070909</v>
          </cell>
          <cell r="AG52">
            <v>124.29192480601007</v>
          </cell>
          <cell r="AH52">
            <v>136.98968332492555</v>
          </cell>
          <cell r="AI52">
            <v>181.74371786622288</v>
          </cell>
          <cell r="AJ52">
            <v>318.08316638229559</v>
          </cell>
          <cell r="AK52">
            <v>425.60895255428193</v>
          </cell>
          <cell r="AL52">
            <v>353.47763212775953</v>
          </cell>
          <cell r="AM52">
            <v>191.0104464043319</v>
          </cell>
          <cell r="AN52">
            <v>149.8180536132632</v>
          </cell>
          <cell r="AO52">
            <v>147.27094760714053</v>
          </cell>
        </row>
        <row r="53">
          <cell r="A53">
            <v>200</v>
          </cell>
          <cell r="B53">
            <v>181.35199613872993</v>
          </cell>
          <cell r="C53">
            <v>143.6061504516307</v>
          </cell>
          <cell r="D53">
            <v>147.81852030614357</v>
          </cell>
          <cell r="E53">
            <v>152.90657105426465</v>
          </cell>
          <cell r="F53">
            <v>156.45273391712058</v>
          </cell>
          <cell r="G53">
            <v>195.35827070261325</v>
          </cell>
          <cell r="H53">
            <v>339.04219816589671</v>
          </cell>
          <cell r="I53">
            <v>453.2648417568779</v>
          </cell>
          <cell r="J53">
            <v>371.69992415362339</v>
          </cell>
          <cell r="K53">
            <v>207.15493346204232</v>
          </cell>
          <cell r="L53">
            <v>172.00248224505276</v>
          </cell>
          <cell r="M53">
            <v>182.38364476315246</v>
          </cell>
          <cell r="AC53">
            <v>250</v>
          </cell>
          <cell r="AD53">
            <v>201.27542770407251</v>
          </cell>
          <cell r="AE53">
            <v>159.38280233196986</v>
          </cell>
          <cell r="AF53">
            <v>164.05794549094693</v>
          </cell>
          <cell r="AG53">
            <v>169.70497233549671</v>
          </cell>
          <cell r="AH53">
            <v>173.64071863069395</v>
          </cell>
          <cell r="AI53">
            <v>216.82043941284758</v>
          </cell>
          <cell r="AJ53">
            <v>376.28956338240215</v>
          </cell>
          <cell r="AK53">
            <v>503.06077038184213</v>
          </cell>
          <cell r="AL53">
            <v>412.53508538368055</v>
          </cell>
          <cell r="AM53">
            <v>229.91309013045228</v>
          </cell>
          <cell r="AN53">
            <v>190.89877099313401</v>
          </cell>
          <cell r="AO53">
            <v>202.4204138224614</v>
          </cell>
        </row>
        <row r="54">
          <cell r="A54">
            <v>250</v>
          </cell>
          <cell r="B54">
            <v>234.88553483304491</v>
          </cell>
          <cell r="C54">
            <v>185.82862270076268</v>
          </cell>
          <cell r="D54">
            <v>191.03608280458886</v>
          </cell>
          <cell r="E54">
            <v>194.82599500096134</v>
          </cell>
          <cell r="F54">
            <v>192.29417419726977</v>
          </cell>
          <cell r="G54">
            <v>232.4774722809716</v>
          </cell>
          <cell r="H54">
            <v>403.84861885534832</v>
          </cell>
          <cell r="I54">
            <v>533.05152855220149</v>
          </cell>
          <cell r="J54">
            <v>433.79388579119399</v>
          </cell>
          <cell r="K54">
            <v>248.36839069409729</v>
          </cell>
          <cell r="L54">
            <v>214.09402038069601</v>
          </cell>
          <cell r="M54">
            <v>236.7572902646927</v>
          </cell>
          <cell r="AC54">
            <v>300</v>
          </cell>
          <cell r="AD54">
            <v>256.14084058335936</v>
          </cell>
          <cell r="AE54">
            <v>202.64466118296238</v>
          </cell>
          <cell r="AF54">
            <v>208.32335574048986</v>
          </cell>
          <cell r="AG54">
            <v>212.45622538018895</v>
          </cell>
          <cell r="AH54">
            <v>209.69529457478646</v>
          </cell>
          <cell r="AI54">
            <v>253.51486718442791</v>
          </cell>
          <cell r="AJ54">
            <v>440.39376360729761</v>
          </cell>
          <cell r="AK54">
            <v>581.28852717411723</v>
          </cell>
          <cell r="AL54">
            <v>473.04884323956406</v>
          </cell>
          <cell r="AM54">
            <v>270.84378955877827</v>
          </cell>
          <cell r="AN54">
            <v>233.46785651641341</v>
          </cell>
          <cell r="AO54">
            <v>258.18197525761474</v>
          </cell>
        </row>
        <row r="55">
          <cell r="A55">
            <v>300</v>
          </cell>
          <cell r="B55">
            <v>290.11475509214353</v>
          </cell>
          <cell r="C55">
            <v>229.2716416100873</v>
          </cell>
          <cell r="D55">
            <v>235.72278128031039</v>
          </cell>
          <cell r="E55">
            <v>235.87966779825413</v>
          </cell>
          <cell r="F55">
            <v>228.28940349175556</v>
          </cell>
          <cell r="G55">
            <v>271.47259941804072</v>
          </cell>
          <cell r="H55">
            <v>476.51612512124149</v>
          </cell>
          <cell r="I55">
            <v>617.10638942774005</v>
          </cell>
          <cell r="J55">
            <v>494.34135548011642</v>
          </cell>
          <cell r="K55">
            <v>288.53922162948595</v>
          </cell>
          <cell r="L55">
            <v>251.1936833171678</v>
          </cell>
          <cell r="M55">
            <v>286.23539039767218</v>
          </cell>
          <cell r="AC55">
            <v>350</v>
          </cell>
          <cell r="AD55">
            <v>312.05656566697849</v>
          </cell>
          <cell r="AE55">
            <v>246.6117969868526</v>
          </cell>
          <cell r="AF55">
            <v>253.55084594866233</v>
          </cell>
          <cell r="AG55">
            <v>253.71959802738175</v>
          </cell>
          <cell r="AH55">
            <v>245.55527073820852</v>
          </cell>
          <cell r="AI55">
            <v>292.00447602251336</v>
          </cell>
          <cell r="AJ55">
            <v>512.55574864864127</v>
          </cell>
          <cell r="AK55">
            <v>663.77906382185415</v>
          </cell>
          <cell r="AL55">
            <v>531.72912770082553</v>
          </cell>
          <cell r="AM55">
            <v>310.36187226438278</v>
          </cell>
          <cell r="AN55">
            <v>270.19183532494765</v>
          </cell>
          <cell r="AO55">
            <v>307.88379884875178</v>
          </cell>
        </row>
        <row r="56">
          <cell r="A56">
            <v>350</v>
          </cell>
          <cell r="B56">
            <v>349.40487265961156</v>
          </cell>
          <cell r="C56">
            <v>275.16478660309338</v>
          </cell>
          <cell r="D56">
            <v>281.56983370159321</v>
          </cell>
          <cell r="E56">
            <v>279.53901616467033</v>
          </cell>
          <cell r="F56">
            <v>263.70996627514825</v>
          </cell>
          <cell r="G56">
            <v>310.60140714036515</v>
          </cell>
          <cell r="H56">
            <v>543.46546110012787</v>
          </cell>
          <cell r="I56">
            <v>690.64036515873943</v>
          </cell>
          <cell r="J56">
            <v>549.43627165949533</v>
          </cell>
          <cell r="K56">
            <v>326.90510524479589</v>
          </cell>
          <cell r="L56">
            <v>289.90917548552159</v>
          </cell>
          <cell r="M56">
            <v>339.52081637399698</v>
          </cell>
          <cell r="AC56">
            <v>400</v>
          </cell>
          <cell r="AD56">
            <v>372.70954004998714</v>
          </cell>
          <cell r="AE56">
            <v>293.51777573148456</v>
          </cell>
          <cell r="AF56">
            <v>300.35002778312094</v>
          </cell>
          <cell r="AG56">
            <v>298.18375842244905</v>
          </cell>
          <cell r="AH56">
            <v>281.2989397911432</v>
          </cell>
          <cell r="AI56">
            <v>331.31795419161512</v>
          </cell>
          <cell r="AJ56">
            <v>579.71361560550031</v>
          </cell>
          <cell r="AK56">
            <v>736.70481719078577</v>
          </cell>
          <cell r="AL56">
            <v>586.08266833326638</v>
          </cell>
          <cell r="AM56">
            <v>348.70907920759612</v>
          </cell>
          <cell r="AN56">
            <v>309.2455884458812</v>
          </cell>
          <cell r="AO56">
            <v>362.16623524717056</v>
          </cell>
        </row>
        <row r="57">
          <cell r="A57">
            <v>400</v>
          </cell>
          <cell r="B57">
            <v>403.75172255397337</v>
          </cell>
          <cell r="C57">
            <v>317.42478180983005</v>
          </cell>
          <cell r="D57">
            <v>324.80494947175009</v>
          </cell>
          <cell r="E57">
            <v>319.11144924207628</v>
          </cell>
          <cell r="F57">
            <v>299.83911345888839</v>
          </cell>
          <cell r="G57">
            <v>351.57854846118511</v>
          </cell>
          <cell r="H57">
            <v>611.33710381258618</v>
          </cell>
          <cell r="I57">
            <v>767.594912723932</v>
          </cell>
          <cell r="J57">
            <v>616.02245062011946</v>
          </cell>
          <cell r="K57">
            <v>370.38820624712906</v>
          </cell>
          <cell r="L57">
            <v>330.27715893431326</v>
          </cell>
          <cell r="M57">
            <v>387.76929260450163</v>
          </cell>
          <cell r="AC57">
            <v>450</v>
          </cell>
          <cell r="AD57">
            <v>427.51023242517641</v>
          </cell>
          <cell r="AE57">
            <v>336.10343849589572</v>
          </cell>
          <cell r="AF57">
            <v>343.91788736691558</v>
          </cell>
          <cell r="AG57">
            <v>337.88935678603303</v>
          </cell>
          <cell r="AH57">
            <v>317.48295282587333</v>
          </cell>
          <cell r="AI57">
            <v>372.26696153167467</v>
          </cell>
          <cell r="AJ57">
            <v>647.31084164257743</v>
          </cell>
          <cell r="AK57">
            <v>812.76354060167159</v>
          </cell>
          <cell r="AL57">
            <v>652.27189466300968</v>
          </cell>
          <cell r="AM57">
            <v>392.18346150606669</v>
          </cell>
          <cell r="AN57">
            <v>349.71210546813222</v>
          </cell>
          <cell r="AO57">
            <v>410.58732668697394</v>
          </cell>
        </row>
        <row r="58">
          <cell r="A58">
            <v>450</v>
          </cell>
          <cell r="B58">
            <v>459.91413288288288</v>
          </cell>
          <cell r="C58">
            <v>361.08840090090092</v>
          </cell>
          <cell r="D58">
            <v>368.79707207207207</v>
          </cell>
          <cell r="E58">
            <v>360.3714527027027</v>
          </cell>
          <cell r="F58">
            <v>336.18975225225228</v>
          </cell>
          <cell r="G58">
            <v>393.77939189189192</v>
          </cell>
          <cell r="H58">
            <v>676.60962837837837</v>
          </cell>
          <cell r="I58">
            <v>843.03063063063064</v>
          </cell>
          <cell r="J58">
            <v>677.70450450450448</v>
          </cell>
          <cell r="K58">
            <v>416.16908783783782</v>
          </cell>
          <cell r="L58">
            <v>369.03997747747746</v>
          </cell>
          <cell r="M58">
            <v>436.79239864864866</v>
          </cell>
          <cell r="AC58">
            <v>500</v>
          </cell>
          <cell r="AD58">
            <v>484.16376301646193</v>
          </cell>
          <cell r="AE58">
            <v>380.12730303788339</v>
          </cell>
          <cell r="AF58">
            <v>388.24242491660408</v>
          </cell>
          <cell r="AG58">
            <v>379.37255272101083</v>
          </cell>
          <cell r="AH58">
            <v>353.91583754498822</v>
          </cell>
          <cell r="AI58">
            <v>414.54197326278387</v>
          </cell>
          <cell r="AJ58">
            <v>712.28483829233903</v>
          </cell>
          <cell r="AK58">
            <v>887.48062579804707</v>
          </cell>
          <cell r="AL58">
            <v>713.43744332741221</v>
          </cell>
          <cell r="AM58">
            <v>438.11219793501425</v>
          </cell>
          <cell r="AN58">
            <v>388.4981378567586</v>
          </cell>
          <cell r="AO58">
            <v>459.82290229069656</v>
          </cell>
        </row>
        <row r="59">
          <cell r="A59">
            <v>500</v>
          </cell>
          <cell r="B59">
            <v>516.34265573958396</v>
          </cell>
          <cell r="C59">
            <v>402.62593844919479</v>
          </cell>
          <cell r="D59">
            <v>411.3687317324775</v>
          </cell>
          <cell r="E59">
            <v>401.56799816608401</v>
          </cell>
          <cell r="F59">
            <v>373.57968938048026</v>
          </cell>
          <cell r="G59">
            <v>437.45177374061552</v>
          </cell>
          <cell r="H59">
            <v>746.90750186257094</v>
          </cell>
          <cell r="I59">
            <v>911.37366038168375</v>
          </cell>
          <cell r="J59">
            <v>735.80543297610177</v>
          </cell>
          <cell r="K59">
            <v>459.63671270559917</v>
          </cell>
          <cell r="L59">
            <v>411.7084646684624</v>
          </cell>
          <cell r="M59">
            <v>489.66261676886927</v>
          </cell>
          <cell r="AC59">
            <v>550</v>
          </cell>
          <cell r="AD59">
            <v>541.09950115177003</v>
          </cell>
          <cell r="AE59">
            <v>421.93046037145541</v>
          </cell>
          <cell r="AF59">
            <v>431.09244036995329</v>
          </cell>
          <cell r="AG59">
            <v>420.82179550893375</v>
          </cell>
          <cell r="AH59">
            <v>391.49154406906439</v>
          </cell>
          <cell r="AI59">
            <v>458.42607407664093</v>
          </cell>
          <cell r="AJ59">
            <v>782.71913461316763</v>
          </cell>
          <cell r="AK59">
            <v>955.07087689479511</v>
          </cell>
          <cell r="AL59">
            <v>771.08475990202453</v>
          </cell>
          <cell r="AM59">
            <v>481.67470417449874</v>
          </cell>
          <cell r="AN59">
            <v>431.44846232580528</v>
          </cell>
          <cell r="AO59">
            <v>513.14024654189222</v>
          </cell>
        </row>
        <row r="60">
          <cell r="A60">
            <v>550</v>
          </cell>
          <cell r="B60">
            <v>574.62664953871308</v>
          </cell>
          <cell r="C60">
            <v>449.14977227607147</v>
          </cell>
          <cell r="D60">
            <v>456.41977110825644</v>
          </cell>
          <cell r="E60">
            <v>445.19590096928647</v>
          </cell>
          <cell r="F60">
            <v>412.52195492234029</v>
          </cell>
          <cell r="G60">
            <v>481.15485227140022</v>
          </cell>
          <cell r="H60">
            <v>808.28885904472736</v>
          </cell>
          <cell r="I60">
            <v>975.71511152633423</v>
          </cell>
          <cell r="J60">
            <v>794.48744598855546</v>
          </cell>
          <cell r="K60">
            <v>507.07117832535329</v>
          </cell>
          <cell r="L60">
            <v>452.90990307135348</v>
          </cell>
          <cell r="M60">
            <v>541.16302697652691</v>
          </cell>
          <cell r="AC60">
            <v>600</v>
          </cell>
          <cell r="AD60">
            <v>599.723023510703</v>
          </cell>
          <cell r="AE60">
            <v>468.76604079324363</v>
          </cell>
          <cell r="AF60">
            <v>476.35355119509722</v>
          </cell>
          <cell r="AG60">
            <v>464.63948721870815</v>
          </cell>
          <cell r="AH60">
            <v>430.53853187834852</v>
          </cell>
          <cell r="AI60">
            <v>502.16891787509974</v>
          </cell>
          <cell r="AJ60">
            <v>843.59024908687661</v>
          </cell>
          <cell r="AK60">
            <v>1018.3287135036246</v>
          </cell>
          <cell r="AL60">
            <v>829.18607000222744</v>
          </cell>
          <cell r="AM60">
            <v>529.21711940185276</v>
          </cell>
          <cell r="AN60">
            <v>472.69039238945396</v>
          </cell>
          <cell r="AO60">
            <v>564.79790314476486</v>
          </cell>
        </row>
        <row r="61">
          <cell r="A61">
            <v>600</v>
          </cell>
          <cell r="B61">
            <v>633.11822369198057</v>
          </cell>
          <cell r="C61">
            <v>491.82331404275425</v>
          </cell>
          <cell r="D61">
            <v>499.59531120822015</v>
          </cell>
          <cell r="E61">
            <v>484.91809377583559</v>
          </cell>
          <cell r="F61">
            <v>452.09306720207866</v>
          </cell>
          <cell r="G61">
            <v>529.20686193456947</v>
          </cell>
          <cell r="H61">
            <v>868.28782331404273</v>
          </cell>
          <cell r="I61">
            <v>1038.0855674973427</v>
          </cell>
          <cell r="J61">
            <v>851.8857328451636</v>
          </cell>
          <cell r="K61">
            <v>555.12277075705686</v>
          </cell>
          <cell r="L61">
            <v>498.07842210936576</v>
          </cell>
          <cell r="M61">
            <v>597.06761544821074</v>
          </cell>
          <cell r="AC61">
            <v>650</v>
          </cell>
          <cell r="AD61">
            <v>658.5059230300792</v>
          </cell>
          <cell r="AE61">
            <v>511.54516370232017</v>
          </cell>
          <cell r="AF61">
            <v>519.62881376279006</v>
          </cell>
          <cell r="AG61">
            <v>504.3630478265884</v>
          </cell>
          <cell r="AH61">
            <v>470.22175538930918</v>
          </cell>
          <cell r="AI61">
            <v>550.427771704164</v>
          </cell>
          <cell r="AJ61">
            <v>903.10569677325554</v>
          </cell>
          <cell r="AK61">
            <v>1079.7122389287179</v>
          </cell>
          <cell r="AL61">
            <v>886.04589132199612</v>
          </cell>
          <cell r="AM61">
            <v>577.38289449433989</v>
          </cell>
          <cell r="AN61">
            <v>518.05109822910902</v>
          </cell>
          <cell r="AO61">
            <v>621.00970483733136</v>
          </cell>
        </row>
        <row r="62">
          <cell r="A62">
            <v>650</v>
          </cell>
          <cell r="B62">
            <v>686.29833291863645</v>
          </cell>
          <cell r="C62">
            <v>532.99054491166953</v>
          </cell>
          <cell r="D62">
            <v>541.24421497885044</v>
          </cell>
          <cell r="E62">
            <v>525.81506593680024</v>
          </cell>
          <cell r="F62">
            <v>492.13865389400348</v>
          </cell>
          <cell r="G62">
            <v>575.7839014680269</v>
          </cell>
          <cell r="H62">
            <v>935.41608609106743</v>
          </cell>
          <cell r="I62">
            <v>1109.1217964667828</v>
          </cell>
          <cell r="J62">
            <v>916.4642323961184</v>
          </cell>
          <cell r="K62">
            <v>604.69438915153023</v>
          </cell>
          <cell r="L62">
            <v>538.29192585220198</v>
          </cell>
          <cell r="M62">
            <v>643.79416521522762</v>
          </cell>
          <cell r="AC62">
            <v>700</v>
          </cell>
          <cell r="AD62">
            <v>711.53641878816541</v>
          </cell>
          <cell r="AE62">
            <v>552.59085645974153</v>
          </cell>
          <cell r="AF62">
            <v>561.14804880564986</v>
          </cell>
          <cell r="AG62">
            <v>545.15150484255855</v>
          </cell>
          <cell r="AH62">
            <v>510.23666901502196</v>
          </cell>
          <cell r="AI62">
            <v>596.95790532396416</v>
          </cell>
          <cell r="AJ62">
            <v>969.81528301772505</v>
          </cell>
          <cell r="AK62">
            <v>1149.9088853993062</v>
          </cell>
          <cell r="AL62">
            <v>950.16648968588993</v>
          </cell>
          <cell r="AM62">
            <v>626.93155364139068</v>
          </cell>
          <cell r="AN62">
            <v>558.08719154920118</v>
          </cell>
          <cell r="AO62">
            <v>667.4691934713868</v>
          </cell>
        </row>
        <row r="63">
          <cell r="A63">
            <v>700</v>
          </cell>
          <cell r="B63">
            <v>744.68619087031254</v>
          </cell>
          <cell r="C63">
            <v>578.03189660660848</v>
          </cell>
          <cell r="D63">
            <v>586.13076972050681</v>
          </cell>
          <cell r="E63">
            <v>570.22391290507414</v>
          </cell>
          <cell r="F63">
            <v>528.47806710383907</v>
          </cell>
          <cell r="G63">
            <v>619.39154517094289</v>
          </cell>
          <cell r="H63">
            <v>999.061692239129</v>
          </cell>
          <cell r="I63">
            <v>1172.8157509390717</v>
          </cell>
          <cell r="J63">
            <v>969.4324186668365</v>
          </cell>
          <cell r="K63">
            <v>649.60272489972624</v>
          </cell>
          <cell r="L63">
            <v>580.9455020054753</v>
          </cell>
          <cell r="M63">
            <v>697.71694149105497</v>
          </cell>
          <cell r="AC63">
            <v>750</v>
          </cell>
          <cell r="AD63">
            <v>770.67352364614476</v>
          </cell>
          <cell r="AE63">
            <v>598.20349027427915</v>
          </cell>
          <cell r="AF63">
            <v>606.58498996740025</v>
          </cell>
          <cell r="AG63">
            <v>590.12303116867838</v>
          </cell>
          <cell r="AH63">
            <v>546.9203795341333</v>
          </cell>
          <cell r="AI63">
            <v>641.00646753721162</v>
          </cell>
          <cell r="AJ63">
            <v>1033.9259732988617</v>
          </cell>
          <cell r="AK63">
            <v>1213.7435317654777</v>
          </cell>
          <cell r="AL63">
            <v>1003.2627262197831</v>
          </cell>
          <cell r="AM63">
            <v>672.27192756659349</v>
          </cell>
          <cell r="AN63">
            <v>601.2187718342002</v>
          </cell>
          <cell r="AO63">
            <v>722.06518718723646</v>
          </cell>
        </row>
        <row r="64">
          <cell r="A64">
            <v>750</v>
          </cell>
          <cell r="B64">
            <v>805.35621421353994</v>
          </cell>
          <cell r="C64">
            <v>624.70070730885823</v>
          </cell>
          <cell r="D64">
            <v>631.6820478275514</v>
          </cell>
          <cell r="E64">
            <v>612.75574267430113</v>
          </cell>
          <cell r="F64">
            <v>572.03981138430447</v>
          </cell>
          <cell r="G64">
            <v>670.59124284270797</v>
          </cell>
          <cell r="H64">
            <v>1057.4534860222298</v>
          </cell>
          <cell r="I64">
            <v>1235.6667564836646</v>
          </cell>
          <cell r="J64">
            <v>1023.1928595486696</v>
          </cell>
          <cell r="K64">
            <v>693.84169754125969</v>
          </cell>
          <cell r="L64">
            <v>621.86412933647694</v>
          </cell>
          <cell r="M64">
            <v>749.67349275850449</v>
          </cell>
          <cell r="AC64">
            <v>800</v>
          </cell>
          <cell r="AD64">
            <v>831.44110360985928</v>
          </cell>
          <cell r="AE64">
            <v>644.93429906411268</v>
          </cell>
          <cell r="AF64">
            <v>652.14176001504961</v>
          </cell>
          <cell r="AG64">
            <v>632.60244590018647</v>
          </cell>
          <cell r="AH64">
            <v>590.5677558477646</v>
          </cell>
          <cell r="AI64">
            <v>692.31119494709969</v>
          </cell>
          <cell r="AJ64">
            <v>1091.7036187434114</v>
          </cell>
          <cell r="AK64">
            <v>1275.6890846221033</v>
          </cell>
          <cell r="AL64">
            <v>1056.3333160341199</v>
          </cell>
          <cell r="AM64">
            <v>716.31471459818067</v>
          </cell>
          <cell r="AN64">
            <v>642.00584643879188</v>
          </cell>
          <cell r="AO64">
            <v>773.95486017932251</v>
          </cell>
        </row>
        <row r="65">
          <cell r="A65">
            <v>800</v>
          </cell>
          <cell r="B65">
            <v>861.44425580079235</v>
          </cell>
          <cell r="C65">
            <v>670.5586445953594</v>
          </cell>
          <cell r="D65">
            <v>677.80807866440296</v>
          </cell>
          <cell r="E65">
            <v>654.90110356536502</v>
          </cell>
          <cell r="F65">
            <v>609.39381720430106</v>
          </cell>
          <cell r="G65">
            <v>716.01697792869265</v>
          </cell>
          <cell r="H65">
            <v>1120.6593803056028</v>
          </cell>
          <cell r="I65">
            <v>1294.7596915676288</v>
          </cell>
          <cell r="J65">
            <v>1075.2769524617997</v>
          </cell>
          <cell r="K65">
            <v>741.94807583474812</v>
          </cell>
          <cell r="L65">
            <v>667.50778155065086</v>
          </cell>
          <cell r="M65">
            <v>805.65895585738542</v>
          </cell>
          <cell r="AC65">
            <v>850</v>
          </cell>
          <cell r="AD65">
            <v>887.91332500038868</v>
          </cell>
          <cell r="AE65">
            <v>691.1624887172087</v>
          </cell>
          <cell r="AF65">
            <v>698.63467169976502</v>
          </cell>
          <cell r="AG65">
            <v>675.023848029021</v>
          </cell>
          <cell r="AH65">
            <v>628.11828719614323</v>
          </cell>
          <cell r="AI65">
            <v>738.01759237270267</v>
          </cell>
          <cell r="AJ65">
            <v>1155.0931936217196</v>
          </cell>
          <cell r="AK65">
            <v>1334.5429783469845</v>
          </cell>
          <cell r="AL65">
            <v>1108.3163277571689</v>
          </cell>
          <cell r="AM65">
            <v>764.74545921682341</v>
          </cell>
          <cell r="AN65">
            <v>688.01788367526115</v>
          </cell>
          <cell r="AO65">
            <v>830.41394436681605</v>
          </cell>
        </row>
        <row r="66">
          <cell r="A66">
            <v>850</v>
          </cell>
          <cell r="B66">
            <v>916.68650914634145</v>
          </cell>
          <cell r="C66">
            <v>710.87675304878053</v>
          </cell>
          <cell r="D66">
            <v>720.86181402439024</v>
          </cell>
          <cell r="E66">
            <v>696.81829268292688</v>
          </cell>
          <cell r="F66">
            <v>651.1592987804878</v>
          </cell>
          <cell r="G66">
            <v>763.42126524390244</v>
          </cell>
          <cell r="H66">
            <v>1180.9676067073171</v>
          </cell>
          <cell r="I66">
            <v>1362.1720274390243</v>
          </cell>
          <cell r="J66">
            <v>1142.7226371951219</v>
          </cell>
          <cell r="K66">
            <v>787.11882621951224</v>
          </cell>
          <cell r="L66">
            <v>707.76478658536587</v>
          </cell>
          <cell r="M66">
            <v>856.37263719512191</v>
          </cell>
          <cell r="AC66">
            <v>900</v>
          </cell>
          <cell r="AD66">
            <v>943.15219330890386</v>
          </cell>
          <cell r="AE66">
            <v>731.40049746628824</v>
          </cell>
          <cell r="AF66">
            <v>741.67383744184804</v>
          </cell>
          <cell r="AG66">
            <v>716.93615486245881</v>
          </cell>
          <cell r="AH66">
            <v>669.95893875455977</v>
          </cell>
          <cell r="AI66">
            <v>785.46202387549204</v>
          </cell>
          <cell r="AJ66">
            <v>1215.0633584975765</v>
          </cell>
          <cell r="AK66">
            <v>1401.4993375865802</v>
          </cell>
          <cell r="AL66">
            <v>1175.7142173042041</v>
          </cell>
          <cell r="AM66">
            <v>809.843757856754</v>
          </cell>
          <cell r="AN66">
            <v>728.19868532420003</v>
          </cell>
          <cell r="AO66">
            <v>881.09699772113515</v>
          </cell>
        </row>
        <row r="67">
          <cell r="A67">
            <v>900</v>
          </cell>
          <cell r="B67">
            <v>980.26711541618783</v>
          </cell>
          <cell r="C67">
            <v>759.53874569036282</v>
          </cell>
          <cell r="D67">
            <v>766.50049252996223</v>
          </cell>
          <cell r="E67">
            <v>743.15563946806765</v>
          </cell>
          <cell r="F67">
            <v>691.25283204728282</v>
          </cell>
          <cell r="G67">
            <v>811.04079789853881</v>
          </cell>
          <cell r="H67">
            <v>1235.374486947956</v>
          </cell>
          <cell r="I67">
            <v>1415.9419635527827</v>
          </cell>
          <cell r="J67">
            <v>1193.4057626005581</v>
          </cell>
          <cell r="K67">
            <v>835.68084058446891</v>
          </cell>
          <cell r="L67">
            <v>755.74683959940899</v>
          </cell>
          <cell r="M67">
            <v>907.75595140371036</v>
          </cell>
          <cell r="AC67">
            <v>950</v>
          </cell>
          <cell r="AD67">
            <v>1007.1544763902593</v>
          </cell>
          <cell r="AE67">
            <v>780.37183506774124</v>
          </cell>
          <cell r="AF67">
            <v>787.52453292195969</v>
          </cell>
          <cell r="AG67">
            <v>763.53936307161985</v>
          </cell>
          <cell r="AH67">
            <v>710.21293396982219</v>
          </cell>
          <cell r="AI67">
            <v>833.28651679990037</v>
          </cell>
          <cell r="AJ67">
            <v>1269.259087631134</v>
          </cell>
          <cell r="AK67">
            <v>1454.7792784985315</v>
          </cell>
          <cell r="AL67">
            <v>1226.1392196582858</v>
          </cell>
          <cell r="AM67">
            <v>858.60240152081678</v>
          </cell>
          <cell r="AN67">
            <v>776.47592227673192</v>
          </cell>
          <cell r="AO67">
            <v>932.65443219319479</v>
          </cell>
        </row>
        <row r="68">
          <cell r="A68">
            <v>950</v>
          </cell>
          <cell r="B68">
            <v>1037.9736296040116</v>
          </cell>
          <cell r="C68">
            <v>807.20914750129691</v>
          </cell>
          <cell r="D68">
            <v>814.78203354660207</v>
          </cell>
          <cell r="E68">
            <v>785.30312986339266</v>
          </cell>
          <cell r="F68">
            <v>728.57037869617841</v>
          </cell>
          <cell r="G68">
            <v>854.48409130209234</v>
          </cell>
          <cell r="H68">
            <v>1297.4638595884489</v>
          </cell>
          <cell r="I68">
            <v>1475.191163755836</v>
          </cell>
          <cell r="J68">
            <v>1245.0437489192461</v>
          </cell>
          <cell r="K68">
            <v>881.07262666436111</v>
          </cell>
          <cell r="L68">
            <v>797.41855438353798</v>
          </cell>
          <cell r="M68">
            <v>971.64629085249874</v>
          </cell>
          <cell r="AC68">
            <v>1000</v>
          </cell>
          <cell r="AD68">
            <v>1064.9379786129086</v>
          </cell>
          <cell r="AE68">
            <v>828.17872568287657</v>
          </cell>
          <cell r="AF68">
            <v>835.94833921383872</v>
          </cell>
          <cell r="AG68">
            <v>805.70363626112658</v>
          </cell>
          <cell r="AH68">
            <v>747.49708878630167</v>
          </cell>
          <cell r="AI68">
            <v>876.68177205551376</v>
          </cell>
          <cell r="AJ68">
            <v>1331.1692133070405</v>
          </cell>
          <cell r="AK68">
            <v>1513.5134951329142</v>
          </cell>
          <cell r="AL68">
            <v>1277.3873395651974</v>
          </cell>
          <cell r="AM68">
            <v>903.96102106088074</v>
          </cell>
          <cell r="AN68">
            <v>818.13379376276089</v>
          </cell>
          <cell r="AO68">
            <v>996.8875965586393</v>
          </cell>
        </row>
        <row r="69">
          <cell r="A69">
            <v>1000</v>
          </cell>
          <cell r="B69">
            <v>1100.5266096017863</v>
          </cell>
          <cell r="C69">
            <v>856.51293263863045</v>
          </cell>
          <cell r="D69">
            <v>862.43701153703012</v>
          </cell>
          <cell r="E69">
            <v>828.7267398585783</v>
          </cell>
          <cell r="F69">
            <v>767.92221808708598</v>
          </cell>
          <cell r="G69">
            <v>902.46566803126166</v>
          </cell>
          <cell r="H69">
            <v>1352.9116114625976</v>
          </cell>
          <cell r="I69">
            <v>1535.3072199478972</v>
          </cell>
          <cell r="J69">
            <v>1307.3231298846297</v>
          </cell>
          <cell r="K69">
            <v>924.00241905470784</v>
          </cell>
          <cell r="L69">
            <v>836.53051730554523</v>
          </cell>
          <cell r="M69">
            <v>1021.0165612206922</v>
          </cell>
          <cell r="AC69">
            <v>1050</v>
          </cell>
          <cell r="AD69">
            <v>1127.764573023092</v>
          </cell>
          <cell r="AE69">
            <v>877.71157311269224</v>
          </cell>
          <cell r="AF69">
            <v>883.78227258612537</v>
          </cell>
          <cell r="AG69">
            <v>849.23767383289965</v>
          </cell>
          <cell r="AH69">
            <v>786.92824402428016</v>
          </cell>
          <cell r="AI69">
            <v>924.80163577647988</v>
          </cell>
          <cell r="AJ69">
            <v>1386.3960875886335</v>
          </cell>
          <cell r="AK69">
            <v>1573.305975754937</v>
          </cell>
          <cell r="AL69">
            <v>1339.6792939981981</v>
          </cell>
          <cell r="AM69">
            <v>946.87142001463644</v>
          </cell>
          <cell r="AN69">
            <v>857.23459427413309</v>
          </cell>
          <cell r="AO69">
            <v>1046.2866560138925</v>
          </cell>
        </row>
        <row r="70">
          <cell r="A70">
            <v>1050</v>
          </cell>
          <cell r="B70">
            <v>1155.1336386768448</v>
          </cell>
          <cell r="C70">
            <v>903.51531806615776</v>
          </cell>
          <cell r="D70">
            <v>910.06249363867687</v>
          </cell>
          <cell r="E70">
            <v>875.12244274809166</v>
          </cell>
          <cell r="F70">
            <v>806.15226463104329</v>
          </cell>
          <cell r="G70">
            <v>945.9757760814249</v>
          </cell>
          <cell r="H70">
            <v>1410.6389821882951</v>
          </cell>
          <cell r="I70">
            <v>1596.400407124682</v>
          </cell>
          <cell r="J70">
            <v>1361.0148600508905</v>
          </cell>
          <cell r="K70">
            <v>968.85343511450378</v>
          </cell>
          <cell r="L70">
            <v>882.98666666666668</v>
          </cell>
          <cell r="M70">
            <v>1076.6117048346057</v>
          </cell>
          <cell r="AC70">
            <v>1100</v>
          </cell>
          <cell r="AD70">
            <v>1182.6877555617655</v>
          </cell>
          <cell r="AE70">
            <v>925.06742757777067</v>
          </cell>
          <cell r="AF70">
            <v>931.77077697724008</v>
          </cell>
          <cell r="AG70">
            <v>895.99727944985966</v>
          </cell>
          <cell r="AH70">
            <v>825.38191303097301</v>
          </cell>
          <cell r="AI70">
            <v>968.54072115073131</v>
          </cell>
          <cell r="AJ70">
            <v>1444.2878260070624</v>
          </cell>
          <cell r="AK70">
            <v>1634.4803330659213</v>
          </cell>
          <cell r="AL70">
            <v>1393.4799890024744</v>
          </cell>
          <cell r="AM70">
            <v>991.96409512963498</v>
          </cell>
          <cell r="AN70">
            <v>904.04909356389442</v>
          </cell>
          <cell r="AO70">
            <v>1102.2927894826696</v>
          </cell>
        </row>
        <row r="71">
          <cell r="A71">
            <v>1100</v>
          </cell>
          <cell r="B71">
            <v>1226.3476957245975</v>
          </cell>
          <cell r="C71">
            <v>953.84986118822872</v>
          </cell>
          <cell r="D71">
            <v>961.68384230982792</v>
          </cell>
          <cell r="E71">
            <v>921.46418656302058</v>
          </cell>
          <cell r="F71">
            <v>854.21910049972234</v>
          </cell>
          <cell r="G71">
            <v>996.51360355358133</v>
          </cell>
          <cell r="H71">
            <v>1462.5093836757358</v>
          </cell>
          <cell r="I71">
            <v>1641.7426985008328</v>
          </cell>
          <cell r="J71">
            <v>1405.5593559133815</v>
          </cell>
          <cell r="K71">
            <v>1013.1866740699611</v>
          </cell>
          <cell r="L71">
            <v>926.21399222654077</v>
          </cell>
          <cell r="M71">
            <v>1132.952692948362</v>
          </cell>
          <cell r="AC71">
            <v>1150</v>
          </cell>
          <cell r="AD71">
            <v>1253.9488279581192</v>
          </cell>
          <cell r="AE71">
            <v>975.3179458442911</v>
          </cell>
          <cell r="AF71">
            <v>983.32824462001565</v>
          </cell>
          <cell r="AG71">
            <v>942.20337411190985</v>
          </cell>
          <cell r="AH71">
            <v>873.44481799525033</v>
          </cell>
          <cell r="AI71">
            <v>1018.9419114796905</v>
          </cell>
          <cell r="AJ71">
            <v>1495.4257539941464</v>
          </cell>
          <cell r="AK71">
            <v>1678.693032792419</v>
          </cell>
          <cell r="AL71">
            <v>1437.1939647440415</v>
          </cell>
          <cell r="AM71">
            <v>1035.9902390505465</v>
          </cell>
          <cell r="AN71">
            <v>947.06008258501595</v>
          </cell>
          <cell r="AO71">
            <v>1158.4518048245545</v>
          </cell>
        </row>
        <row r="72">
          <cell r="A72">
            <v>1150</v>
          </cell>
          <cell r="B72">
            <v>1288.836218538981</v>
          </cell>
          <cell r="C72">
            <v>999.62811540822588</v>
          </cell>
          <cell r="D72">
            <v>1009.8373235113567</v>
          </cell>
          <cell r="E72">
            <v>965.53922651933703</v>
          </cell>
          <cell r="F72">
            <v>889.09073050951508</v>
          </cell>
          <cell r="G72">
            <v>1038.4450583179864</v>
          </cell>
          <cell r="H72">
            <v>1515.7335788827502</v>
          </cell>
          <cell r="I72">
            <v>1700.0487415592388</v>
          </cell>
          <cell r="J72">
            <v>1461.982320441989</v>
          </cell>
          <cell r="K72">
            <v>1056.1337016574585</v>
          </cell>
          <cell r="L72">
            <v>971.31467157765496</v>
          </cell>
          <cell r="M72">
            <v>1197.0761203192142</v>
          </cell>
          <cell r="AC72">
            <v>1200</v>
          </cell>
          <cell r="AD72">
            <v>1316.8498388419607</v>
          </cell>
          <cell r="AE72">
            <v>1021.3556259067852</v>
          </cell>
          <cell r="AF72">
            <v>1031.7867372085393</v>
          </cell>
          <cell r="AG72">
            <v>986.52579478167775</v>
          </cell>
          <cell r="AH72">
            <v>908.41564532889106</v>
          </cell>
          <cell r="AI72">
            <v>1061.0162781136271</v>
          </cell>
          <cell r="AJ72">
            <v>1548.6789480060916</v>
          </cell>
          <cell r="AK72">
            <v>1737.0003101585337</v>
          </cell>
          <cell r="AL72">
            <v>1493.7593740547109</v>
          </cell>
          <cell r="AM72">
            <v>1079.0893946166082</v>
          </cell>
          <cell r="AN72">
            <v>992.426772566821</v>
          </cell>
          <cell r="AO72">
            <v>1223.0952804157555</v>
          </cell>
        </row>
        <row r="73">
          <cell r="A73">
            <v>1200</v>
          </cell>
          <cell r="B73">
            <v>1357.4876257818873</v>
          </cell>
          <cell r="C73">
            <v>1054.9128365515367</v>
          </cell>
          <cell r="D73">
            <v>1056.7640739733479</v>
          </cell>
          <cell r="E73">
            <v>1006.3292085939624</v>
          </cell>
          <cell r="F73">
            <v>927.16222463965187</v>
          </cell>
          <cell r="G73">
            <v>1081.8672831112319</v>
          </cell>
          <cell r="H73">
            <v>1565.6497144411205</v>
          </cell>
          <cell r="I73">
            <v>1749.5002719608376</v>
          </cell>
          <cell r="J73">
            <v>1514.7190644547186</v>
          </cell>
          <cell r="K73">
            <v>1105.7070981778625</v>
          </cell>
          <cell r="L73">
            <v>1022.3596682077781</v>
          </cell>
          <cell r="M73">
            <v>1252.3181941800381</v>
          </cell>
          <cell r="AC73">
            <v>1250</v>
          </cell>
          <cell r="AD73">
            <v>1385.6837719146938</v>
          </cell>
          <cell r="AE73">
            <v>1076.8242528560854</v>
          </cell>
          <cell r="AF73">
            <v>1078.7139420176256</v>
          </cell>
          <cell r="AG73">
            <v>1027.2315025702214</v>
          </cell>
          <cell r="AH73">
            <v>946.42015456715319</v>
          </cell>
          <cell r="AI73">
            <v>1104.3385656714222</v>
          </cell>
          <cell r="AJ73">
            <v>1598.1695601492843</v>
          </cell>
          <cell r="AK73">
            <v>1785.8388465383996</v>
          </cell>
          <cell r="AL73">
            <v>1546.181038236552</v>
          </cell>
          <cell r="AM73">
            <v>1128.6735535091568</v>
          </cell>
          <cell r="AN73">
            <v>1043.5949281523913</v>
          </cell>
          <cell r="AO73">
            <v>1278.3298838170131</v>
          </cell>
        </row>
        <row r="74">
          <cell r="A74">
            <v>1250</v>
          </cell>
          <cell r="B74">
            <v>1419.2239467849224</v>
          </cell>
          <cell r="C74">
            <v>1109.5886178861788</v>
          </cell>
          <cell r="D74">
            <v>1114.4402069475241</v>
          </cell>
          <cell r="E74">
            <v>1060.1240206947523</v>
          </cell>
          <cell r="F74">
            <v>965.9889135254989</v>
          </cell>
          <cell r="G74">
            <v>1124.5924611973392</v>
          </cell>
          <cell r="H74">
            <v>1616.0882483370287</v>
          </cell>
          <cell r="I74">
            <v>1805.2823355506282</v>
          </cell>
          <cell r="J74">
            <v>1566.5587583148558</v>
          </cell>
          <cell r="K74">
            <v>1141.6638580931265</v>
          </cell>
          <cell r="L74">
            <v>1063.5012564671101</v>
          </cell>
          <cell r="M74">
            <v>1309.3451589061344</v>
          </cell>
          <cell r="AC74">
            <v>1300</v>
          </cell>
          <cell r="AD74">
            <v>1447.3926400421735</v>
          </cell>
          <cell r="AE74">
            <v>1131.6116830196124</v>
          </cell>
          <cell r="AF74">
            <v>1136.5595662031003</v>
          </cell>
          <cell r="AG74">
            <v>1081.1653147211416</v>
          </cell>
          <cell r="AH74">
            <v>985.16181816584651</v>
          </cell>
          <cell r="AI74">
            <v>1146.9133219400346</v>
          </cell>
          <cell r="AJ74">
            <v>1648.1642954240167</v>
          </cell>
          <cell r="AK74">
            <v>1841.1134983970976</v>
          </cell>
          <cell r="AL74">
            <v>1597.6517463048049</v>
          </cell>
          <cell r="AM74">
            <v>1164.3235511559217</v>
          </cell>
          <cell r="AN74">
            <v>1084.6095817176727</v>
          </cell>
          <cell r="AO74">
            <v>1335.3329829085735</v>
          </cell>
        </row>
        <row r="75">
          <cell r="A75">
            <v>1300</v>
          </cell>
          <cell r="B75">
            <v>1493.4336298036583</v>
          </cell>
          <cell r="C75">
            <v>1167.0642725289479</v>
          </cell>
          <cell r="D75">
            <v>1169.1676455781171</v>
          </cell>
          <cell r="E75">
            <v>1104.8640711528781</v>
          </cell>
          <cell r="F75">
            <v>1006.8880684678637</v>
          </cell>
          <cell r="G75">
            <v>1166.8009733176707</v>
          </cell>
          <cell r="H75">
            <v>1669.8216143648262</v>
          </cell>
          <cell r="I75">
            <v>1845.2758852156403</v>
          </cell>
          <cell r="J75">
            <v>1597.4878335291157</v>
          </cell>
          <cell r="K75">
            <v>1179.9159254908541</v>
          </cell>
          <cell r="L75">
            <v>1113.0115791240141</v>
          </cell>
          <cell r="M75">
            <v>1378.6803154891761</v>
          </cell>
          <cell r="AC75">
            <v>1350</v>
          </cell>
          <cell r="AD75">
            <v>1522.3381501737188</v>
          </cell>
          <cell r="AE75">
            <v>1189.6521079474644</v>
          </cell>
          <cell r="AF75">
            <v>1191.7961905319839</v>
          </cell>
          <cell r="AG75">
            <v>1126.2480586388067</v>
          </cell>
          <cell r="AH75">
            <v>1026.3757886481214</v>
          </cell>
          <cell r="AI75">
            <v>1189.3837127364295</v>
          </cell>
          <cell r="AJ75">
            <v>1702.1400193502027</v>
          </cell>
          <cell r="AK75">
            <v>1880.9901033423669</v>
          </cell>
          <cell r="AL75">
            <v>1628.4062611737622</v>
          </cell>
          <cell r="AM75">
            <v>1202.7524970148213</v>
          </cell>
          <cell r="AN75">
            <v>1134.5532567847299</v>
          </cell>
          <cell r="AO75">
            <v>1405.3638536575897</v>
          </cell>
        </row>
        <row r="76">
          <cell r="A76">
            <v>1350</v>
          </cell>
          <cell r="B76">
            <v>1565.7067395264116</v>
          </cell>
          <cell r="C76">
            <v>1221.4284153005465</v>
          </cell>
          <cell r="D76">
            <v>1225.5309653916211</v>
          </cell>
          <cell r="E76">
            <v>1148.0706739526411</v>
          </cell>
          <cell r="F76">
            <v>1040.0994535519126</v>
          </cell>
          <cell r="G76">
            <v>1206.8703096539161</v>
          </cell>
          <cell r="H76">
            <v>1722.7051001821494</v>
          </cell>
          <cell r="I76">
            <v>1894.9293260473589</v>
          </cell>
          <cell r="J76">
            <v>1647.2242258652095</v>
          </cell>
          <cell r="K76">
            <v>1217.4488160291439</v>
          </cell>
          <cell r="L76">
            <v>1156.2353369763207</v>
          </cell>
          <cell r="M76">
            <v>1448.9010928961748</v>
          </cell>
          <cell r="AC76">
            <v>1400</v>
          </cell>
          <cell r="AD76">
            <v>1594.6428191247599</v>
          </cell>
          <cell r="AE76">
            <v>1244.001831481607</v>
          </cell>
          <cell r="AF76">
            <v>1248.1802014647435</v>
          </cell>
          <cell r="AG76">
            <v>1169.2883538459214</v>
          </cell>
          <cell r="AH76">
            <v>1059.3216998502712</v>
          </cell>
          <cell r="AI76">
            <v>1229.1746751288915</v>
          </cell>
          <cell r="AJ76">
            <v>1754.5426918874959</v>
          </cell>
          <cell r="AK76">
            <v>1929.9498215383194</v>
          </cell>
          <cell r="AL76">
            <v>1677.6668433188336</v>
          </cell>
          <cell r="AM76">
            <v>1239.9486845921356</v>
          </cell>
          <cell r="AN76">
            <v>1177.6039093280563</v>
          </cell>
          <cell r="AO76">
            <v>1475.6784684389656</v>
          </cell>
        </row>
        <row r="77">
          <cell r="A77">
            <v>1400</v>
          </cell>
          <cell r="B77">
            <v>1646.2817779565567</v>
          </cell>
          <cell r="C77">
            <v>1289.2226468222043</v>
          </cell>
          <cell r="D77">
            <v>1283.5321802091714</v>
          </cell>
          <cell r="E77">
            <v>1204.5056315366051</v>
          </cell>
          <cell r="F77">
            <v>1084.6685438455349</v>
          </cell>
          <cell r="G77">
            <v>1246.4575623491553</v>
          </cell>
          <cell r="H77">
            <v>1747.9843121480289</v>
          </cell>
          <cell r="I77">
            <v>1931.4909493161706</v>
          </cell>
          <cell r="J77">
            <v>1683.4965808527757</v>
          </cell>
          <cell r="K77">
            <v>1254.1715607401447</v>
          </cell>
          <cell r="L77">
            <v>1208.4028559935639</v>
          </cell>
          <cell r="M77">
            <v>1514.3211987127916</v>
          </cell>
          <cell r="AC77">
            <v>1450</v>
          </cell>
          <cell r="AD77">
            <v>1675.6993738101519</v>
          </cell>
          <cell r="AE77">
            <v>1312.2599125548015</v>
          </cell>
          <cell r="AF77">
            <v>1306.4677623483024</v>
          </cell>
          <cell r="AG77">
            <v>1226.0290793122981</v>
          </cell>
          <cell r="AH77">
            <v>1104.0506091062957</v>
          </cell>
          <cell r="AI77">
            <v>1268.7306539357965</v>
          </cell>
          <cell r="AJ77">
            <v>1779.2192421227883</v>
          </cell>
          <cell r="AK77">
            <v>1966.004980208493</v>
          </cell>
          <cell r="AL77">
            <v>1713.5791722411759</v>
          </cell>
          <cell r="AM77">
            <v>1276.5824946391531</v>
          </cell>
          <cell r="AN77">
            <v>1229.9959437152011</v>
          </cell>
          <cell r="AO77">
            <v>1541.3807760055433</v>
          </cell>
        </row>
        <row r="78">
          <cell r="A78">
            <v>1450</v>
          </cell>
          <cell r="B78">
            <v>1694.7935278030993</v>
          </cell>
          <cell r="C78">
            <v>1323.6294439380129</v>
          </cell>
          <cell r="D78">
            <v>1327.4927073837739</v>
          </cell>
          <cell r="E78">
            <v>1245.1456244302644</v>
          </cell>
          <cell r="F78">
            <v>1121.4601185050137</v>
          </cell>
          <cell r="G78">
            <v>1292.109389243391</v>
          </cell>
          <cell r="H78">
            <v>1815.8037830446672</v>
          </cell>
          <cell r="I78">
            <v>2000.9728805834093</v>
          </cell>
          <cell r="J78">
            <v>1739.7543299908841</v>
          </cell>
          <cell r="K78">
            <v>1308.8258887876025</v>
          </cell>
          <cell r="L78">
            <v>1253.3461713764814</v>
          </cell>
          <cell r="M78">
            <v>1573.0587967183228</v>
          </cell>
          <cell r="AC78">
            <v>1500</v>
          </cell>
          <cell r="AD78">
            <v>1723.8701741908758</v>
          </cell>
          <cell r="AE78">
            <v>1346.3382309722208</v>
          </cell>
          <cell r="AF78">
            <v>1350.2677743177292</v>
          </cell>
          <cell r="AG78">
            <v>1266.5079074629218</v>
          </cell>
          <cell r="AH78">
            <v>1140.700396904019</v>
          </cell>
          <cell r="AI78">
            <v>1314.2774039242452</v>
          </cell>
          <cell r="AJ78">
            <v>1846.9565362520834</v>
          </cell>
          <cell r="AK78">
            <v>2035.3024788063105</v>
          </cell>
          <cell r="AL78">
            <v>1769.6023442916708</v>
          </cell>
          <cell r="AM78">
            <v>1331.280699315924</v>
          </cell>
          <cell r="AN78">
            <v>1274.8491467116701</v>
          </cell>
          <cell r="AO78">
            <v>1600.046906850328</v>
          </cell>
        </row>
        <row r="79">
          <cell r="A79">
            <v>1500</v>
          </cell>
          <cell r="B79">
            <v>1779.599849661739</v>
          </cell>
          <cell r="C79">
            <v>1396.1904284640441</v>
          </cell>
          <cell r="D79">
            <v>1393.2440491104985</v>
          </cell>
          <cell r="E79">
            <v>1301.366073665748</v>
          </cell>
          <cell r="F79">
            <v>1159.0025056376849</v>
          </cell>
          <cell r="G79">
            <v>1327.4698070658983</v>
          </cell>
          <cell r="H79">
            <v>1846.4374843397645</v>
          </cell>
          <cell r="I79">
            <v>2033.9959909797044</v>
          </cell>
          <cell r="J79">
            <v>1773.0415935855676</v>
          </cell>
          <cell r="K79">
            <v>1343.1713856176398</v>
          </cell>
          <cell r="L79">
            <v>1299.0072663492858</v>
          </cell>
          <cell r="M79">
            <v>1643.3968930092708</v>
          </cell>
          <cell r="AC79">
            <v>1550</v>
          </cell>
          <cell r="AD79">
            <v>1809.1766461427931</v>
          </cell>
          <cell r="AE79">
            <v>1419.39499333256</v>
          </cell>
          <cell r="AF79">
            <v>1416.3996454075052</v>
          </cell>
          <cell r="AG79">
            <v>1322.9946659110647</v>
          </cell>
          <cell r="AH79">
            <v>1178.2650276236209</v>
          </cell>
          <cell r="AI79">
            <v>1349.5322411157749</v>
          </cell>
          <cell r="AJ79">
            <v>1877.1251165620797</v>
          </cell>
          <cell r="AK79">
            <v>2067.8008294550064</v>
          </cell>
          <cell r="AL79">
            <v>1802.5093924145528</v>
          </cell>
          <cell r="AM79">
            <v>1365.4947785529334</v>
          </cell>
          <cell r="AN79">
            <v>1320.5966554198267</v>
          </cell>
          <cell r="AO79">
            <v>1670.7100080622818</v>
          </cell>
        </row>
        <row r="80">
          <cell r="A80">
            <v>1550</v>
          </cell>
          <cell r="B80">
            <v>1841.0583876704209</v>
          </cell>
          <cell r="C80">
            <v>1440.0583876704209</v>
          </cell>
          <cell r="D80">
            <v>1440.8097213989331</v>
          </cell>
          <cell r="E80">
            <v>1337.9908120924717</v>
          </cell>
          <cell r="F80">
            <v>1196.9585062240665</v>
          </cell>
          <cell r="G80">
            <v>1364.3518079430942</v>
          </cell>
          <cell r="H80">
            <v>1907.3334321280379</v>
          </cell>
          <cell r="I80">
            <v>2084.4783639596917</v>
          </cell>
          <cell r="J80">
            <v>1838.4585062240665</v>
          </cell>
          <cell r="K80">
            <v>1393.0986959098993</v>
          </cell>
          <cell r="L80">
            <v>1347.2471843509188</v>
          </cell>
          <cell r="M80">
            <v>1700.7243627741552</v>
          </cell>
          <cell r="AC80">
            <v>1600</v>
          </cell>
          <cell r="AD80">
            <v>1871.0172554781052</v>
          </cell>
          <cell r="AE80">
            <v>1463.4919295724546</v>
          </cell>
          <cell r="AF80">
            <v>1464.2554894791276</v>
          </cell>
          <cell r="AG80">
            <v>1359.7634457774338</v>
          </cell>
          <cell r="AH80">
            <v>1216.4361729289367</v>
          </cell>
          <cell r="AI80">
            <v>1386.5534044438239</v>
          </cell>
          <cell r="AJ80">
            <v>1938.3707694232473</v>
          </cell>
          <cell r="AK80">
            <v>2118.3983157505018</v>
          </cell>
          <cell r="AL80">
            <v>1868.3750671146602</v>
          </cell>
          <cell r="AM80">
            <v>1415.7680799736131</v>
          </cell>
          <cell r="AN80">
            <v>1369.1704435862309</v>
          </cell>
          <cell r="AO80">
            <v>1728.3996264718653</v>
          </cell>
        </row>
        <row r="81">
          <cell r="A81">
            <v>1600</v>
          </cell>
          <cell r="B81">
            <v>1953.7512771392082</v>
          </cell>
          <cell r="C81">
            <v>1519.1318646232439</v>
          </cell>
          <cell r="D81">
            <v>1521.8135376756065</v>
          </cell>
          <cell r="E81">
            <v>1407.1976372924648</v>
          </cell>
          <cell r="F81">
            <v>1226.9160280970625</v>
          </cell>
          <cell r="G81">
            <v>1397.2330779054917</v>
          </cell>
          <cell r="H81">
            <v>1927.3971902937419</v>
          </cell>
          <cell r="I81">
            <v>2111.0047892720308</v>
          </cell>
          <cell r="J81">
            <v>1847.5194763729246</v>
          </cell>
          <cell r="K81">
            <v>1399.7097701149426</v>
          </cell>
          <cell r="L81">
            <v>1391.1015325670498</v>
          </cell>
          <cell r="M81">
            <v>1796.4671136653894</v>
          </cell>
          <cell r="AC81">
            <v>1650</v>
          </cell>
          <cell r="AD81">
            <v>1983.8859745515228</v>
          </cell>
          <cell r="AE81">
            <v>1542.5629838273517</v>
          </cell>
          <cell r="AF81">
            <v>1545.2860190566391</v>
          </cell>
          <cell r="AG81">
            <v>1428.9022808135301</v>
          </cell>
          <cell r="AH81">
            <v>1245.8400045978797</v>
          </cell>
          <cell r="AI81">
            <v>1418.784027870224</v>
          </cell>
          <cell r="AJ81">
            <v>1957.125401761833</v>
          </cell>
          <cell r="AK81">
            <v>2143.5649678909836</v>
          </cell>
          <cell r="AL81">
            <v>1876.0156524396027</v>
          </cell>
          <cell r="AM81">
            <v>1421.2989206281218</v>
          </cell>
          <cell r="AN81">
            <v>1412.5579094581233</v>
          </cell>
          <cell r="AO81">
            <v>1824.1758571041908</v>
          </cell>
        </row>
        <row r="82">
          <cell r="A82">
            <v>1650</v>
          </cell>
          <cell r="B82">
            <v>1991.4608084358524</v>
          </cell>
          <cell r="C82">
            <v>1546.1539543057997</v>
          </cell>
          <cell r="D82">
            <v>1543.2376098418279</v>
          </cell>
          <cell r="E82">
            <v>1444.5708260105448</v>
          </cell>
          <cell r="F82">
            <v>1275.8347978910369</v>
          </cell>
          <cell r="G82">
            <v>1443.0383128295255</v>
          </cell>
          <cell r="H82">
            <v>1987.3483304042179</v>
          </cell>
          <cell r="I82">
            <v>2178.778207381371</v>
          </cell>
          <cell r="J82">
            <v>1923.1775043936732</v>
          </cell>
          <cell r="K82">
            <v>1478.397188049209</v>
          </cell>
          <cell r="L82">
            <v>1444.6284710017574</v>
          </cell>
          <cell r="M82">
            <v>1841.4871704745167</v>
          </cell>
          <cell r="AC82">
            <v>1700</v>
          </cell>
          <cell r="AD82">
            <v>2021.3738536639555</v>
          </cell>
          <cell r="AE82">
            <v>1569.3781990254765</v>
          </cell>
          <cell r="AF82">
            <v>1566.418049158214</v>
          </cell>
          <cell r="AG82">
            <v>1466.269225632876</v>
          </cell>
          <cell r="AH82">
            <v>1294.9986718930954</v>
          </cell>
          <cell r="AI82">
            <v>1464.7136931004827</v>
          </cell>
          <cell r="AJ82">
            <v>2017.1996035196896</v>
          </cell>
          <cell r="AK82">
            <v>2211.504882585486</v>
          </cell>
          <cell r="AL82">
            <v>1952.0648896873774</v>
          </cell>
          <cell r="AM82">
            <v>1500.6036817767713</v>
          </cell>
          <cell r="AN82">
            <v>1466.3277364895989</v>
          </cell>
          <cell r="AO82">
            <v>1869.1475134669761</v>
          </cell>
        </row>
        <row r="83">
          <cell r="A83">
            <v>1700</v>
          </cell>
          <cell r="B83">
            <v>2090.3283227848101</v>
          </cell>
          <cell r="C83">
            <v>1630.1344936708861</v>
          </cell>
          <cell r="D83">
            <v>1630.8393987341772</v>
          </cell>
          <cell r="E83">
            <v>1495.6040348101267</v>
          </cell>
          <cell r="F83">
            <v>1309.0945411392406</v>
          </cell>
          <cell r="G83">
            <v>1468.7029272151899</v>
          </cell>
          <cell r="H83">
            <v>1991.5842563291139</v>
          </cell>
          <cell r="I83">
            <v>2194.7242879746836</v>
          </cell>
          <cell r="J83">
            <v>1951.3445411392406</v>
          </cell>
          <cell r="K83">
            <v>1496.0363924050632</v>
          </cell>
          <cell r="L83">
            <v>1492.6435917721519</v>
          </cell>
          <cell r="M83">
            <v>1935.2405063291139</v>
          </cell>
          <cell r="AC83">
            <v>1750</v>
          </cell>
          <cell r="AD83">
            <v>2122.0296989139038</v>
          </cell>
          <cell r="AE83">
            <v>1654.8566897783489</v>
          </cell>
          <cell r="AF83">
            <v>1655.572285248646</v>
          </cell>
          <cell r="AG83">
            <v>1518.2859769389788</v>
          </cell>
          <cell r="AH83">
            <v>1328.9479287553593</v>
          </cell>
          <cell r="AI83">
            <v>1490.9768941370562</v>
          </cell>
          <cell r="AJ83">
            <v>2021.7881056069912</v>
          </cell>
          <cell r="AK83">
            <v>2228.0089061824356</v>
          </cell>
          <cell r="AL83">
            <v>1980.9381253536553</v>
          </cell>
          <cell r="AM83">
            <v>1518.7248915568432</v>
          </cell>
          <cell r="AN83">
            <v>1515.2806365912213</v>
          </cell>
          <cell r="AO83">
            <v>1964.5898609365586</v>
          </cell>
        </row>
        <row r="84">
          <cell r="A84">
            <v>1750</v>
          </cell>
          <cell r="B84">
            <v>2125.002259376412</v>
          </cell>
          <cell r="C84">
            <v>1655.6678716674198</v>
          </cell>
          <cell r="D84">
            <v>1654.4270221418888</v>
          </cell>
          <cell r="E84">
            <v>1528.6918210573881</v>
          </cell>
          <cell r="F84">
            <v>1347.1382738364211</v>
          </cell>
          <cell r="G84">
            <v>1545.3646633529147</v>
          </cell>
          <cell r="H84">
            <v>2102.2873926796206</v>
          </cell>
          <cell r="I84">
            <v>2280.7126073203794</v>
          </cell>
          <cell r="J84">
            <v>2017.9927699954812</v>
          </cell>
          <cell r="K84">
            <v>1546.0600994125621</v>
          </cell>
          <cell r="L84">
            <v>1526.6629010393131</v>
          </cell>
          <cell r="M84">
            <v>1965.6660641662902</v>
          </cell>
          <cell r="AC84">
            <v>1800</v>
          </cell>
          <cell r="AD84">
            <v>2155.3696469008232</v>
          </cell>
          <cell r="AE84">
            <v>1679.3282266852993</v>
          </cell>
          <cell r="AF84">
            <v>1678.0696447746684</v>
          </cell>
          <cell r="AG84">
            <v>1550.5376222703574</v>
          </cell>
          <cell r="AH84">
            <v>1366.3895804315314</v>
          </cell>
          <cell r="AI84">
            <v>1567.4487281540228</v>
          </cell>
          <cell r="AJ84">
            <v>2132.3301729446734</v>
          </cell>
          <cell r="AK84">
            <v>2313.3051767036386</v>
          </cell>
          <cell r="AL84">
            <v>2046.8309362597829</v>
          </cell>
          <cell r="AM84">
            <v>1568.1541023566667</v>
          </cell>
          <cell r="AN84">
            <v>1548.4797079299597</v>
          </cell>
          <cell r="AO84">
            <v>1993.7564545885759</v>
          </cell>
        </row>
        <row r="85">
          <cell r="A85">
            <v>1800</v>
          </cell>
          <cell r="B85">
            <v>2228.313704496788</v>
          </cell>
          <cell r="C85">
            <v>1738.2382226980728</v>
          </cell>
          <cell r="D85">
            <v>1746.5920770877945</v>
          </cell>
          <cell r="E85">
            <v>1595.8977516059956</v>
          </cell>
          <cell r="F85">
            <v>1384.8249464668095</v>
          </cell>
          <cell r="G85">
            <v>1568.5728051391864</v>
          </cell>
          <cell r="H85">
            <v>2123.9919700214132</v>
          </cell>
          <cell r="I85">
            <v>2296.2269807280513</v>
          </cell>
          <cell r="J85">
            <v>2036.2366167023554</v>
          </cell>
          <cell r="K85">
            <v>1556.1284796573875</v>
          </cell>
          <cell r="L85">
            <v>1570.3399357601713</v>
          </cell>
          <cell r="M85">
            <v>2047.3998929336187</v>
          </cell>
          <cell r="AC85">
            <v>1850</v>
          </cell>
          <cell r="AD85">
            <v>2259.5852051079623</v>
          </cell>
          <cell r="AE85">
            <v>1762.6321478145296</v>
          </cell>
          <cell r="AF85">
            <v>1771.1032377452466</v>
          </cell>
          <cell r="AG85">
            <v>1618.2941123221763</v>
          </cell>
          <cell r="AH85">
            <v>1404.2591733767883</v>
          </cell>
          <cell r="AI85">
            <v>1590.5856955753911</v>
          </cell>
          <cell r="AJ85">
            <v>2153.7994500250661</v>
          </cell>
          <cell r="AK85">
            <v>2328.4515563281229</v>
          </cell>
          <cell r="AL85">
            <v>2064.8125638300885</v>
          </cell>
          <cell r="AM85">
            <v>1577.9667300816745</v>
          </cell>
          <cell r="AN85">
            <v>1592.3776255889313</v>
          </cell>
          <cell r="AO85">
            <v>2076.1325022040223</v>
          </cell>
        </row>
        <row r="86">
          <cell r="A86">
            <v>1850</v>
          </cell>
          <cell r="B86">
            <v>2280.7958833619209</v>
          </cell>
          <cell r="C86">
            <v>1788.3144654088051</v>
          </cell>
          <cell r="D86">
            <v>1776.566037735849</v>
          </cell>
          <cell r="E86">
            <v>1623.0800457404232</v>
          </cell>
          <cell r="F86">
            <v>1408.3344768439108</v>
          </cell>
          <cell r="G86">
            <v>1586.928530588908</v>
          </cell>
          <cell r="H86">
            <v>2180.3436249285305</v>
          </cell>
          <cell r="I86">
            <v>2380.2950257289881</v>
          </cell>
          <cell r="J86">
            <v>2110.5431675242994</v>
          </cell>
          <cell r="K86">
            <v>1617.7953116066324</v>
          </cell>
          <cell r="L86">
            <v>1633.5911949685535</v>
          </cell>
          <cell r="M86">
            <v>2103.8690680388795</v>
          </cell>
          <cell r="AC86">
            <v>1900</v>
          </cell>
          <cell r="AD86">
            <v>2312.1871880148697</v>
          </cell>
          <cell r="AE86">
            <v>1812.9275948029949</v>
          </cell>
          <cell r="AF86">
            <v>1801.0174698580627</v>
          </cell>
          <cell r="AG86">
            <v>1645.4190023141512</v>
          </cell>
          <cell r="AH86">
            <v>1427.7178232180252</v>
          </cell>
          <cell r="AI86">
            <v>1608.7699225913977</v>
          </cell>
          <cell r="AJ86">
            <v>2210.352373838301</v>
          </cell>
          <cell r="AK86">
            <v>2413.0557680916136</v>
          </cell>
          <cell r="AL86">
            <v>2139.5912309824362</v>
          </cell>
          <cell r="AM86">
            <v>1640.0615327372575</v>
          </cell>
          <cell r="AN86">
            <v>1656.0748197653697</v>
          </cell>
          <cell r="AO86">
            <v>2132.8252737855223</v>
          </cell>
        </row>
        <row r="87">
          <cell r="A87">
            <v>1900</v>
          </cell>
          <cell r="B87">
            <v>2383.7720306513411</v>
          </cell>
          <cell r="C87">
            <v>1889.0568326947637</v>
          </cell>
          <cell r="D87">
            <v>1854.7100893997447</v>
          </cell>
          <cell r="E87">
            <v>1688.2662835249041</v>
          </cell>
          <cell r="F87">
            <v>1459.0114942528735</v>
          </cell>
          <cell r="G87">
            <v>1631.7011494252874</v>
          </cell>
          <cell r="H87">
            <v>2181.4361430395911</v>
          </cell>
          <cell r="I87">
            <v>2393.0989782886336</v>
          </cell>
          <cell r="J87">
            <v>2121.521711366539</v>
          </cell>
          <cell r="K87">
            <v>1650.4636015325671</v>
          </cell>
          <cell r="L87">
            <v>1654.2126436781609</v>
          </cell>
          <cell r="M87">
            <v>2195.4323116219666</v>
          </cell>
          <cell r="AC87">
            <v>1950</v>
          </cell>
          <cell r="AD87">
            <v>2414.4496492725216</v>
          </cell>
          <cell r="AE87">
            <v>1913.3677837093662</v>
          </cell>
          <cell r="AF87">
            <v>1878.57901983598</v>
          </cell>
          <cell r="AG87">
            <v>1709.9931888291931</v>
          </cell>
          <cell r="AH87">
            <v>1477.7880373153316</v>
          </cell>
          <cell r="AI87">
            <v>1652.7000976980939</v>
          </cell>
          <cell r="AJ87">
            <v>2209.5098284348933</v>
          </cell>
          <cell r="AK87">
            <v>2423.8966287496196</v>
          </cell>
          <cell r="AL87">
            <v>2148.8243364166669</v>
          </cell>
          <cell r="AM87">
            <v>1671.7040105418635</v>
          </cell>
          <cell r="AN87">
            <v>1675.5013004576545</v>
          </cell>
          <cell r="AO87">
            <v>2223.6861187388122</v>
          </cell>
        </row>
        <row r="88">
          <cell r="A88">
            <v>1950</v>
          </cell>
          <cell r="B88">
            <v>2423.6075036075035</v>
          </cell>
          <cell r="C88">
            <v>1891.7113997113997</v>
          </cell>
          <cell r="D88">
            <v>1887.4834054834055</v>
          </cell>
          <cell r="E88">
            <v>1726.6464646464647</v>
          </cell>
          <cell r="F88">
            <v>1497.0057720057721</v>
          </cell>
          <cell r="G88">
            <v>1701.1623376623377</v>
          </cell>
          <cell r="H88">
            <v>2290.4011544011546</v>
          </cell>
          <cell r="I88">
            <v>2470.6002886002884</v>
          </cell>
          <cell r="J88">
            <v>2196.6053391053392</v>
          </cell>
          <cell r="K88">
            <v>1692.1370851370853</v>
          </cell>
          <cell r="L88">
            <v>1699.1414141414141</v>
          </cell>
          <cell r="M88">
            <v>2222.7337662337663</v>
          </cell>
          <cell r="AC88">
            <v>2000</v>
          </cell>
          <cell r="AD88">
            <v>2454.3652063965023</v>
          </cell>
          <cell r="AE88">
            <v>1915.7188748938611</v>
          </cell>
          <cell r="AF88">
            <v>1911.4372237145394</v>
          </cell>
          <cell r="AG88">
            <v>1748.5591211728295</v>
          </cell>
          <cell r="AH88">
            <v>1516.0040869310365</v>
          </cell>
          <cell r="AI88">
            <v>1722.7515782880469</v>
          </cell>
          <cell r="AJ88">
            <v>2319.4683519031391</v>
          </cell>
          <cell r="AK88">
            <v>2501.9543710059888</v>
          </cell>
          <cell r="AL88">
            <v>2224.4821855271975</v>
          </cell>
          <cell r="AM88">
            <v>1713.6117874003103</v>
          </cell>
          <cell r="AN88">
            <v>1720.7050074769068</v>
          </cell>
          <cell r="AO88">
            <v>2250.942205289648</v>
          </cell>
        </row>
        <row r="89">
          <cell r="A89">
            <v>2000</v>
          </cell>
          <cell r="B89">
            <v>2509.1875505254648</v>
          </cell>
          <cell r="C89">
            <v>1957.1010509296686</v>
          </cell>
          <cell r="D89">
            <v>1943.2441390460792</v>
          </cell>
          <cell r="E89">
            <v>1775.4179466451092</v>
          </cell>
          <cell r="F89">
            <v>1519.6879547291835</v>
          </cell>
          <cell r="G89">
            <v>1720.1002425222312</v>
          </cell>
          <cell r="H89">
            <v>2318.1059013742924</v>
          </cell>
          <cell r="I89">
            <v>2518.7485852869845</v>
          </cell>
          <cell r="J89">
            <v>2248.5561843168957</v>
          </cell>
          <cell r="K89">
            <v>1732.3435731608731</v>
          </cell>
          <cell r="L89">
            <v>1742.3969280517381</v>
          </cell>
          <cell r="M89">
            <v>2302.7978981406627</v>
          </cell>
          <cell r="AC89">
            <v>2050</v>
          </cell>
          <cell r="AD89">
            <v>2541.452848784128</v>
          </cell>
          <cell r="AE89">
            <v>1982.2671446787649</v>
          </cell>
          <cell r="AF89">
            <v>1968.2320486674987</v>
          </cell>
          <cell r="AG89">
            <v>1798.2478022971077</v>
          </cell>
          <cell r="AH89">
            <v>1539.2294135209613</v>
          </cell>
          <cell r="AI89">
            <v>1742.2187754107579</v>
          </cell>
          <cell r="AJ89">
            <v>2347.9141069376215</v>
          </cell>
          <cell r="AK89">
            <v>2551.1368275791365</v>
          </cell>
          <cell r="AL89">
            <v>2277.4700596161547</v>
          </cell>
          <cell r="AM89">
            <v>1754.6195413573553</v>
          </cell>
          <cell r="AN89">
            <v>1764.8021709586683</v>
          </cell>
          <cell r="AO89">
            <v>2332.409260191846</v>
          </cell>
        </row>
        <row r="90">
          <cell r="A90">
            <v>2050</v>
          </cell>
          <cell r="B90">
            <v>2575.4488479262673</v>
          </cell>
          <cell r="C90">
            <v>1992.2746543778801</v>
          </cell>
          <cell r="D90">
            <v>2006.3354838709677</v>
          </cell>
          <cell r="E90">
            <v>1815.405529953917</v>
          </cell>
          <cell r="F90">
            <v>1585.1087557603687</v>
          </cell>
          <cell r="G90">
            <v>1744.8774193548388</v>
          </cell>
          <cell r="H90">
            <v>2346.3170506912443</v>
          </cell>
          <cell r="I90">
            <v>2570.2184331797234</v>
          </cell>
          <cell r="J90">
            <v>2298.2092165898616</v>
          </cell>
          <cell r="K90">
            <v>1782.3244239631335</v>
          </cell>
          <cell r="L90">
            <v>1810.9004608294931</v>
          </cell>
          <cell r="M90">
            <v>2367.67465437788</v>
          </cell>
          <cell r="AC90">
            <v>2100</v>
          </cell>
          <cell r="AD90">
            <v>2606.9919053511849</v>
          </cell>
          <cell r="AE90">
            <v>2016.675229788201</v>
          </cell>
          <cell r="AF90">
            <v>2030.9082706426207</v>
          </cell>
          <cell r="AG90">
            <v>1837.6398837547922</v>
          </cell>
          <cell r="AH90">
            <v>1604.5225276735432</v>
          </cell>
          <cell r="AI90">
            <v>1766.247973339038</v>
          </cell>
          <cell r="AJ90">
            <v>2375.053794395787</v>
          </cell>
          <cell r="AK90">
            <v>2601.6974305970666</v>
          </cell>
          <cell r="AL90">
            <v>2326.3567549701093</v>
          </cell>
          <cell r="AM90">
            <v>1804.1536137372461</v>
          </cell>
          <cell r="AN90">
            <v>1833.0796383630513</v>
          </cell>
          <cell r="AO90">
            <v>2396.6729773873617</v>
          </cell>
        </row>
        <row r="91">
          <cell r="A91">
            <v>2100</v>
          </cell>
          <cell r="B91">
            <v>2648.0349576271187</v>
          </cell>
          <cell r="C91">
            <v>2072.1112288135591</v>
          </cell>
          <cell r="D91">
            <v>2050.789194915254</v>
          </cell>
          <cell r="E91">
            <v>1862.8135593220338</v>
          </cell>
          <cell r="F91">
            <v>1576.0222457627119</v>
          </cell>
          <cell r="G91">
            <v>1788.6101694915253</v>
          </cell>
          <cell r="H91">
            <v>2415.0158898305085</v>
          </cell>
          <cell r="I91">
            <v>2634.6578389830506</v>
          </cell>
          <cell r="J91">
            <v>2345.0010593220341</v>
          </cell>
          <cell r="K91">
            <v>1816.469279661017</v>
          </cell>
          <cell r="L91">
            <v>1851.3601694915253</v>
          </cell>
          <cell r="M91">
            <v>2439.6387711864409</v>
          </cell>
          <cell r="AC91">
            <v>2150</v>
          </cell>
          <cell r="AD91">
            <v>2679.1332182227056</v>
          </cell>
          <cell r="AE91">
            <v>2096.4458981090238</v>
          </cell>
          <cell r="AF91">
            <v>2074.8734603538182</v>
          </cell>
          <cell r="AG91">
            <v>1884.6902574909659</v>
          </cell>
          <cell r="AH91">
            <v>1594.5308951149432</v>
          </cell>
          <cell r="AI91">
            <v>1809.615430390576</v>
          </cell>
          <cell r="AJ91">
            <v>2443.3775975444173</v>
          </cell>
          <cell r="AK91">
            <v>2665.599000020562</v>
          </cell>
          <cell r="AL91">
            <v>2372.5405197924019</v>
          </cell>
          <cell r="AM91">
            <v>1837.8017151940417</v>
          </cell>
          <cell r="AN91">
            <v>1873.102360183271</v>
          </cell>
          <cell r="AO91">
            <v>2468.2896475832686</v>
          </cell>
        </row>
        <row r="92">
          <cell r="A92">
            <v>2150</v>
          </cell>
          <cell r="B92">
            <v>2693.7717003567182</v>
          </cell>
          <cell r="C92">
            <v>2100.7419738406657</v>
          </cell>
          <cell r="D92">
            <v>2097.9690844233055</v>
          </cell>
          <cell r="E92">
            <v>1908.0475624256837</v>
          </cell>
          <cell r="F92">
            <v>1663.2592152199761</v>
          </cell>
          <cell r="G92">
            <v>1881.2271105826396</v>
          </cell>
          <cell r="H92">
            <v>2504.938168846611</v>
          </cell>
          <cell r="I92">
            <v>2674.3793103448274</v>
          </cell>
          <cell r="J92">
            <v>2365.5707491082044</v>
          </cell>
          <cell r="K92">
            <v>1865.4744351961949</v>
          </cell>
          <cell r="L92">
            <v>1877.4280618311534</v>
          </cell>
          <cell r="M92">
            <v>2460.8882282996433</v>
          </cell>
          <cell r="AC92">
            <v>2200</v>
          </cell>
          <cell r="AD92">
            <v>2725.3929063279597</v>
          </cell>
          <cell r="AE92">
            <v>2125.4018196020761</v>
          </cell>
          <cell r="AF92">
            <v>2122.5963802446486</v>
          </cell>
          <cell r="AG92">
            <v>1930.4454385955162</v>
          </cell>
          <cell r="AH92">
            <v>1682.7836100382422</v>
          </cell>
          <cell r="AI92">
            <v>1903.3101512258168</v>
          </cell>
          <cell r="AJ92">
            <v>2534.3427266908539</v>
          </cell>
          <cell r="AK92">
            <v>2705.7728761048515</v>
          </cell>
          <cell r="AL92">
            <v>2393.3393235153044</v>
          </cell>
          <cell r="AM92">
            <v>1887.3725609139808</v>
          </cell>
          <cell r="AN92">
            <v>1899.4665068231661</v>
          </cell>
          <cell r="AO92">
            <v>2489.7756999175845</v>
          </cell>
        </row>
        <row r="93">
          <cell r="A93">
            <v>2200</v>
          </cell>
          <cell r="B93">
            <v>2749.5721925133689</v>
          </cell>
          <cell r="C93">
            <v>2141.6791443850266</v>
          </cell>
          <cell r="D93">
            <v>2145.2486631016041</v>
          </cell>
          <cell r="E93">
            <v>1958.5200534759358</v>
          </cell>
          <cell r="F93">
            <v>1702.0788770053475</v>
          </cell>
          <cell r="G93">
            <v>1914.4532085561498</v>
          </cell>
          <cell r="H93">
            <v>2528.9037433155081</v>
          </cell>
          <cell r="I93">
            <v>2721.364973262032</v>
          </cell>
          <cell r="J93">
            <v>2429.0494652406419</v>
          </cell>
          <cell r="K93">
            <v>1910.7299465240642</v>
          </cell>
          <cell r="L93">
            <v>1933.5040106951872</v>
          </cell>
          <cell r="M93">
            <v>2554.1510695187167</v>
          </cell>
          <cell r="AC93">
            <v>2250</v>
          </cell>
          <cell r="AD93">
            <v>2781.585631783264</v>
          </cell>
          <cell r="AE93">
            <v>2166.6148472594796</v>
          </cell>
          <cell r="AF93">
            <v>2170.2259261034715</v>
          </cell>
          <cell r="AG93">
            <v>1981.3232237151253</v>
          </cell>
          <cell r="AH93">
            <v>1721.8962867500154</v>
          </cell>
          <cell r="AI93">
            <v>1936.7433057916564</v>
          </cell>
          <cell r="AJ93">
            <v>2558.3479261692914</v>
          </cell>
          <cell r="AK93">
            <v>2753.0499941318089</v>
          </cell>
          <cell r="AL93">
            <v>2457.3310385525874</v>
          </cell>
          <cell r="AM93">
            <v>1932.9766935892155</v>
          </cell>
          <cell r="AN93">
            <v>1956.0159175994786</v>
          </cell>
          <cell r="AO93">
            <v>2583.8892085546054</v>
          </cell>
        </row>
        <row r="94">
          <cell r="A94">
            <v>2250</v>
          </cell>
          <cell r="B94">
            <v>2807.4155251141551</v>
          </cell>
          <cell r="C94">
            <v>2199.9041095890411</v>
          </cell>
          <cell r="D94">
            <v>2177.922374429224</v>
          </cell>
          <cell r="E94">
            <v>1981.8843226788433</v>
          </cell>
          <cell r="F94">
            <v>1719.4079147640791</v>
          </cell>
          <cell r="G94">
            <v>1962.1887366818873</v>
          </cell>
          <cell r="H94">
            <v>2588.8706240487063</v>
          </cell>
          <cell r="I94">
            <v>2806.3942161339423</v>
          </cell>
          <cell r="J94">
            <v>2503.4870624048708</v>
          </cell>
          <cell r="K94">
            <v>1958.8888888888889</v>
          </cell>
          <cell r="L94">
            <v>1974.9421613394215</v>
          </cell>
          <cell r="M94">
            <v>2612.2937595129374</v>
          </cell>
          <cell r="AC94">
            <v>2300</v>
          </cell>
          <cell r="AD94">
            <v>2838.9318139549669</v>
          </cell>
          <cell r="AE94">
            <v>2224.6004228777829</v>
          </cell>
          <cell r="AF94">
            <v>2202.3719188630093</v>
          </cell>
          <cell r="AG94">
            <v>2004.1331270342594</v>
          </cell>
          <cell r="AH94">
            <v>1738.7101363241309</v>
          </cell>
          <cell r="AI94">
            <v>1984.2164366900431</v>
          </cell>
          <cell r="AJ94">
            <v>2617.9335089793913</v>
          </cell>
          <cell r="AK94">
            <v>2837.8990396720483</v>
          </cell>
          <cell r="AL94">
            <v>2531.5914241077144</v>
          </cell>
          <cell r="AM94">
            <v>1980.8795445210892</v>
          </cell>
          <cell r="AN94">
            <v>1997.1130323928396</v>
          </cell>
          <cell r="AO94">
            <v>2641.6195945827249</v>
          </cell>
        </row>
        <row r="95">
          <cell r="A95">
            <v>2300</v>
          </cell>
          <cell r="B95">
            <v>2881.993322203673</v>
          </cell>
          <cell r="C95">
            <v>2253.4457429048416</v>
          </cell>
          <cell r="D95">
            <v>2208.9031719532554</v>
          </cell>
          <cell r="E95">
            <v>2026.0116861435727</v>
          </cell>
          <cell r="F95">
            <v>1749.9315525876461</v>
          </cell>
          <cell r="G95">
            <v>1998.1302170283807</v>
          </cell>
          <cell r="H95">
            <v>2652.9282136894826</v>
          </cell>
          <cell r="I95">
            <v>2869.762938230384</v>
          </cell>
          <cell r="J95">
            <v>2586.230383973289</v>
          </cell>
          <cell r="K95">
            <v>2033.475792988314</v>
          </cell>
          <cell r="L95">
            <v>1992.0534223706177</v>
          </cell>
          <cell r="M95">
            <v>2655.3739565943238</v>
          </cell>
          <cell r="AC95">
            <v>2350</v>
          </cell>
          <cell r="AD95">
            <v>2912.1223882032673</v>
          </cell>
          <cell r="AE95">
            <v>2277.0038181409668</v>
          </cell>
          <cell r="AF95">
            <v>2231.9955882131253</v>
          </cell>
          <cell r="AG95">
            <v>2047.1921098931653</v>
          </cell>
          <cell r="AH95">
            <v>1768.2257668165576</v>
          </cell>
          <cell r="AI95">
            <v>2019.0191610522343</v>
          </cell>
          <cell r="AJ95">
            <v>2680.6625767869377</v>
          </cell>
          <cell r="AK95">
            <v>2899.7641447921746</v>
          </cell>
          <cell r="AL95">
            <v>2613.2674715780959</v>
          </cell>
          <cell r="AM95">
            <v>2054.7342483440243</v>
          </cell>
          <cell r="AN95">
            <v>2012.8788380906758</v>
          </cell>
          <cell r="AO95">
            <v>2683.1338880887729</v>
          </cell>
        </row>
        <row r="96">
          <cell r="A96">
            <v>2350</v>
          </cell>
          <cell r="B96">
            <v>2938.751865671642</v>
          </cell>
          <cell r="C96">
            <v>2311.8059701492539</v>
          </cell>
          <cell r="D96">
            <v>2280.6082089552237</v>
          </cell>
          <cell r="E96">
            <v>2063.1343283582091</v>
          </cell>
          <cell r="F96">
            <v>1814.2089552238806</v>
          </cell>
          <cell r="G96">
            <v>2062.8190298507461</v>
          </cell>
          <cell r="H96">
            <v>2697.4589552238808</v>
          </cell>
          <cell r="I96">
            <v>2919.2723880597014</v>
          </cell>
          <cell r="J96">
            <v>2598.438432835821</v>
          </cell>
          <cell r="K96">
            <v>2027.2686567164178</v>
          </cell>
          <cell r="L96">
            <v>2057.8675373134329</v>
          </cell>
          <cell r="M96">
            <v>2726.4682835820895</v>
          </cell>
          <cell r="AC96">
            <v>2400</v>
          </cell>
          <cell r="AD96">
            <v>2969.8838159099751</v>
          </cell>
          <cell r="AE96">
            <v>2336.2963088076758</v>
          </cell>
          <cell r="AF96">
            <v>2304.7680511330186</v>
          </cell>
          <cell r="AG96">
            <v>2084.9903400874487</v>
          </cell>
          <cell r="AH96">
            <v>1833.4279520965749</v>
          </cell>
          <cell r="AI96">
            <v>2084.6717014349538</v>
          </cell>
          <cell r="AJ96">
            <v>2726.0347458324504</v>
          </cell>
          <cell r="AK96">
            <v>2950.1979805804035</v>
          </cell>
          <cell r="AL96">
            <v>2625.965240026781</v>
          </cell>
          <cell r="AM96">
            <v>2048.744722007219</v>
          </cell>
          <cell r="AN96">
            <v>2079.6677547857171</v>
          </cell>
          <cell r="AO96">
            <v>2755.3513872977796</v>
          </cell>
        </row>
        <row r="97">
          <cell r="A97">
            <v>2400</v>
          </cell>
          <cell r="B97">
            <v>2907.9645232815965</v>
          </cell>
          <cell r="C97">
            <v>2286.3525498891354</v>
          </cell>
          <cell r="D97">
            <v>2309.9977827050998</v>
          </cell>
          <cell r="E97">
            <v>2084.8802660753881</v>
          </cell>
          <cell r="F97">
            <v>1822.8137472283813</v>
          </cell>
          <cell r="G97">
            <v>2155.6363636363635</v>
          </cell>
          <cell r="H97">
            <v>2831.980044345898</v>
          </cell>
          <cell r="I97">
            <v>3081.3148558758317</v>
          </cell>
          <cell r="J97">
            <v>2791.3725055432374</v>
          </cell>
          <cell r="K97">
            <v>2131.580931263858</v>
          </cell>
          <cell r="L97">
            <v>2059.60088691796</v>
          </cell>
          <cell r="M97">
            <v>2643.7161862527714</v>
          </cell>
          <cell r="AC97">
            <v>2450</v>
          </cell>
          <cell r="AD97">
            <v>2937.215730941015</v>
          </cell>
          <cell r="AE97">
            <v>2309.3509643071957</v>
          </cell>
          <cell r="AF97">
            <v>2333.2340444592323</v>
          </cell>
          <cell r="AG97">
            <v>2105.8520713088215</v>
          </cell>
          <cell r="AH97">
            <v>1841.1494260228565</v>
          </cell>
          <cell r="AI97">
            <v>2177.3199042731535</v>
          </cell>
          <cell r="AJ97">
            <v>2860.4669243271601</v>
          </cell>
          <cell r="AK97">
            <v>3112.3097940848997</v>
          </cell>
          <cell r="AL97">
            <v>2819.45091439614</v>
          </cell>
          <cell r="AM97">
            <v>2153.022498368292</v>
          </cell>
          <cell r="AN97">
            <v>2080.3184069414756</v>
          </cell>
          <cell r="AO97">
            <v>2670.3093205697533</v>
          </cell>
        </row>
        <row r="98">
          <cell r="A98">
            <v>2450</v>
          </cell>
          <cell r="B98">
            <v>3076.9315789473685</v>
          </cell>
          <cell r="C98">
            <v>2445.7210526315789</v>
          </cell>
          <cell r="D98">
            <v>2408.2605263157893</v>
          </cell>
          <cell r="E98">
            <v>2191.7157894736843</v>
          </cell>
          <cell r="F98">
            <v>1885.5052631578947</v>
          </cell>
          <cell r="G98">
            <v>2107.9815789473682</v>
          </cell>
          <cell r="H98">
            <v>2792.0473684210529</v>
          </cell>
          <cell r="I98">
            <v>3018.2552631578947</v>
          </cell>
          <cell r="J98">
            <v>2657.2736842105264</v>
          </cell>
          <cell r="K98">
            <v>2133.9</v>
          </cell>
          <cell r="L98">
            <v>2121.5947368421052</v>
          </cell>
          <cell r="M98">
            <v>2856.6157894736843</v>
          </cell>
          <cell r="AC98">
            <v>2500</v>
          </cell>
          <cell r="AD98">
            <v>3108.4509994102482</v>
          </cell>
          <cell r="AE98">
            <v>2470.7744892176415</v>
          </cell>
          <cell r="AF98">
            <v>2432.9302253862738</v>
          </cell>
          <cell r="AG98">
            <v>2214.1672511754055</v>
          </cell>
          <cell r="AH98">
            <v>1904.8199705700033</v>
          </cell>
          <cell r="AI98">
            <v>2129.5752855378723</v>
          </cell>
          <cell r="AJ98">
            <v>2820.6484967528195</v>
          </cell>
          <cell r="AK98">
            <v>3049.1736161543299</v>
          </cell>
          <cell r="AL98">
            <v>2684.4942201205999</v>
          </cell>
          <cell r="AM98">
            <v>2155.7592092804184</v>
          </cell>
          <cell r="AN98">
            <v>2143.3278936727279</v>
          </cell>
          <cell r="AO98">
            <v>2885.878342721659</v>
          </cell>
        </row>
        <row r="99">
          <cell r="A99">
            <v>2500</v>
          </cell>
          <cell r="B99">
            <v>3147.9827586206898</v>
          </cell>
          <cell r="C99">
            <v>2454.1896551724139</v>
          </cell>
          <cell r="D99">
            <v>2462.75</v>
          </cell>
          <cell r="E99">
            <v>2248.3477011494251</v>
          </cell>
          <cell r="F99">
            <v>1939.8017241379309</v>
          </cell>
          <cell r="G99">
            <v>2159.6982758620688</v>
          </cell>
          <cell r="H99">
            <v>2859.7183908045977</v>
          </cell>
          <cell r="I99">
            <v>3062.4683908045977</v>
          </cell>
          <cell r="J99">
            <v>2748.6293103448274</v>
          </cell>
          <cell r="K99">
            <v>2174.3362068965516</v>
          </cell>
          <cell r="L99">
            <v>2141.5804597701149</v>
          </cell>
          <cell r="M99">
            <v>2894.1436781609195</v>
          </cell>
          <cell r="AC99">
            <v>2550</v>
          </cell>
          <cell r="AD99">
            <v>3179.8176640544016</v>
          </cell>
          <cell r="AE99">
            <v>2479.0083729290004</v>
          </cell>
          <cell r="AF99">
            <v>2487.6552867720357</v>
          </cell>
          <cell r="AG99">
            <v>2271.0847813485416</v>
          </cell>
          <cell r="AH99">
            <v>1959.4185420124797</v>
          </cell>
          <cell r="AI99">
            <v>2181.5388625645019</v>
          </cell>
          <cell r="AJ99">
            <v>2888.6381376770996</v>
          </cell>
          <cell r="AK99">
            <v>3093.4385069362729</v>
          </cell>
          <cell r="AL99">
            <v>2776.425636079945</v>
          </cell>
          <cell r="AM99">
            <v>2196.3248240000253</v>
          </cell>
          <cell r="AN99">
            <v>2163.2378247060456</v>
          </cell>
          <cell r="AO99">
            <v>2923.4115609196538</v>
          </cell>
        </row>
        <row r="100">
          <cell r="A100">
            <v>2550</v>
          </cell>
          <cell r="B100">
            <v>3200.8619631901843</v>
          </cell>
          <cell r="C100">
            <v>2554.7883435582821</v>
          </cell>
          <cell r="D100">
            <v>2571.5736196319017</v>
          </cell>
          <cell r="E100">
            <v>2292.8926380368098</v>
          </cell>
          <cell r="F100">
            <v>1974.8803680981596</v>
          </cell>
          <cell r="G100">
            <v>2225.09509202454</v>
          </cell>
          <cell r="H100">
            <v>2865.0736196319017</v>
          </cell>
          <cell r="I100">
            <v>3051.9907975460123</v>
          </cell>
          <cell r="J100">
            <v>2810.1319018404906</v>
          </cell>
          <cell r="K100">
            <v>2157.6257668711655</v>
          </cell>
          <cell r="L100">
            <v>2222.5736196319017</v>
          </cell>
          <cell r="M100">
            <v>2950.3680981595094</v>
          </cell>
          <cell r="AC100">
            <v>2600</v>
          </cell>
          <cell r="AD100">
            <v>3234.2560897722783</v>
          </cell>
          <cell r="AE100">
            <v>2581.442078182381</v>
          </cell>
          <cell r="AF100">
            <v>2598.4024725961117</v>
          </cell>
          <cell r="AG100">
            <v>2316.8140529163938</v>
          </cell>
          <cell r="AH100">
            <v>1995.4840072913453</v>
          </cell>
          <cell r="AI100">
            <v>2248.3091849828652</v>
          </cell>
          <cell r="AJ100">
            <v>2894.9645153410211</v>
          </cell>
          <cell r="AK100">
            <v>3083.831772943483</v>
          </cell>
          <cell r="AL100">
            <v>2839.4495986114298</v>
          </cell>
          <cell r="AM100">
            <v>2180.1359621886395</v>
          </cell>
          <cell r="AN100">
            <v>2245.7614064360655</v>
          </cell>
          <cell r="AO100">
            <v>2981.1488587379868</v>
          </cell>
        </row>
        <row r="101">
          <cell r="A101">
            <v>2600</v>
          </cell>
          <cell r="B101">
            <v>3305.7781456953644</v>
          </cell>
          <cell r="C101">
            <v>2494.0894039735099</v>
          </cell>
          <cell r="D101">
            <v>2457.7417218543046</v>
          </cell>
          <cell r="E101">
            <v>2279.1688741721855</v>
          </cell>
          <cell r="F101">
            <v>1952.3079470198675</v>
          </cell>
          <cell r="G101">
            <v>2272.0331125827815</v>
          </cell>
          <cell r="H101">
            <v>2978.1523178807947</v>
          </cell>
          <cell r="I101">
            <v>3220.2350993377481</v>
          </cell>
          <cell r="J101">
            <v>2910.0231788079468</v>
          </cell>
          <cell r="K101">
            <v>2277.9867549668875</v>
          </cell>
          <cell r="L101">
            <v>2302.9172185430461</v>
          </cell>
          <cell r="M101">
            <v>3037.7615894039736</v>
          </cell>
          <cell r="AC101">
            <v>2650</v>
          </cell>
          <cell r="AD101">
            <v>3338.5128559162558</v>
          </cell>
          <cell r="AE101">
            <v>2518.7865525133716</v>
          </cell>
          <cell r="AF101">
            <v>2482.0789458048766</v>
          </cell>
          <cell r="AG101">
            <v>2301.7378214373407</v>
          </cell>
          <cell r="AH101">
            <v>1971.6402288884667</v>
          </cell>
          <cell r="AI101">
            <v>2294.531399604708</v>
          </cell>
          <cell r="AJ101">
            <v>3007.6427884516797</v>
          </cell>
          <cell r="AK101">
            <v>3252.1227391532721</v>
          </cell>
          <cell r="AL101">
            <v>2938.8390161981224</v>
          </cell>
          <cell r="AM101">
            <v>2300.5439965676192</v>
          </cell>
          <cell r="AN101">
            <v>2325.7213283439023</v>
          </cell>
          <cell r="AO101">
            <v>3067.842327120381</v>
          </cell>
        </row>
        <row r="102">
          <cell r="A102">
            <v>2650</v>
          </cell>
          <cell r="B102">
            <v>4008.7270497547302</v>
          </cell>
          <cell r="C102">
            <v>3181.3637000700769</v>
          </cell>
          <cell r="D102">
            <v>3177.5388927820604</v>
          </cell>
          <cell r="E102">
            <v>2946.6713384723193</v>
          </cell>
          <cell r="F102">
            <v>2597.0028030833919</v>
          </cell>
          <cell r="G102">
            <v>3003.7529782761039</v>
          </cell>
          <cell r="H102">
            <v>3973.4565522074281</v>
          </cell>
          <cell r="I102">
            <v>4175.868955851437</v>
          </cell>
          <cell r="J102">
            <v>3788.510861948143</v>
          </cell>
          <cell r="K102">
            <v>3008.6958654519972</v>
          </cell>
          <cell r="L102">
            <v>2975.8412754029432</v>
          </cell>
          <cell r="M102">
            <v>3755.5480028030834</v>
          </cell>
          <cell r="AC102">
            <v>2700</v>
          </cell>
          <cell r="AD102">
            <v>3199.6360436679934</v>
          </cell>
          <cell r="AE102">
            <v>2539.2614254901673</v>
          </cell>
          <cell r="AF102">
            <v>2536.2085882411034</v>
          </cell>
          <cell r="AG102">
            <v>2351.9375867699205</v>
          </cell>
          <cell r="AH102">
            <v>2072.8434914921031</v>
          </cell>
          <cell r="AI102">
            <v>2397.4983021493917</v>
          </cell>
          <cell r="AJ102">
            <v>3171.4842753311204</v>
          </cell>
          <cell r="AK102">
            <v>3333.0432975210874</v>
          </cell>
          <cell r="AL102">
            <v>3023.8666178228918</v>
          </cell>
          <cell r="AM102">
            <v>2401.4435545378624</v>
          </cell>
          <cell r="AN102">
            <v>2375.2200852878618</v>
          </cell>
          <cell r="AO102">
            <v>2997.5567316885049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Load Weighted LMP"/>
      <sheetName val="Shopping Credit Table"/>
      <sheetName val="BGS Rates"/>
      <sheetName val="BGS NUG Rates"/>
      <sheetName val="2000 Generation Results"/>
      <sheetName val="Generation Results 6101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  <sheetName val="Balance Brought Forward"/>
      <sheetName val="Revenues"/>
      <sheetName val="Uncollectibles 00300"/>
      <sheetName val="Uncollectibles S0300 "/>
      <sheetName val="Extra 23"/>
      <sheetName val="POR "/>
      <sheetName val="Uncollectibles D0301  (POR)"/>
      <sheetName val="Sales Tax"/>
      <sheetName val="Step 1 from notes"/>
    </sheetNames>
    <sheetDataSet>
      <sheetData sheetId="0" refreshError="1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62</v>
          </cell>
        </row>
        <row r="10">
          <cell r="C10" t="str">
            <v>250</v>
          </cell>
          <cell r="D10">
            <v>0</v>
          </cell>
        </row>
        <row r="11">
          <cell r="C11">
            <v>108</v>
          </cell>
          <cell r="D11">
            <v>97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5</v>
          </cell>
        </row>
        <row r="14">
          <cell r="C14">
            <v>162</v>
          </cell>
          <cell r="D14">
            <v>1689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2</v>
          </cell>
        </row>
        <row r="17">
          <cell r="C17">
            <v>206</v>
          </cell>
          <cell r="D17">
            <v>34</v>
          </cell>
        </row>
        <row r="18">
          <cell r="C18">
            <v>231</v>
          </cell>
          <cell r="D18">
            <v>60395</v>
          </cell>
        </row>
        <row r="19">
          <cell r="C19">
            <v>257</v>
          </cell>
          <cell r="D19">
            <v>2</v>
          </cell>
        </row>
        <row r="20">
          <cell r="C20">
            <v>262</v>
          </cell>
          <cell r="D20">
            <v>87</v>
          </cell>
        </row>
        <row r="21">
          <cell r="C21" t="str">
            <v>273</v>
          </cell>
          <cell r="D21">
            <v>0</v>
          </cell>
        </row>
        <row r="22">
          <cell r="C22">
            <v>306</v>
          </cell>
          <cell r="D22">
            <v>839</v>
          </cell>
        </row>
        <row r="23">
          <cell r="C23">
            <v>331</v>
          </cell>
          <cell r="D23">
            <v>4364</v>
          </cell>
        </row>
        <row r="24">
          <cell r="C24">
            <v>362</v>
          </cell>
          <cell r="D24">
            <v>30</v>
          </cell>
        </row>
        <row r="25">
          <cell r="C25">
            <v>406</v>
          </cell>
          <cell r="D25">
            <v>38630</v>
          </cell>
        </row>
        <row r="26">
          <cell r="C26">
            <v>431</v>
          </cell>
          <cell r="D26">
            <v>29</v>
          </cell>
        </row>
        <row r="27">
          <cell r="C27">
            <v>506</v>
          </cell>
          <cell r="D27">
            <v>1504</v>
          </cell>
        </row>
        <row r="28">
          <cell r="C28">
            <v>531</v>
          </cell>
          <cell r="D28">
            <v>259</v>
          </cell>
        </row>
        <row r="29">
          <cell r="C29">
            <v>606</v>
          </cell>
          <cell r="D29">
            <v>3035</v>
          </cell>
        </row>
        <row r="30">
          <cell r="C30">
            <v>631</v>
          </cell>
          <cell r="D30">
            <v>6697</v>
          </cell>
        </row>
        <row r="31">
          <cell r="C31">
            <v>731</v>
          </cell>
          <cell r="D31">
            <v>690</v>
          </cell>
        </row>
        <row r="32">
          <cell r="C32">
            <v>931</v>
          </cell>
          <cell r="D32">
            <v>3568</v>
          </cell>
        </row>
        <row r="33">
          <cell r="C33">
            <v>0</v>
          </cell>
          <cell r="D33">
            <v>0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155</v>
          </cell>
          <cell r="D37">
            <v>3</v>
          </cell>
        </row>
      </sheetData>
      <sheetData sheetId="4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44</v>
          </cell>
        </row>
        <row r="10">
          <cell r="C10" t="str">
            <v>155</v>
          </cell>
          <cell r="D10">
            <v>3</v>
          </cell>
        </row>
        <row r="11">
          <cell r="C11">
            <v>108</v>
          </cell>
          <cell r="D11">
            <v>76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12</v>
          </cell>
        </row>
        <row r="14">
          <cell r="C14">
            <v>162</v>
          </cell>
          <cell r="D14">
            <v>2055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6</v>
          </cell>
        </row>
        <row r="17">
          <cell r="C17">
            <v>206</v>
          </cell>
          <cell r="D17">
            <v>27</v>
          </cell>
        </row>
        <row r="18">
          <cell r="C18">
            <v>231</v>
          </cell>
          <cell r="D18">
            <v>63409</v>
          </cell>
        </row>
        <row r="19">
          <cell r="C19">
            <v>257</v>
          </cell>
          <cell r="D19">
            <v>3</v>
          </cell>
        </row>
        <row r="20">
          <cell r="C20">
            <v>262</v>
          </cell>
          <cell r="D20">
            <v>120</v>
          </cell>
        </row>
        <row r="21">
          <cell r="C21" t="str">
            <v>273</v>
          </cell>
          <cell r="D21">
            <v>1</v>
          </cell>
        </row>
        <row r="22">
          <cell r="C22">
            <v>306</v>
          </cell>
          <cell r="D22">
            <v>757</v>
          </cell>
        </row>
        <row r="23">
          <cell r="C23">
            <v>331</v>
          </cell>
          <cell r="D23">
            <v>5029</v>
          </cell>
        </row>
        <row r="24">
          <cell r="C24">
            <v>362</v>
          </cell>
          <cell r="D24">
            <v>39</v>
          </cell>
        </row>
        <row r="25">
          <cell r="C25">
            <v>406</v>
          </cell>
          <cell r="D25">
            <v>34262</v>
          </cell>
        </row>
        <row r="26">
          <cell r="C26">
            <v>431</v>
          </cell>
          <cell r="D26">
            <v>46</v>
          </cell>
        </row>
        <row r="27">
          <cell r="C27">
            <v>506</v>
          </cell>
          <cell r="D27">
            <v>1163</v>
          </cell>
        </row>
        <row r="28">
          <cell r="C28">
            <v>531</v>
          </cell>
          <cell r="D28">
            <v>276</v>
          </cell>
        </row>
        <row r="29">
          <cell r="C29">
            <v>606</v>
          </cell>
          <cell r="D29">
            <v>2227</v>
          </cell>
        </row>
        <row r="30">
          <cell r="C30">
            <v>631</v>
          </cell>
          <cell r="D30">
            <v>7183</v>
          </cell>
        </row>
        <row r="31">
          <cell r="C31">
            <v>731</v>
          </cell>
          <cell r="D31">
            <v>748</v>
          </cell>
        </row>
        <row r="32">
          <cell r="C32">
            <v>931</v>
          </cell>
          <cell r="D32">
            <v>3660</v>
          </cell>
        </row>
        <row r="33">
          <cell r="C33" t="str">
            <v>155</v>
          </cell>
          <cell r="D33">
            <v>3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250</v>
          </cell>
          <cell r="D37">
            <v>0</v>
          </cell>
        </row>
      </sheetData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6</v>
          </cell>
        </row>
      </sheetData>
      <sheetData sheetId="13"/>
      <sheetData sheetId="14">
        <row r="8">
          <cell r="C8">
            <v>6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/>
      <sheetData sheetId="40" refreshError="1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36">
          <cell r="E36">
            <v>37834</v>
          </cell>
        </row>
        <row r="41">
          <cell r="E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Income Statement UI Interest"/>
      <sheetName val="Bonds Summary"/>
      <sheetName val="ACE LLC Detail Income Statement"/>
      <sheetName val="IS - Reserve for Restrct. amort"/>
      <sheetName val="Income Statement New Unbilled"/>
      <sheetName val="Income Statement New UBR TBC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Reg Asset Rate"/>
      <sheetName val="2002 - 2007 BGS FP Costs"/>
      <sheetName val="BGS Rates"/>
      <sheetName val="Keystone Swap Amort Sched"/>
      <sheetName val="Restructuring Amort."/>
      <sheetName val="ACE 25 Year Sales Forecast"/>
      <sheetName val="PJM Capacity Obligation"/>
      <sheetName val="BL England Rev Req"/>
      <sheetName val="Keystone Rev Req"/>
      <sheetName val="Conemaugh Rev Req"/>
      <sheetName val="Generation Summary"/>
      <sheetName val="taxes"/>
      <sheetName val="SAP Upload Support"/>
      <sheetName val="OTRA Discounts"/>
      <sheetName val="Deferral Securitization"/>
      <sheetName val="Debt Design"/>
      <sheetName val="TBC Development"/>
      <sheetName val="MTC -Tax Development"/>
      <sheetName val="Budget Summary"/>
    </sheetNames>
    <sheetDataSet>
      <sheetData sheetId="0" refreshError="1">
        <row r="14">
          <cell r="E14">
            <v>40513</v>
          </cell>
        </row>
        <row r="16">
          <cell r="E16">
            <v>40179</v>
          </cell>
        </row>
        <row r="17">
          <cell r="E17">
            <v>40179</v>
          </cell>
        </row>
        <row r="19">
          <cell r="E19">
            <v>37834</v>
          </cell>
        </row>
        <row r="20">
          <cell r="E20">
            <v>0</v>
          </cell>
        </row>
        <row r="30">
          <cell r="E30">
            <v>0.09</v>
          </cell>
        </row>
        <row r="31">
          <cell r="E31">
            <v>0.35</v>
          </cell>
        </row>
        <row r="33">
          <cell r="E33">
            <v>1.6906170752324599</v>
          </cell>
        </row>
        <row r="38">
          <cell r="E38" t="str">
            <v>Yes</v>
          </cell>
        </row>
        <row r="58">
          <cell r="D58">
            <v>8.2415982679309163E-2</v>
          </cell>
        </row>
        <row r="63">
          <cell r="F63">
            <v>3.2199999999999999E-2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B15" t="str">
            <v>STARTING</v>
          </cell>
          <cell r="E15" t="str">
            <v>PRINCIPAL</v>
          </cell>
          <cell r="F15" t="str">
            <v>ENDING</v>
          </cell>
          <cell r="G15" t="str">
            <v>CURRENT</v>
          </cell>
          <cell r="H15" t="str">
            <v>OPERATING INCOME</v>
          </cell>
          <cell r="I15" t="str">
            <v>REQUIREMENTS</v>
          </cell>
        </row>
        <row r="16">
          <cell r="A16" t="str">
            <v>PERIOD</v>
          </cell>
          <cell r="B16" t="str">
            <v>BALANCE</v>
          </cell>
          <cell r="C16" t="str">
            <v>TOTAL</v>
          </cell>
          <cell r="D16" t="str">
            <v>RETURN</v>
          </cell>
          <cell r="E16" t="str">
            <v>AMORTIZATION</v>
          </cell>
          <cell r="F16" t="str">
            <v>BALANCE</v>
          </cell>
          <cell r="G16" t="str">
            <v xml:space="preserve"> = -(3 x 0.4085)</v>
          </cell>
          <cell r="H16" t="str">
            <v xml:space="preserve"> = 2 + 6</v>
          </cell>
          <cell r="I16" t="str">
            <v xml:space="preserve"> = 7 x (1 + .4085/(1 - .4085))</v>
          </cell>
        </row>
        <row r="17">
          <cell r="A17">
            <v>37803</v>
          </cell>
          <cell r="B17">
            <v>75380328.172210589</v>
          </cell>
          <cell r="F17">
            <v>75380328.172210589</v>
          </cell>
          <cell r="G17">
            <v>0</v>
          </cell>
          <cell r="H17">
            <v>0</v>
          </cell>
        </row>
        <row r="18">
          <cell r="A18">
            <v>37834</v>
          </cell>
          <cell r="B18">
            <v>75380328.172210589</v>
          </cell>
          <cell r="C18">
            <v>670894.06231784599</v>
          </cell>
          <cell r="D18">
            <v>82290.191587996567</v>
          </cell>
          <cell r="E18">
            <v>588603.87072984944</v>
          </cell>
          <cell r="F18">
            <v>74791724.30148074</v>
          </cell>
          <cell r="G18">
            <v>-33615.543263696592</v>
          </cell>
          <cell r="H18">
            <v>637278.51905414939</v>
          </cell>
          <cell r="I18">
            <v>1077383.0643129451</v>
          </cell>
        </row>
        <row r="19">
          <cell r="A19">
            <v>37865</v>
          </cell>
          <cell r="B19">
            <v>74791724.30148074</v>
          </cell>
          <cell r="C19">
            <v>670894.06231784599</v>
          </cell>
          <cell r="D19">
            <v>81968.911975223207</v>
          </cell>
          <cell r="E19">
            <v>588925.15034262277</v>
          </cell>
          <cell r="F19">
            <v>74202799.151138112</v>
          </cell>
          <cell r="G19">
            <v>-33484.300541878678</v>
          </cell>
          <cell r="H19">
            <v>637409.76177596732</v>
          </cell>
          <cell r="I19">
            <v>1077604.9432584504</v>
          </cell>
        </row>
        <row r="20">
          <cell r="A20">
            <v>37895</v>
          </cell>
          <cell r="B20">
            <v>74202799.151138112</v>
          </cell>
          <cell r="C20">
            <v>670894.06231784599</v>
          </cell>
          <cell r="D20">
            <v>81326.177384554452</v>
          </cell>
          <cell r="E20">
            <v>589567.88493329159</v>
          </cell>
          <cell r="F20">
            <v>73613231.266204819</v>
          </cell>
          <cell r="G20">
            <v>-33221.743461590493</v>
          </cell>
          <cell r="H20">
            <v>637672.3188562555</v>
          </cell>
          <cell r="I20">
            <v>1078048.8222583856</v>
          </cell>
        </row>
        <row r="21">
          <cell r="A21">
            <v>37926</v>
          </cell>
          <cell r="B21">
            <v>73613231.266204819</v>
          </cell>
          <cell r="C21">
            <v>670894.06231784599</v>
          </cell>
          <cell r="D21">
            <v>80682.916602799698</v>
          </cell>
          <cell r="E21">
            <v>590211.14571504632</v>
          </cell>
          <cell r="F21">
            <v>73023020.120489776</v>
          </cell>
          <cell r="G21">
            <v>-32958.971432243678</v>
          </cell>
          <cell r="H21">
            <v>637935.09088560229</v>
          </cell>
          <cell r="I21">
            <v>1078493.0646511994</v>
          </cell>
        </row>
        <row r="22">
          <cell r="A22">
            <v>37956</v>
          </cell>
          <cell r="B22">
            <v>73023020.120489776</v>
          </cell>
          <cell r="C22">
            <v>670894.06231784599</v>
          </cell>
          <cell r="D22">
            <v>80038.953881904148</v>
          </cell>
          <cell r="E22">
            <v>590855.10843594186</v>
          </cell>
          <cell r="F22">
            <v>72432165.012053832</v>
          </cell>
          <cell r="G22">
            <v>-32695.912660757844</v>
          </cell>
          <cell r="H22">
            <v>638198.1496570881</v>
          </cell>
          <cell r="I22">
            <v>1078937.7918102732</v>
          </cell>
        </row>
        <row r="23">
          <cell r="A23">
            <v>37987</v>
          </cell>
          <cell r="B23">
            <v>72432165.012053832</v>
          </cell>
          <cell r="C23">
            <v>670894.06231784599</v>
          </cell>
          <cell r="D23">
            <v>79394.288551513397</v>
          </cell>
          <cell r="E23">
            <v>591499.77376633254</v>
          </cell>
          <cell r="F23">
            <v>71840665.238287494</v>
          </cell>
          <cell r="G23">
            <v>-32432.566873293221</v>
          </cell>
          <cell r="H23">
            <v>638461.49544455274</v>
          </cell>
          <cell r="I23">
            <v>1079383.004198561</v>
          </cell>
        </row>
        <row r="24">
          <cell r="A24">
            <v>38018</v>
          </cell>
          <cell r="B24">
            <v>71840665.238287494</v>
          </cell>
          <cell r="C24">
            <v>670894.06231784599</v>
          </cell>
          <cell r="D24">
            <v>78748.91984497798</v>
          </cell>
          <cell r="E24">
            <v>592145.14247286797</v>
          </cell>
          <cell r="F24">
            <v>71248520.09581463</v>
          </cell>
          <cell r="G24">
            <v>-32168.933756673501</v>
          </cell>
          <cell r="H24">
            <v>638725.12856117252</v>
          </cell>
          <cell r="I24">
            <v>1079828.7023455184</v>
          </cell>
        </row>
        <row r="25">
          <cell r="A25">
            <v>38047</v>
          </cell>
          <cell r="B25">
            <v>71248520.09581463</v>
          </cell>
          <cell r="C25">
            <v>670894.06231784599</v>
          </cell>
          <cell r="D25">
            <v>78102.846994864085</v>
          </cell>
          <cell r="E25">
            <v>592791.21532298194</v>
          </cell>
          <cell r="F25">
            <v>70655728.880491644</v>
          </cell>
          <cell r="G25">
            <v>-31905.012997401976</v>
          </cell>
          <cell r="H25">
            <v>638989.049320444</v>
          </cell>
          <cell r="I25">
            <v>1080274.8867811428</v>
          </cell>
        </row>
        <row r="26">
          <cell r="A26">
            <v>38078</v>
          </cell>
          <cell r="B26">
            <v>70655728.880491644</v>
          </cell>
          <cell r="C26">
            <v>670894.06231784599</v>
          </cell>
          <cell r="D26">
            <v>77456.069232900511</v>
          </cell>
          <cell r="E26">
            <v>593437.99308494548</v>
          </cell>
          <cell r="F26">
            <v>70062290.887406692</v>
          </cell>
          <cell r="G26">
            <v>-31640.804281639856</v>
          </cell>
          <cell r="H26">
            <v>639253.25803620613</v>
          </cell>
          <cell r="I26">
            <v>1080721.5580360102</v>
          </cell>
        </row>
        <row r="27">
          <cell r="A27">
            <v>38108</v>
          </cell>
          <cell r="B27">
            <v>70062290.887406692</v>
          </cell>
          <cell r="C27">
            <v>670894.06231784599</v>
          </cell>
          <cell r="D27">
            <v>76808.585789977835</v>
          </cell>
          <cell r="E27">
            <v>594085.47652786819</v>
          </cell>
          <cell r="F27">
            <v>69468205.410878822</v>
          </cell>
          <cell r="G27">
            <v>-31376.307295205945</v>
          </cell>
          <cell r="H27">
            <v>639517.75502264011</v>
          </cell>
          <cell r="I27">
            <v>1081168.7166412754</v>
          </cell>
        </row>
        <row r="28">
          <cell r="A28">
            <v>38139</v>
          </cell>
          <cell r="B28">
            <v>69468205.410878822</v>
          </cell>
          <cell r="C28">
            <v>670894.06231784599</v>
          </cell>
          <cell r="D28">
            <v>76160.395896147515</v>
          </cell>
          <cell r="E28">
            <v>594733.66642169852</v>
          </cell>
          <cell r="F28">
            <v>68873471.744457126</v>
          </cell>
          <cell r="G28">
            <v>-31111.521723576258</v>
          </cell>
          <cell r="H28">
            <v>639782.54059426975</v>
          </cell>
          <cell r="I28">
            <v>1081616.3631286726</v>
          </cell>
        </row>
        <row r="29">
          <cell r="A29">
            <v>38169</v>
          </cell>
          <cell r="B29">
            <v>68873471.744457126</v>
          </cell>
          <cell r="C29">
            <v>670894.06231784599</v>
          </cell>
          <cell r="D29">
            <v>75511.498780620881</v>
          </cell>
          <cell r="E29">
            <v>595382.56353722513</v>
          </cell>
          <cell r="F29">
            <v>68278089.180919901</v>
          </cell>
          <cell r="G29">
            <v>-30846.447251883626</v>
          </cell>
          <cell r="H29">
            <v>640047.61506596231</v>
          </cell>
          <cell r="I29">
            <v>1082064.4980305159</v>
          </cell>
        </row>
        <row r="30">
          <cell r="A30">
            <v>38200</v>
          </cell>
          <cell r="B30">
            <v>68278089.180919901</v>
          </cell>
          <cell r="C30">
            <v>670894.06231784599</v>
          </cell>
          <cell r="D30">
            <v>74861.893671768295</v>
          </cell>
          <cell r="E30">
            <v>596032.16864607774</v>
          </cell>
          <cell r="F30">
            <v>67682057.012273818</v>
          </cell>
          <cell r="G30">
            <v>-30581.083564917346</v>
          </cell>
          <cell r="H30">
            <v>640312.97875292867</v>
          </cell>
          <cell r="I30">
            <v>1082513.1218797013</v>
          </cell>
        </row>
        <row r="31">
          <cell r="A31">
            <v>38231</v>
          </cell>
          <cell r="B31">
            <v>67682057.012273818</v>
          </cell>
          <cell r="C31">
            <v>670894.06231784599</v>
          </cell>
          <cell r="D31">
            <v>74211.579797118247</v>
          </cell>
          <cell r="E31">
            <v>596682.48252072779</v>
          </cell>
          <cell r="F31">
            <v>67085374.529753089</v>
          </cell>
          <cell r="G31">
            <v>-30315.430347122801</v>
          </cell>
          <cell r="H31">
            <v>640578.63197072316</v>
          </cell>
          <cell r="I31">
            <v>1082962.2352097046</v>
          </cell>
        </row>
        <row r="32">
          <cell r="A32">
            <v>38261</v>
          </cell>
          <cell r="B32">
            <v>67085374.529753089</v>
          </cell>
          <cell r="C32">
            <v>670894.06231784599</v>
          </cell>
          <cell r="D32">
            <v>73560.556383356365</v>
          </cell>
          <cell r="E32">
            <v>597333.50593448966</v>
          </cell>
          <cell r="F32">
            <v>66488041.023818597</v>
          </cell>
          <cell r="G32">
            <v>-30049.487282601072</v>
          </cell>
          <cell r="H32">
            <v>640844.57503524492</v>
          </cell>
          <cell r="I32">
            <v>1083411.8385545851</v>
          </cell>
        </row>
        <row r="33">
          <cell r="A33">
            <v>38292</v>
          </cell>
          <cell r="B33">
            <v>66488041.023818597</v>
          </cell>
          <cell r="C33">
            <v>670894.06231784599</v>
          </cell>
          <cell r="D33">
            <v>72908.822656324555</v>
          </cell>
          <cell r="E33">
            <v>597985.23966152139</v>
          </cell>
          <cell r="F33">
            <v>65890055.784157075</v>
          </cell>
          <cell r="G33">
            <v>-29783.25405510858</v>
          </cell>
          <cell r="H33">
            <v>641110.80826273747</v>
          </cell>
          <cell r="I33">
            <v>1083861.9324489841</v>
          </cell>
        </row>
        <row r="34">
          <cell r="A34">
            <v>38322</v>
          </cell>
          <cell r="B34">
            <v>65890055.784157075</v>
          </cell>
          <cell r="C34">
            <v>670894.06231784599</v>
          </cell>
          <cell r="D34">
            <v>72256.377841020061</v>
          </cell>
          <cell r="E34">
            <v>598637.68447682587</v>
          </cell>
          <cell r="F34">
            <v>65291418.099680252</v>
          </cell>
          <cell r="G34">
            <v>-29516.730348056692</v>
          </cell>
          <cell r="H34">
            <v>641377.33196978935</v>
          </cell>
          <cell r="I34">
            <v>1084312.517428126</v>
          </cell>
        </row>
        <row r="35">
          <cell r="A35">
            <v>38353</v>
          </cell>
          <cell r="B35">
            <v>65291418.099680252</v>
          </cell>
          <cell r="C35">
            <v>670894.06231784599</v>
          </cell>
          <cell r="D35">
            <v>71603.221161594542</v>
          </cell>
          <cell r="E35">
            <v>599290.8411562515</v>
          </cell>
          <cell r="F35">
            <v>64692127.258524001</v>
          </cell>
          <cell r="G35">
            <v>-29249.915844511368</v>
          </cell>
          <cell r="H35">
            <v>641644.14647333464</v>
          </cell>
          <cell r="I35">
            <v>1084763.5940278196</v>
          </cell>
        </row>
        <row r="36">
          <cell r="A36">
            <v>38384</v>
          </cell>
          <cell r="B36">
            <v>64692127.258524001</v>
          </cell>
          <cell r="C36">
            <v>670894.06231784599</v>
          </cell>
          <cell r="D36">
            <v>70949.351841353156</v>
          </cell>
          <cell r="E36">
            <v>599944.71047649288</v>
          </cell>
          <cell r="F36">
            <v>64092182.548047505</v>
          </cell>
          <cell r="G36">
            <v>-28982.810227192764</v>
          </cell>
          <cell r="H36">
            <v>641911.25209065317</v>
          </cell>
          <cell r="I36">
            <v>1085215.1627844584</v>
          </cell>
        </row>
        <row r="37">
          <cell r="A37">
            <v>38412</v>
          </cell>
          <cell r="B37">
            <v>64092182.548047505</v>
          </cell>
          <cell r="C37">
            <v>670894.06231784599</v>
          </cell>
          <cell r="D37">
            <v>70294.76910275362</v>
          </cell>
          <cell r="E37">
            <v>600599.29321509239</v>
          </cell>
          <cell r="F37">
            <v>63491583.254832409</v>
          </cell>
          <cell r="G37">
            <v>-28715.413178474853</v>
          </cell>
          <cell r="H37">
            <v>642178.64913937112</v>
          </cell>
          <cell r="I37">
            <v>1085667.2242350208</v>
          </cell>
        </row>
        <row r="38">
          <cell r="A38">
            <v>38443</v>
          </cell>
          <cell r="B38">
            <v>63491583.254832409</v>
          </cell>
          <cell r="C38">
            <v>670894.06231784599</v>
          </cell>
          <cell r="D38">
            <v>69639.4721674053</v>
          </cell>
          <cell r="E38">
            <v>601254.59015044069</v>
          </cell>
          <cell r="F38">
            <v>62890328.664681971</v>
          </cell>
          <cell r="G38">
            <v>-28447.724380385062</v>
          </cell>
          <cell r="H38">
            <v>642446.33793746098</v>
          </cell>
          <cell r="I38">
            <v>1086119.7789170716</v>
          </cell>
        </row>
        <row r="39">
          <cell r="A39">
            <v>38473</v>
          </cell>
          <cell r="B39">
            <v>62890328.664681971</v>
          </cell>
          <cell r="C39">
            <v>670894.06231784599</v>
          </cell>
          <cell r="D39">
            <v>68983.460256068283</v>
          </cell>
          <cell r="E39">
            <v>601910.60206177772</v>
          </cell>
          <cell r="F39">
            <v>62288418.062620193</v>
          </cell>
          <cell r="G39">
            <v>-28179.743514603892</v>
          </cell>
          <cell r="H39">
            <v>642714.31880324206</v>
          </cell>
          <cell r="I39">
            <v>1086572.8273687612</v>
          </cell>
        </row>
        <row r="40">
          <cell r="A40">
            <v>38504</v>
          </cell>
          <cell r="B40">
            <v>62288418.062620193</v>
          </cell>
          <cell r="C40">
            <v>670894.06231784599</v>
          </cell>
          <cell r="D40">
            <v>68326.732588652434</v>
          </cell>
          <cell r="E40">
            <v>602567.32972919359</v>
          </cell>
          <cell r="F40">
            <v>61685850.732891001</v>
          </cell>
          <cell r="G40">
            <v>-27911.470262464518</v>
          </cell>
          <cell r="H40">
            <v>642982.59205538151</v>
          </cell>
          <cell r="I40">
            <v>1087026.3701288281</v>
          </cell>
        </row>
        <row r="41">
          <cell r="A41">
            <v>38534</v>
          </cell>
          <cell r="B41">
            <v>61685850.732891001</v>
          </cell>
          <cell r="C41">
            <v>670894.06231784599</v>
          </cell>
          <cell r="D41">
            <v>67669.288384216532</v>
          </cell>
          <cell r="E41">
            <v>603224.77393362951</v>
          </cell>
          <cell r="F41">
            <v>61082625.958957374</v>
          </cell>
          <cell r="G41">
            <v>-27642.904304952452</v>
          </cell>
          <cell r="H41">
            <v>643251.15801289352</v>
          </cell>
          <cell r="I41">
            <v>1087480.4077365978</v>
          </cell>
        </row>
        <row r="42">
          <cell r="A42">
            <v>38565</v>
          </cell>
          <cell r="B42">
            <v>61082625.958957374</v>
          </cell>
          <cell r="C42">
            <v>670894.06231784599</v>
          </cell>
          <cell r="D42">
            <v>67011.126860967241</v>
          </cell>
          <cell r="E42">
            <v>603882.93545687874</v>
          </cell>
          <cell r="F42">
            <v>60478743.023500495</v>
          </cell>
          <cell r="G42">
            <v>-27374.045322705115</v>
          </cell>
          <cell r="H42">
            <v>643520.01699514093</v>
          </cell>
          <cell r="I42">
            <v>1087934.9407319853</v>
          </cell>
        </row>
        <row r="43">
          <cell r="A43">
            <v>38596</v>
          </cell>
          <cell r="B43">
            <v>60478743.023500495</v>
          </cell>
          <cell r="C43">
            <v>670894.06231784599</v>
          </cell>
          <cell r="D43">
            <v>66352.247236258263</v>
          </cell>
          <cell r="E43">
            <v>604541.81508158776</v>
          </cell>
          <cell r="F43">
            <v>59874201.208418906</v>
          </cell>
          <cell r="G43">
            <v>-27104.892996011498</v>
          </cell>
          <cell r="H43">
            <v>643789.16932183446</v>
          </cell>
          <cell r="I43">
            <v>1088389.9696554935</v>
          </cell>
        </row>
        <row r="44">
          <cell r="A44">
            <v>38626</v>
          </cell>
          <cell r="B44">
            <v>59874201.208418906</v>
          </cell>
          <cell r="C44">
            <v>670894.06231784599</v>
          </cell>
          <cell r="D44">
            <v>65692.648726589352</v>
          </cell>
          <cell r="E44">
            <v>605201.4135912566</v>
          </cell>
          <cell r="F44">
            <v>59268999.794827648</v>
          </cell>
          <cell r="G44">
            <v>-26835.447004811747</v>
          </cell>
          <cell r="H44">
            <v>644058.61531303427</v>
          </cell>
          <cell r="I44">
            <v>1088845.4950482158</v>
          </cell>
        </row>
        <row r="45">
          <cell r="A45">
            <v>38657</v>
          </cell>
          <cell r="B45">
            <v>59268999.794827648</v>
          </cell>
          <cell r="C45">
            <v>670894.06231784599</v>
          </cell>
          <cell r="D45">
            <v>65032.330547605416</v>
          </cell>
          <cell r="E45">
            <v>605861.73177024059</v>
          </cell>
          <cell r="F45">
            <v>58663138.063057408</v>
          </cell>
          <cell r="G45">
            <v>-26565.707028696812</v>
          </cell>
          <cell r="H45">
            <v>644328.35528914921</v>
          </cell>
          <cell r="I45">
            <v>1089301.5174518358</v>
          </cell>
        </row>
        <row r="46">
          <cell r="A46">
            <v>38687</v>
          </cell>
          <cell r="B46">
            <v>58663138.063057408</v>
          </cell>
          <cell r="C46">
            <v>670894.06231784599</v>
          </cell>
          <cell r="D46">
            <v>64371.2919140956</v>
          </cell>
          <cell r="E46">
            <v>606522.77040375036</v>
          </cell>
          <cell r="F46">
            <v>58056615.292653657</v>
          </cell>
          <cell r="G46">
            <v>-26295.672746908051</v>
          </cell>
          <cell r="H46">
            <v>644598.38957093796</v>
          </cell>
          <cell r="I46">
            <v>1089758.0374086278</v>
          </cell>
        </row>
        <row r="47">
          <cell r="A47">
            <v>38718</v>
          </cell>
          <cell r="B47">
            <v>58056615.292653657</v>
          </cell>
          <cell r="C47">
            <v>670894.06231784599</v>
          </cell>
          <cell r="D47">
            <v>63709.5320399923</v>
          </cell>
          <cell r="E47">
            <v>607184.53027785372</v>
          </cell>
          <cell r="F47">
            <v>57449430.762375802</v>
          </cell>
          <cell r="G47">
            <v>-26025.343838336852</v>
          </cell>
          <cell r="H47">
            <v>644868.71847950912</v>
          </cell>
          <cell r="I47">
            <v>1090215.0554614582</v>
          </cell>
        </row>
        <row r="48">
          <cell r="A48">
            <v>38749</v>
          </cell>
          <cell r="B48">
            <v>57449430.762375802</v>
          </cell>
          <cell r="C48">
            <v>670894.06231784599</v>
          </cell>
          <cell r="D48">
            <v>63047.05013837025</v>
          </cell>
          <cell r="E48">
            <v>607847.01217947574</v>
          </cell>
          <cell r="F48">
            <v>56841583.750196323</v>
          </cell>
          <cell r="G48">
            <v>-25754.719981524246</v>
          </cell>
          <cell r="H48">
            <v>645139.34233632172</v>
          </cell>
          <cell r="I48">
            <v>1090672.5721537855</v>
          </cell>
        </row>
        <row r="49">
          <cell r="A49">
            <v>38777</v>
          </cell>
          <cell r="B49">
            <v>56841583.750196323</v>
          </cell>
          <cell r="C49">
            <v>670894.06231784599</v>
          </cell>
          <cell r="D49">
            <v>62383.845421445621</v>
          </cell>
          <cell r="E49">
            <v>608510.21689640032</v>
          </cell>
          <cell r="F49">
            <v>56233073.533299923</v>
          </cell>
          <cell r="G49">
            <v>-25483.800854660534</v>
          </cell>
          <cell r="H49">
            <v>645410.26146318542</v>
          </cell>
          <cell r="I49">
            <v>1091130.5880296614</v>
          </cell>
        </row>
        <row r="50">
          <cell r="A50">
            <v>38808</v>
          </cell>
          <cell r="B50">
            <v>56233073.533299923</v>
          </cell>
          <cell r="C50">
            <v>670894.06231784599</v>
          </cell>
          <cell r="D50">
            <v>61719.91710057504</v>
          </cell>
          <cell r="E50">
            <v>609174.14521727094</v>
          </cell>
          <cell r="F50">
            <v>55623899.388082653</v>
          </cell>
          <cell r="G50">
            <v>-25212.586135584901</v>
          </cell>
          <cell r="H50">
            <v>645681.47618226113</v>
          </cell>
          <cell r="I50">
            <v>1091589.1036337307</v>
          </cell>
        </row>
        <row r="51">
          <cell r="A51">
            <v>38838</v>
          </cell>
          <cell r="B51">
            <v>55623899.388082653</v>
          </cell>
          <cell r="C51">
            <v>670894.06231784599</v>
          </cell>
          <cell r="D51">
            <v>61055.264386254661</v>
          </cell>
          <cell r="E51">
            <v>609838.79793159128</v>
          </cell>
          <cell r="F51">
            <v>55014060.590151064</v>
          </cell>
          <cell r="G51">
            <v>-24941.075501785028</v>
          </cell>
          <cell r="H51">
            <v>645952.98681606096</v>
          </cell>
          <cell r="I51">
            <v>1092048.1195112327</v>
          </cell>
        </row>
        <row r="52">
          <cell r="A52">
            <v>38869</v>
          </cell>
          <cell r="B52">
            <v>55014060.590151064</v>
          </cell>
          <cell r="C52">
            <v>670894.06231784599</v>
          </cell>
          <cell r="D52">
            <v>60389.886488119249</v>
          </cell>
          <cell r="E52">
            <v>610504.17582972674</v>
          </cell>
          <cell r="F52">
            <v>54403556.414321341</v>
          </cell>
          <cell r="G52">
            <v>-24669.268630396713</v>
          </cell>
          <cell r="H52">
            <v>646224.7936874493</v>
          </cell>
          <cell r="I52">
            <v>1092507.6362080018</v>
          </cell>
        </row>
        <row r="53">
          <cell r="A53">
            <v>38899</v>
          </cell>
          <cell r="B53">
            <v>54403556.414321341</v>
          </cell>
          <cell r="C53">
            <v>670894.06231784599</v>
          </cell>
          <cell r="D53">
            <v>59723.782614941192</v>
          </cell>
          <cell r="E53">
            <v>611170.27970290475</v>
          </cell>
          <cell r="F53">
            <v>53792386.134618439</v>
          </cell>
          <cell r="G53">
            <v>-24397.165198203475</v>
          </cell>
          <cell r="H53">
            <v>646496.89711964247</v>
          </cell>
          <cell r="I53">
            <v>1092967.6542704676</v>
          </cell>
        </row>
        <row r="54">
          <cell r="A54">
            <v>38930</v>
          </cell>
          <cell r="B54">
            <v>53792386.134618439</v>
          </cell>
          <cell r="C54">
            <v>670894.06231784599</v>
          </cell>
          <cell r="D54">
            <v>59056.951974629636</v>
          </cell>
          <cell r="E54">
            <v>611837.11034321634</v>
          </cell>
          <cell r="F54">
            <v>53180549.024275221</v>
          </cell>
          <cell r="G54">
            <v>-24124.764881636205</v>
          </cell>
          <cell r="H54">
            <v>646769.29743620974</v>
          </cell>
          <cell r="I54">
            <v>1093428.1742456562</v>
          </cell>
        </row>
        <row r="55">
          <cell r="A55">
            <v>38961</v>
          </cell>
          <cell r="B55">
            <v>53180549.024275221</v>
          </cell>
          <cell r="C55">
            <v>670894.06231784599</v>
          </cell>
          <cell r="D55">
            <v>58389.393774229466</v>
          </cell>
          <cell r="E55">
            <v>612504.66854361654</v>
          </cell>
          <cell r="F55">
            <v>52568044.355731606</v>
          </cell>
          <cell r="G55">
            <v>-23852.067356772735</v>
          </cell>
          <cell r="H55">
            <v>647041.99496107327</v>
          </cell>
          <cell r="I55">
            <v>1093889.1966811905</v>
          </cell>
        </row>
        <row r="56">
          <cell r="A56">
            <v>38991</v>
          </cell>
          <cell r="B56">
            <v>52568044.355731606</v>
          </cell>
          <cell r="C56">
            <v>670894.06231784599</v>
          </cell>
          <cell r="D56">
            <v>57721.107219920392</v>
          </cell>
          <cell r="E56">
            <v>613172.95509792562</v>
          </cell>
          <cell r="F56">
            <v>51954871.400633678</v>
          </cell>
          <cell r="G56">
            <v>-23579.07229933748</v>
          </cell>
          <cell r="H56">
            <v>647314.99001850851</v>
          </cell>
          <cell r="I56">
            <v>1094350.7221252907</v>
          </cell>
        </row>
        <row r="57">
          <cell r="A57">
            <v>39022</v>
          </cell>
          <cell r="B57">
            <v>51954871.400633678</v>
          </cell>
          <cell r="C57">
            <v>670894.06231784599</v>
          </cell>
          <cell r="D57">
            <v>57052.091517016059</v>
          </cell>
          <cell r="E57">
            <v>613841.97080082993</v>
          </cell>
          <cell r="F57">
            <v>51341029.429832846</v>
          </cell>
          <cell r="G57">
            <v>-23305.779384701058</v>
          </cell>
          <cell r="H57">
            <v>647588.28293314495</v>
          </cell>
          <cell r="I57">
            <v>1094812.7511267748</v>
          </cell>
        </row>
        <row r="58">
          <cell r="A58">
            <v>39052</v>
          </cell>
          <cell r="B58">
            <v>51341029.429832846</v>
          </cell>
          <cell r="C58">
            <v>670894.06231784599</v>
          </cell>
          <cell r="D58">
            <v>56382.345869962985</v>
          </cell>
          <cell r="E58">
            <v>614511.71644788305</v>
          </cell>
          <cell r="F58">
            <v>50726517.713384964</v>
          </cell>
          <cell r="G58">
            <v>-23032.188287879879</v>
          </cell>
          <cell r="H58">
            <v>647861.87402996607</v>
          </cell>
          <cell r="I58">
            <v>1095275.2842350607</v>
          </cell>
        </row>
        <row r="59">
          <cell r="A59">
            <v>39083</v>
          </cell>
          <cell r="B59">
            <v>50726517.713384964</v>
          </cell>
          <cell r="C59">
            <v>670894.06231784599</v>
          </cell>
          <cell r="D59">
            <v>55711.869482339724</v>
          </cell>
          <cell r="E59">
            <v>615182.19283550628</v>
          </cell>
          <cell r="F59">
            <v>50111335.520549454</v>
          </cell>
          <cell r="G59">
            <v>-22758.298683535777</v>
          </cell>
          <cell r="H59">
            <v>648135.76363431022</v>
          </cell>
          <cell r="I59">
            <v>1095738.322000165</v>
          </cell>
        </row>
        <row r="60">
          <cell r="A60">
            <v>39114</v>
          </cell>
          <cell r="B60">
            <v>50111335.520549454</v>
          </cell>
          <cell r="C60">
            <v>670894.06231784599</v>
          </cell>
          <cell r="D60">
            <v>55040.661556855877</v>
          </cell>
          <cell r="E60">
            <v>615853.4007609901</v>
          </cell>
          <cell r="F60">
            <v>49495482.11978846</v>
          </cell>
          <cell r="G60">
            <v>-22484.110245975626</v>
          </cell>
          <cell r="H60">
            <v>648409.95207187033</v>
          </cell>
          <cell r="I60">
            <v>1096201.8649727041</v>
          </cell>
        </row>
        <row r="61">
          <cell r="A61">
            <v>39142</v>
          </cell>
          <cell r="B61">
            <v>49495482.11978846</v>
          </cell>
          <cell r="C61">
            <v>670894.06231784599</v>
          </cell>
          <cell r="D61">
            <v>54368.721295351119</v>
          </cell>
          <cell r="E61">
            <v>616525.34102249483</v>
          </cell>
          <cell r="F61">
            <v>48878956.778765969</v>
          </cell>
          <cell r="G61">
            <v>-22209.62264915093</v>
          </cell>
          <cell r="H61">
            <v>648684.43966869509</v>
          </cell>
          <cell r="I61">
            <v>1096665.9137038961</v>
          </cell>
        </row>
        <row r="62">
          <cell r="A62">
            <v>39173</v>
          </cell>
          <cell r="B62">
            <v>48878956.778765969</v>
          </cell>
          <cell r="C62">
            <v>670894.06231784599</v>
          </cell>
          <cell r="D62">
            <v>53696.047898794299</v>
          </cell>
          <cell r="E62">
            <v>617198.0144190517</v>
          </cell>
          <cell r="F62">
            <v>48261758.76434692</v>
          </cell>
          <cell r="G62">
            <v>-21934.835566657468</v>
          </cell>
          <cell r="H62">
            <v>648959.22675118851</v>
          </cell>
          <cell r="I62">
            <v>1097130.4687455595</v>
          </cell>
        </row>
        <row r="63">
          <cell r="A63">
            <v>39203</v>
          </cell>
          <cell r="B63">
            <v>48261758.76434692</v>
          </cell>
          <cell r="C63">
            <v>670894.06231784599</v>
          </cell>
          <cell r="D63">
            <v>53022.640567282455</v>
          </cell>
          <cell r="E63">
            <v>617871.42175056355</v>
          </cell>
          <cell r="F63">
            <v>47643887.34259636</v>
          </cell>
          <cell r="G63">
            <v>-21659.74867173488</v>
          </cell>
          <cell r="H63">
            <v>649234.31364611117</v>
          </cell>
          <cell r="I63">
            <v>1097595.5306501156</v>
          </cell>
        </row>
        <row r="64">
          <cell r="A64">
            <v>39234</v>
          </cell>
          <cell r="B64">
            <v>47643887.34259636</v>
          </cell>
          <cell r="C64">
            <v>670894.06231784599</v>
          </cell>
          <cell r="D64">
            <v>52348.498500039881</v>
          </cell>
          <cell r="E64">
            <v>618545.56381780608</v>
          </cell>
          <cell r="F64">
            <v>47025341.778778553</v>
          </cell>
          <cell r="G64">
            <v>-21384.361637266291</v>
          </cell>
          <cell r="H64">
            <v>649509.70068057976</v>
          </cell>
          <cell r="I64">
            <v>1098061.0999705882</v>
          </cell>
        </row>
        <row r="65">
          <cell r="A65">
            <v>39264</v>
          </cell>
          <cell r="B65">
            <v>47025341.778778553</v>
          </cell>
          <cell r="C65">
            <v>670894.06231784599</v>
          </cell>
          <cell r="D65">
            <v>51673.620895417138</v>
          </cell>
          <cell r="E65">
            <v>619220.44142242882</v>
          </cell>
          <cell r="F65">
            <v>46406121.337356128</v>
          </cell>
          <cell r="G65">
            <v>-21108.674135777899</v>
          </cell>
          <cell r="H65">
            <v>649785.38818206813</v>
          </cell>
          <cell r="I65">
            <v>1098527.1772606045</v>
          </cell>
        </row>
        <row r="66">
          <cell r="A66">
            <v>39295</v>
          </cell>
          <cell r="B66">
            <v>46406121.337356128</v>
          </cell>
          <cell r="C66">
            <v>670894.06231784599</v>
          </cell>
          <cell r="D66">
            <v>50998.00695089018</v>
          </cell>
          <cell r="E66">
            <v>619896.05536695581</v>
          </cell>
          <cell r="F66">
            <v>45786225.281989172</v>
          </cell>
          <cell r="G66">
            <v>-20832.685839438636</v>
          </cell>
          <cell r="H66">
            <v>650061.3764784073</v>
          </cell>
          <cell r="I66">
            <v>1098993.7630743955</v>
          </cell>
        </row>
        <row r="67">
          <cell r="A67">
            <v>39326</v>
          </cell>
          <cell r="B67">
            <v>45786225.281989172</v>
          </cell>
          <cell r="C67">
            <v>670894.06231784599</v>
          </cell>
          <cell r="D67">
            <v>50321.655863059321</v>
          </cell>
          <cell r="E67">
            <v>620572.40645478666</v>
          </cell>
          <cell r="F67">
            <v>45165652.875534385</v>
          </cell>
          <cell r="G67">
            <v>-20556.396420059733</v>
          </cell>
          <cell r="H67">
            <v>650337.66589778627</v>
          </cell>
          <cell r="I67">
            <v>1099460.8579667974</v>
          </cell>
        </row>
        <row r="68">
          <cell r="A68">
            <v>39356</v>
          </cell>
          <cell r="B68">
            <v>45165652.875534385</v>
          </cell>
          <cell r="C68">
            <v>670894.06231784599</v>
          </cell>
          <cell r="D68">
            <v>49644.566827648283</v>
          </cell>
          <cell r="E68">
            <v>621249.49549019767</v>
          </cell>
          <cell r="F68">
            <v>44544403.380044185</v>
          </cell>
          <cell r="G68">
            <v>-20279.805549094322</v>
          </cell>
          <cell r="H68">
            <v>650614.25676875166</v>
          </cell>
          <cell r="I68">
            <v>1099928.4624932515</v>
          </cell>
        </row>
        <row r="69">
          <cell r="A69">
            <v>39387</v>
          </cell>
          <cell r="B69">
            <v>44544403.380044185</v>
          </cell>
          <cell r="C69">
            <v>670894.06231784599</v>
          </cell>
          <cell r="D69">
            <v>48966.739039503314</v>
          </cell>
          <cell r="E69">
            <v>621927.32327834272</v>
          </cell>
          <cell r="F69">
            <v>43922476.056765839</v>
          </cell>
          <cell r="G69">
            <v>-20002.912897637103</v>
          </cell>
          <cell r="H69">
            <v>650891.14942020888</v>
          </cell>
          <cell r="I69">
            <v>1100396.5772098051</v>
          </cell>
        </row>
        <row r="70">
          <cell r="A70">
            <v>39417</v>
          </cell>
          <cell r="B70">
            <v>43922476.056765839</v>
          </cell>
          <cell r="C70">
            <v>670894.06231784599</v>
          </cell>
          <cell r="D70">
            <v>48288.171692592143</v>
          </cell>
          <cell r="E70">
            <v>622605.8906252539</v>
          </cell>
          <cell r="F70">
            <v>43299870.166140586</v>
          </cell>
          <cell r="G70">
            <v>-19725.71813642389</v>
          </cell>
          <cell r="H70">
            <v>651168.34418142214</v>
          </cell>
          <cell r="I70">
            <v>1100865.2026731123</v>
          </cell>
        </row>
        <row r="71">
          <cell r="A71">
            <v>39448</v>
          </cell>
          <cell r="B71">
            <v>43299870.166140586</v>
          </cell>
          <cell r="C71">
            <v>670894.06231784599</v>
          </cell>
          <cell r="D71">
            <v>47608.863980003094</v>
          </cell>
          <cell r="E71">
            <v>623285.19833784294</v>
          </cell>
          <cell r="F71">
            <v>42676584.967802741</v>
          </cell>
          <cell r="G71">
            <v>-19448.220935831261</v>
          </cell>
          <cell r="H71">
            <v>651445.84138201468</v>
          </cell>
          <cell r="I71">
            <v>1101334.339440434</v>
          </cell>
        </row>
        <row r="72">
          <cell r="A72">
            <v>39479</v>
          </cell>
          <cell r="B72">
            <v>42676584.967802741</v>
          </cell>
          <cell r="C72">
            <v>670894.06231784599</v>
          </cell>
          <cell r="D72">
            <v>46928.815093944067</v>
          </cell>
          <cell r="E72">
            <v>623965.24722390191</v>
          </cell>
          <cell r="F72">
            <v>42052619.720578842</v>
          </cell>
          <cell r="G72">
            <v>-19170.42096587615</v>
          </cell>
          <cell r="H72">
            <v>651723.6413519698</v>
          </cell>
          <cell r="I72">
            <v>1101803.9880696402</v>
          </cell>
        </row>
        <row r="73">
          <cell r="A73">
            <v>39508</v>
          </cell>
          <cell r="B73">
            <v>42052619.720578842</v>
          </cell>
          <cell r="C73">
            <v>670894.06231784599</v>
          </cell>
          <cell r="D73">
            <v>46248.024225741618</v>
          </cell>
          <cell r="E73">
            <v>624646.03809210437</v>
          </cell>
          <cell r="F73">
            <v>41427973.682486735</v>
          </cell>
          <cell r="G73">
            <v>-18892.317896215449</v>
          </cell>
          <cell r="H73">
            <v>652001.74442163052</v>
          </cell>
          <cell r="I73">
            <v>1102274.1491192086</v>
          </cell>
        </row>
        <row r="74">
          <cell r="A74">
            <v>39539</v>
          </cell>
          <cell r="B74">
            <v>41427973.682486735</v>
          </cell>
          <cell r="C74">
            <v>670894.06231784599</v>
          </cell>
          <cell r="D74">
            <v>45566.490565839966</v>
          </cell>
          <cell r="E74">
            <v>625327.57175200607</v>
          </cell>
          <cell r="F74">
            <v>40802646.110734731</v>
          </cell>
          <cell r="G74">
            <v>-18613.911396145624</v>
          </cell>
          <cell r="H74">
            <v>652280.15092170041</v>
          </cell>
          <cell r="I74">
            <v>1102744.8231482268</v>
          </cell>
        </row>
        <row r="75">
          <cell r="A75">
            <v>39569</v>
          </cell>
          <cell r="B75">
            <v>40802646.110734731</v>
          </cell>
          <cell r="C75">
            <v>670894.06231784599</v>
          </cell>
          <cell r="D75">
            <v>44884.213303800061</v>
          </cell>
          <cell r="E75">
            <v>626009.8490140459</v>
          </cell>
          <cell r="F75">
            <v>40176636.261720687</v>
          </cell>
          <cell r="G75">
            <v>-18335.201134602325</v>
          </cell>
          <cell r="H75">
            <v>652558.86118324369</v>
          </cell>
          <cell r="I75">
            <v>1103216.010716392</v>
          </cell>
        </row>
        <row r="76">
          <cell r="A76">
            <v>39600</v>
          </cell>
          <cell r="B76">
            <v>40176636.261720687</v>
          </cell>
          <cell r="C76">
            <v>670894.06231784599</v>
          </cell>
          <cell r="D76">
            <v>44201.191628298584</v>
          </cell>
          <cell r="E76">
            <v>626692.87068954739</v>
          </cell>
          <cell r="F76">
            <v>39549943.391031139</v>
          </cell>
          <cell r="G76">
            <v>-18056.186780159969</v>
          </cell>
          <cell r="H76">
            <v>652837.87553768605</v>
          </cell>
          <cell r="I76">
            <v>1103687.7123840121</v>
          </cell>
        </row>
        <row r="77">
          <cell r="A77">
            <v>39630</v>
          </cell>
          <cell r="B77">
            <v>39549943.391031139</v>
          </cell>
          <cell r="C77">
            <v>670894.06231784599</v>
          </cell>
          <cell r="D77">
            <v>43517.424727127051</v>
          </cell>
          <cell r="E77">
            <v>627376.63759071892</v>
          </cell>
          <cell r="F77">
            <v>38922566.753440417</v>
          </cell>
          <cell r="G77">
            <v>-17776.868001031398</v>
          </cell>
          <cell r="H77">
            <v>653117.19431681465</v>
          </cell>
          <cell r="I77">
            <v>1104159.9287120069</v>
          </cell>
        </row>
        <row r="78">
          <cell r="A78">
            <v>39661</v>
          </cell>
          <cell r="B78">
            <v>38922566.753440417</v>
          </cell>
          <cell r="C78">
            <v>670894.06231784599</v>
          </cell>
          <cell r="D78">
            <v>42832.911787190729</v>
          </cell>
          <cell r="E78">
            <v>628061.15053065529</v>
          </cell>
          <cell r="F78">
            <v>38294505.602909759</v>
          </cell>
          <cell r="G78">
            <v>-17497.244465067412</v>
          </cell>
          <cell r="H78">
            <v>653396.81785277859</v>
          </cell>
          <cell r="I78">
            <v>1104632.6602619076</v>
          </cell>
        </row>
        <row r="79">
          <cell r="A79">
            <v>39692</v>
          </cell>
          <cell r="B79">
            <v>38294505.602909759</v>
          </cell>
          <cell r="C79">
            <v>670894.06231784599</v>
          </cell>
          <cell r="D79">
            <v>42147.651994507811</v>
          </cell>
          <cell r="E79">
            <v>628746.41032333823</v>
          </cell>
          <cell r="F79">
            <v>37665759.192586422</v>
          </cell>
          <cell r="G79">
            <v>-17217.31583975644</v>
          </cell>
          <cell r="H79">
            <v>653676.7464780896</v>
          </cell>
          <cell r="I79">
            <v>1105105.9075958584</v>
          </cell>
        </row>
        <row r="80">
          <cell r="A80">
            <v>39722</v>
          </cell>
          <cell r="B80">
            <v>37665759.192586422</v>
          </cell>
          <cell r="C80">
            <v>670894.06231784599</v>
          </cell>
          <cell r="D80">
            <v>41461.644534208339</v>
          </cell>
          <cell r="E80">
            <v>629432.41778363765</v>
          </cell>
          <cell r="F80">
            <v>37036326.774802782</v>
          </cell>
          <cell r="G80">
            <v>-16937.081792224104</v>
          </cell>
          <cell r="H80">
            <v>653956.98052562191</v>
          </cell>
          <cell r="I80">
            <v>1105579.6712766164</v>
          </cell>
        </row>
        <row r="81">
          <cell r="A81">
            <v>39753</v>
          </cell>
          <cell r="B81">
            <v>37036326.774802782</v>
          </cell>
          <cell r="C81">
            <v>670894.06231784599</v>
          </cell>
          <cell r="D81">
            <v>40774.888590533272</v>
          </cell>
          <cell r="E81">
            <v>630119.17372731271</v>
          </cell>
          <cell r="F81">
            <v>36406207.60107547</v>
          </cell>
          <cell r="G81">
            <v>-16656.541989232839</v>
          </cell>
          <cell r="H81">
            <v>654237.52032861311</v>
          </cell>
          <cell r="I81">
            <v>1106053.9518675534</v>
          </cell>
        </row>
        <row r="82">
          <cell r="A82">
            <v>39783</v>
          </cell>
          <cell r="B82">
            <v>36406207.60107547</v>
          </cell>
          <cell r="C82">
            <v>670894.06231784599</v>
          </cell>
          <cell r="D82">
            <v>40087.383346833543</v>
          </cell>
          <cell r="E82">
            <v>630806.67897101247</v>
          </cell>
          <cell r="F82">
            <v>35775400.922104456</v>
          </cell>
          <cell r="G82">
            <v>-16375.696097181501</v>
          </cell>
          <cell r="H82">
            <v>654518.36622066447</v>
          </cell>
          <cell r="I82">
            <v>1106528.7499326554</v>
          </cell>
        </row>
        <row r="83">
          <cell r="A83">
            <v>39814</v>
          </cell>
          <cell r="B83">
            <v>35775400.922104456</v>
          </cell>
          <cell r="C83">
            <v>670894.06231784599</v>
          </cell>
          <cell r="D83">
            <v>39399.127985569045</v>
          </cell>
          <cell r="E83">
            <v>631494.93433227693</v>
          </cell>
          <cell r="F83">
            <v>35143905.987772182</v>
          </cell>
          <cell r="G83">
            <v>-16094.543782104955</v>
          </cell>
          <cell r="H83">
            <v>654799.51853574102</v>
          </cell>
          <cell r="I83">
            <v>1107004.0660365238</v>
          </cell>
        </row>
        <row r="84">
          <cell r="A84">
            <v>39845</v>
          </cell>
          <cell r="B84">
            <v>35143905.987772182</v>
          </cell>
          <cell r="C84">
            <v>670894.06231784599</v>
          </cell>
          <cell r="D84">
            <v>38710.12168830767</v>
          </cell>
          <cell r="E84">
            <v>632183.94062953838</v>
          </cell>
          <cell r="F84">
            <v>34511722.04714264</v>
          </cell>
          <cell r="G84">
            <v>-15813.084709673682</v>
          </cell>
          <cell r="H84">
            <v>655080.97760817234</v>
          </cell>
          <cell r="I84">
            <v>1107479.9007443762</v>
          </cell>
        </row>
        <row r="85">
          <cell r="A85">
            <v>39873</v>
          </cell>
          <cell r="B85">
            <v>34511722.04714264</v>
          </cell>
          <cell r="C85">
            <v>670894.06231784599</v>
          </cell>
          <cell r="D85">
            <v>38020.363635724345</v>
          </cell>
          <cell r="E85">
            <v>632873.6986821217</v>
          </cell>
          <cell r="F85">
            <v>33878848.348460518</v>
          </cell>
          <cell r="G85">
            <v>-15531.318545193393</v>
          </cell>
          <cell r="H85">
            <v>655362.74377265258</v>
          </cell>
          <cell r="I85">
            <v>1107956.2546220466</v>
          </cell>
        </row>
        <row r="86">
          <cell r="A86">
            <v>39904</v>
          </cell>
          <cell r="B86">
            <v>33878848.348460518</v>
          </cell>
          <cell r="C86">
            <v>670894.06231784599</v>
          </cell>
          <cell r="D86">
            <v>37329.853007600053</v>
          </cell>
          <cell r="E86">
            <v>633564.20931024593</v>
          </cell>
          <cell r="F86">
            <v>33245284.139150273</v>
          </cell>
          <cell r="G86">
            <v>-15249.244953604621</v>
          </cell>
          <cell r="H86">
            <v>655644.81736424135</v>
          </cell>
          <cell r="I86">
            <v>1108433.1282359865</v>
          </cell>
        </row>
        <row r="87">
          <cell r="A87">
            <v>39934</v>
          </cell>
          <cell r="B87">
            <v>33245284.139150273</v>
          </cell>
          <cell r="C87">
            <v>670894.06231784599</v>
          </cell>
          <cell r="D87">
            <v>36638.588982820889</v>
          </cell>
          <cell r="E87">
            <v>634255.47333502513</v>
          </cell>
          <cell r="F87">
            <v>32611028.665815249</v>
          </cell>
          <cell r="G87">
            <v>-14966.863599482333</v>
          </cell>
          <cell r="H87">
            <v>655927.19871836365</v>
          </cell>
          <cell r="I87">
            <v>1108910.5221532655</v>
          </cell>
        </row>
        <row r="88">
          <cell r="A88">
            <v>39965</v>
          </cell>
          <cell r="B88">
            <v>32611028.665815249</v>
          </cell>
          <cell r="C88">
            <v>670894.06231784599</v>
          </cell>
          <cell r="D88">
            <v>35946.570739377021</v>
          </cell>
          <cell r="E88">
            <v>634947.49157846894</v>
          </cell>
          <cell r="F88">
            <v>31976081.174236782</v>
          </cell>
          <cell r="G88">
            <v>-14684.174147035512</v>
          </cell>
          <cell r="H88">
            <v>656209.88817081053</v>
          </cell>
          <cell r="I88">
            <v>1109388.4369415725</v>
          </cell>
        </row>
        <row r="89">
          <cell r="A89">
            <v>39995</v>
          </cell>
          <cell r="B89">
            <v>31976081.174236782</v>
          </cell>
          <cell r="C89">
            <v>670894.06231784599</v>
          </cell>
          <cell r="D89">
            <v>35253.797454361738</v>
          </cell>
          <cell r="E89">
            <v>635640.26486348431</v>
          </cell>
          <cell r="F89">
            <v>31340440.909373298</v>
          </cell>
          <cell r="G89">
            <v>-14401.176260106769</v>
          </cell>
          <cell r="H89">
            <v>656492.88605773926</v>
          </cell>
          <cell r="I89">
            <v>1109866.873169214</v>
          </cell>
        </row>
        <row r="90">
          <cell r="A90">
            <v>40026</v>
          </cell>
          <cell r="B90">
            <v>31340440.909373298</v>
          </cell>
          <cell r="C90">
            <v>670894.06231784599</v>
          </cell>
          <cell r="D90">
            <v>34560.268303970508</v>
          </cell>
          <cell r="E90">
            <v>636333.79401387554</v>
          </cell>
          <cell r="F90">
            <v>30704107.115359422</v>
          </cell>
          <cell r="G90">
            <v>-14117.869602171952</v>
          </cell>
          <cell r="H90">
            <v>656776.19271567406</v>
          </cell>
          <cell r="I90">
            <v>1110345.8314051186</v>
          </cell>
        </row>
        <row r="91">
          <cell r="A91">
            <v>40057</v>
          </cell>
          <cell r="B91">
            <v>30704107.115359422</v>
          </cell>
          <cell r="C91">
            <v>670894.06231784599</v>
          </cell>
          <cell r="D91">
            <v>33865.982463499946</v>
          </cell>
          <cell r="E91">
            <v>637028.079854346</v>
          </cell>
          <cell r="F91">
            <v>30067079.035505075</v>
          </cell>
          <cell r="G91">
            <v>-13834.253836339727</v>
          </cell>
          <cell r="H91">
            <v>657059.8084815063</v>
          </cell>
          <cell r="I91">
            <v>1110825.3122188346</v>
          </cell>
        </row>
        <row r="92">
          <cell r="A92">
            <v>40087</v>
          </cell>
          <cell r="B92">
            <v>30067079.035505075</v>
          </cell>
          <cell r="C92">
            <v>670894.06231784599</v>
          </cell>
          <cell r="D92">
            <v>33170.939107346872</v>
          </cell>
          <cell r="E92">
            <v>637723.12321049906</v>
          </cell>
          <cell r="F92">
            <v>29429355.912294574</v>
          </cell>
          <cell r="G92">
            <v>-13550.328625351196</v>
          </cell>
          <cell r="H92">
            <v>657343.7336924948</v>
          </cell>
          <cell r="I92">
            <v>1111305.3161805319</v>
          </cell>
        </row>
        <row r="93">
          <cell r="A93">
            <v>40118</v>
          </cell>
          <cell r="B93">
            <v>29429355.912294574</v>
          </cell>
          <cell r="C93">
            <v>670894.06231784599</v>
          </cell>
          <cell r="D93">
            <v>32475.137409007315</v>
          </cell>
          <cell r="E93">
            <v>638418.9249088387</v>
          </cell>
          <cell r="F93">
            <v>28790936.987385735</v>
          </cell>
          <cell r="G93">
            <v>-13266.093631579488</v>
          </cell>
          <cell r="H93">
            <v>657627.96868626645</v>
          </cell>
          <cell r="I93">
            <v>1111785.8438610022</v>
          </cell>
        </row>
        <row r="94">
          <cell r="A94">
            <v>40148</v>
          </cell>
          <cell r="B94">
            <v>28790936.987385735</v>
          </cell>
          <cell r="C94">
            <v>670894.06231784599</v>
          </cell>
          <cell r="D94">
            <v>31778.576541075505</v>
          </cell>
          <cell r="E94">
            <v>639115.48577677051</v>
          </cell>
          <cell r="F94">
            <v>28151821.501608964</v>
          </cell>
          <cell r="G94">
            <v>-12981.548517029343</v>
          </cell>
          <cell r="H94">
            <v>657912.51380081661</v>
          </cell>
          <cell r="I94">
            <v>1112266.8958316606</v>
          </cell>
        </row>
        <row r="95">
          <cell r="A95">
            <v>40179</v>
          </cell>
          <cell r="B95">
            <v>28151821.501608964</v>
          </cell>
          <cell r="C95">
            <v>670894.06231784599</v>
          </cell>
          <cell r="D95">
            <v>31081.255675242945</v>
          </cell>
          <cell r="E95">
            <v>639812.80664260301</v>
          </cell>
          <cell r="F95">
            <v>27512008.694966361</v>
          </cell>
          <cell r="G95">
            <v>-12696.692943336742</v>
          </cell>
          <cell r="H95">
            <v>658197.3693745092</v>
          </cell>
          <cell r="I95">
            <v>1112748.4726645453</v>
          </cell>
        </row>
        <row r="96">
          <cell r="A96">
            <v>40210</v>
          </cell>
          <cell r="B96">
            <v>27512008.694966361</v>
          </cell>
          <cell r="C96">
            <v>670894.06231784599</v>
          </cell>
          <cell r="D96">
            <v>30383.173982297369</v>
          </cell>
          <cell r="E96">
            <v>640510.88833554857</v>
          </cell>
          <cell r="F96">
            <v>26871497.806630813</v>
          </cell>
          <cell r="G96">
            <v>-12411.526571768474</v>
          </cell>
          <cell r="H96">
            <v>658482.53574607754</v>
          </cell>
          <cell r="I96">
            <v>1113230.5749323186</v>
          </cell>
        </row>
        <row r="97">
          <cell r="A97">
            <v>40238</v>
          </cell>
          <cell r="B97">
            <v>26871497.806630813</v>
          </cell>
          <cell r="C97">
            <v>670894.06231784599</v>
          </cell>
          <cell r="D97">
            <v>29684.330632121793</v>
          </cell>
          <cell r="E97">
            <v>641209.73168572423</v>
          </cell>
          <cell r="F97">
            <v>26230288.074945088</v>
          </cell>
          <cell r="G97">
            <v>-12126.049063221752</v>
          </cell>
          <cell r="H97">
            <v>658768.01325462421</v>
          </cell>
          <cell r="I97">
            <v>1113713.2032082677</v>
          </cell>
        </row>
        <row r="98">
          <cell r="A98">
            <v>40269</v>
          </cell>
          <cell r="B98">
            <v>26230288.074945088</v>
          </cell>
          <cell r="C98">
            <v>670894.06231784599</v>
          </cell>
          <cell r="D98">
            <v>28984.724793693513</v>
          </cell>
          <cell r="E98">
            <v>641909.33752415248</v>
          </cell>
          <cell r="F98">
            <v>25588378.737420935</v>
          </cell>
          <cell r="G98">
            <v>-11840.260078223799</v>
          </cell>
          <cell r="H98">
            <v>659053.80223962222</v>
          </cell>
          <cell r="I98">
            <v>1114196.3580663053</v>
          </cell>
        </row>
        <row r="99">
          <cell r="A99">
            <v>40299</v>
          </cell>
          <cell r="B99">
            <v>25588378.737420935</v>
          </cell>
          <cell r="C99">
            <v>670894.06231784599</v>
          </cell>
          <cell r="D99">
            <v>28284.355635083124</v>
          </cell>
          <cell r="E99">
            <v>642609.70668276283</v>
          </cell>
          <cell r="F99">
            <v>24945769.030738171</v>
          </cell>
          <cell r="G99">
            <v>-11554.159276931456</v>
          </cell>
          <cell r="H99">
            <v>659339.90304091456</v>
          </cell>
          <cell r="I99">
            <v>1114680.0400809702</v>
          </cell>
        </row>
        <row r="100">
          <cell r="A100">
            <v>40330</v>
          </cell>
          <cell r="B100">
            <v>24945769.030738171</v>
          </cell>
          <cell r="C100">
            <v>670894.06231784599</v>
          </cell>
          <cell r="D100">
            <v>27583.222323453516</v>
          </cell>
          <cell r="E100">
            <v>643310.83999439247</v>
          </cell>
          <cell r="F100">
            <v>24302458.190743778</v>
          </cell>
          <cell r="G100">
            <v>-11267.74631913076</v>
          </cell>
          <cell r="H100">
            <v>659626.31599871523</v>
          </cell>
          <cell r="I100">
            <v>1115164.249827428</v>
          </cell>
        </row>
        <row r="101">
          <cell r="A101">
            <v>40360</v>
          </cell>
          <cell r="B101">
            <v>24302458.190743778</v>
          </cell>
          <cell r="C101">
            <v>670894.06231784599</v>
          </cell>
          <cell r="D101">
            <v>26881.324025058901</v>
          </cell>
          <cell r="E101">
            <v>644012.73829278711</v>
          </cell>
          <cell r="F101">
            <v>23658445.452450991</v>
          </cell>
          <cell r="G101">
            <v>-10981.02086423656</v>
          </cell>
          <cell r="H101">
            <v>659913.04145360948</v>
          </cell>
          <cell r="I101">
            <v>1115648.9878814723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50">
          <cell r="B150">
            <v>37257</v>
          </cell>
          <cell r="C150">
            <v>23.06</v>
          </cell>
          <cell r="D150">
            <v>18.47</v>
          </cell>
          <cell r="E150">
            <v>450617.1216722831</v>
          </cell>
          <cell r="F150">
            <v>433828.11864375864</v>
          </cell>
          <cell r="G150">
            <v>10391230.825762847</v>
          </cell>
          <cell r="H150">
            <v>8012805.3513502218</v>
          </cell>
          <cell r="I150">
            <v>20.808564892651461</v>
          </cell>
          <cell r="J150">
            <v>0</v>
          </cell>
          <cell r="K150">
            <v>24.49</v>
          </cell>
          <cell r="L150">
            <v>18.52</v>
          </cell>
          <cell r="M150">
            <v>1.4299999999999997</v>
          </cell>
          <cell r="N150">
            <v>5.0000000000000711E-2</v>
          </cell>
          <cell r="O150">
            <v>644382.48399136472</v>
          </cell>
          <cell r="P150">
            <v>21691.405932188241</v>
          </cell>
          <cell r="Q150">
            <v>0.75309794158148513</v>
          </cell>
        </row>
        <row r="151">
          <cell r="B151">
            <v>37288</v>
          </cell>
          <cell r="C151">
            <v>23.84</v>
          </cell>
          <cell r="D151">
            <v>17.73</v>
          </cell>
          <cell r="E151">
            <v>427194.67818584538</v>
          </cell>
          <cell r="F151">
            <v>411949.46112038166</v>
          </cell>
          <cell r="G151">
            <v>10184321.127950553</v>
          </cell>
          <cell r="H151">
            <v>7303863.9456643667</v>
          </cell>
          <cell r="I151">
            <v>20.840501952469687</v>
          </cell>
          <cell r="J151">
            <v>0</v>
          </cell>
          <cell r="K151">
            <v>23.69</v>
          </cell>
          <cell r="L151">
            <v>17.8</v>
          </cell>
          <cell r="M151">
            <v>-0.14999999999999858</v>
          </cell>
          <cell r="N151">
            <v>7.0000000000000284E-2</v>
          </cell>
          <cell r="O151">
            <v>-64079.2017278762</v>
          </cell>
          <cell r="P151">
            <v>28836.462278426832</v>
          </cell>
          <cell r="Q151">
            <v>-4.1998433640478908E-2</v>
          </cell>
        </row>
        <row r="152">
          <cell r="B152">
            <v>37316</v>
          </cell>
          <cell r="C152">
            <v>29.59</v>
          </cell>
          <cell r="D152">
            <v>20.149999999999999</v>
          </cell>
          <cell r="E152">
            <v>417765.82091946283</v>
          </cell>
          <cell r="F152">
            <v>394222.43063682516</v>
          </cell>
          <cell r="G152">
            <v>12361690.641006906</v>
          </cell>
          <cell r="H152">
            <v>7943581.9773320267</v>
          </cell>
          <cell r="I152">
            <v>25.006855184691481</v>
          </cell>
          <cell r="J152">
            <v>0</v>
          </cell>
          <cell r="K152">
            <v>30.02</v>
          </cell>
          <cell r="L152">
            <v>20.22</v>
          </cell>
          <cell r="M152">
            <v>0.42999999999999972</v>
          </cell>
          <cell r="N152">
            <v>7.0000000000000284E-2</v>
          </cell>
          <cell r="O152">
            <v>179639.3029953689</v>
          </cell>
          <cell r="P152">
            <v>27595.570144577872</v>
          </cell>
          <cell r="Q152">
            <v>0.25521905365348874</v>
          </cell>
        </row>
        <row r="153">
          <cell r="B153">
            <v>37347</v>
          </cell>
          <cell r="C153">
            <v>33.880000000000003</v>
          </cell>
          <cell r="D153">
            <v>20.32</v>
          </cell>
          <cell r="E153">
            <v>396035.45158530626</v>
          </cell>
          <cell r="F153">
            <v>372950.59014364716</v>
          </cell>
          <cell r="G153">
            <v>13417681.099710178</v>
          </cell>
          <cell r="H153">
            <v>7578355.9917189106</v>
          </cell>
          <cell r="I153">
            <v>27.303534722454195</v>
          </cell>
          <cell r="J153">
            <v>0</v>
          </cell>
          <cell r="K153">
            <v>35.78</v>
          </cell>
          <cell r="L153">
            <v>20.61</v>
          </cell>
          <cell r="M153">
            <v>1.8999999999999986</v>
          </cell>
          <cell r="N153">
            <v>0.28999999999999915</v>
          </cell>
          <cell r="O153">
            <v>752467.35801208136</v>
          </cell>
          <cell r="P153">
            <v>108155.67114165735</v>
          </cell>
          <cell r="Q153">
            <v>1.119165995807613</v>
          </cell>
        </row>
        <row r="154">
          <cell r="B154">
            <v>37377</v>
          </cell>
          <cell r="C154">
            <v>32.25</v>
          </cell>
          <cell r="D154">
            <v>19</v>
          </cell>
          <cell r="E154">
            <v>374782.69381311216</v>
          </cell>
          <cell r="F154">
            <v>332936.82145374065</v>
          </cell>
          <cell r="G154">
            <v>12086741.875472868</v>
          </cell>
          <cell r="H154">
            <v>6325799.6076210719</v>
          </cell>
          <cell r="I154">
            <v>26.016721435399877</v>
          </cell>
          <cell r="J154">
            <v>7.42</v>
          </cell>
          <cell r="K154">
            <v>33.75</v>
          </cell>
          <cell r="L154">
            <v>20.5</v>
          </cell>
          <cell r="M154">
            <v>1.5</v>
          </cell>
          <cell r="N154">
            <v>1.5</v>
          </cell>
          <cell r="O154">
            <v>562174.04071966826</v>
          </cell>
          <cell r="P154">
            <v>499405.232180611</v>
          </cell>
          <cell r="Q154">
            <v>1.5</v>
          </cell>
        </row>
        <row r="155">
          <cell r="B155">
            <v>37408</v>
          </cell>
          <cell r="C155">
            <v>43.35</v>
          </cell>
          <cell r="D155">
            <v>22</v>
          </cell>
          <cell r="E155">
            <v>428744.7436176333</v>
          </cell>
          <cell r="F155">
            <v>369967.35873962758</v>
          </cell>
          <cell r="G155">
            <v>18586084.635824405</v>
          </cell>
          <cell r="H155">
            <v>8139281.8922718065</v>
          </cell>
          <cell r="I155">
            <v>33.460575405356828</v>
          </cell>
          <cell r="J155">
            <v>73.67</v>
          </cell>
          <cell r="K155">
            <v>50.6</v>
          </cell>
          <cell r="L155">
            <v>23.5</v>
          </cell>
          <cell r="M155">
            <v>7.25</v>
          </cell>
          <cell r="N155">
            <v>1.5</v>
          </cell>
          <cell r="O155">
            <v>3108399.3912278414</v>
          </cell>
          <cell r="P155">
            <v>554951.0381094414</v>
          </cell>
          <cell r="Q155">
            <v>4.5865718304825185</v>
          </cell>
        </row>
        <row r="156">
          <cell r="B156">
            <v>37438</v>
          </cell>
          <cell r="C156">
            <v>68.325000000000003</v>
          </cell>
          <cell r="D156">
            <v>24.15</v>
          </cell>
          <cell r="E156">
            <v>506348.49086054607</v>
          </cell>
          <cell r="F156">
            <v>465358.50806143531</v>
          </cell>
          <cell r="G156">
            <v>34596260.638046809</v>
          </cell>
          <cell r="H156">
            <v>11238407.969683662</v>
          </cell>
          <cell r="I156">
            <v>47.169227615505271</v>
          </cell>
          <cell r="J156">
            <v>73.55</v>
          </cell>
          <cell r="K156">
            <v>94.325000000000003</v>
          </cell>
          <cell r="L156">
            <v>26.15</v>
          </cell>
          <cell r="M156">
            <v>26</v>
          </cell>
          <cell r="N156">
            <v>2</v>
          </cell>
          <cell r="O156">
            <v>13165060.762374198</v>
          </cell>
          <cell r="P156">
            <v>930717.01612287061</v>
          </cell>
          <cell r="Q156">
            <v>14.506201760546157</v>
          </cell>
        </row>
        <row r="157">
          <cell r="B157">
            <v>37469</v>
          </cell>
          <cell r="C157">
            <v>58.325000000000003</v>
          </cell>
          <cell r="D157">
            <v>24.15</v>
          </cell>
          <cell r="E157">
            <v>595281.93406038464</v>
          </cell>
          <cell r="F157">
            <v>455738.4473603919</v>
          </cell>
          <cell r="G157">
            <v>34719818.804071933</v>
          </cell>
          <cell r="H157">
            <v>11006083.503753465</v>
          </cell>
          <cell r="I157">
            <v>43.50619941928511</v>
          </cell>
          <cell r="J157">
            <v>2</v>
          </cell>
          <cell r="K157">
            <v>80.325000000000003</v>
          </cell>
          <cell r="L157">
            <v>26.15</v>
          </cell>
          <cell r="M157">
            <v>22</v>
          </cell>
          <cell r="N157">
            <v>2</v>
          </cell>
          <cell r="O157">
            <v>13096202.549328461</v>
          </cell>
          <cell r="P157">
            <v>911476.89472078381</v>
          </cell>
          <cell r="Q157">
            <v>13.327695344131737</v>
          </cell>
        </row>
        <row r="158">
          <cell r="B158">
            <v>37500</v>
          </cell>
          <cell r="C158">
            <v>34.25</v>
          </cell>
          <cell r="D158">
            <v>19.600000000000001</v>
          </cell>
          <cell r="E158">
            <v>467661.13709403662</v>
          </cell>
          <cell r="F158">
            <v>517685.3132681087</v>
          </cell>
          <cell r="G158">
            <v>16017393.945470754</v>
          </cell>
          <cell r="H158">
            <v>10146632.140054932</v>
          </cell>
          <cell r="I158">
            <v>26.553123600241921</v>
          </cell>
          <cell r="J158">
            <v>2</v>
          </cell>
          <cell r="K158">
            <v>38.25</v>
          </cell>
          <cell r="L158">
            <v>20.225000000000001</v>
          </cell>
          <cell r="M158">
            <v>4</v>
          </cell>
          <cell r="N158">
            <v>0.625</v>
          </cell>
          <cell r="O158">
            <v>1870644.5483761465</v>
          </cell>
          <cell r="P158">
            <v>323553.32079256792</v>
          </cell>
          <cell r="Q158">
            <v>2.2268288157553915</v>
          </cell>
        </row>
        <row r="159">
          <cell r="B159">
            <v>37530</v>
          </cell>
          <cell r="C159">
            <v>32.85</v>
          </cell>
          <cell r="D159">
            <v>19.55</v>
          </cell>
          <cell r="E159">
            <v>4620339.4667163519</v>
          </cell>
          <cell r="F159">
            <v>3732323.7643099213</v>
          </cell>
          <cell r="G159">
            <v>151778151.48163217</v>
          </cell>
          <cell r="H159">
            <v>72966929.59225896</v>
          </cell>
          <cell r="I159">
            <v>26.906996589910065</v>
          </cell>
          <cell r="J159">
            <v>2</v>
          </cell>
          <cell r="K159">
            <v>33.35</v>
          </cell>
          <cell r="L159">
            <v>20.175000000000001</v>
          </cell>
          <cell r="M159">
            <v>0.5</v>
          </cell>
          <cell r="N159">
            <v>0.625</v>
          </cell>
          <cell r="O159">
            <v>2310169.733358176</v>
          </cell>
          <cell r="P159">
            <v>2332702.3526937007</v>
          </cell>
          <cell r="Q159">
            <v>0.55585529520761212</v>
          </cell>
        </row>
        <row r="160">
          <cell r="B160">
            <v>37561</v>
          </cell>
          <cell r="C160">
            <v>32.85</v>
          </cell>
          <cell r="D160">
            <v>19.55</v>
          </cell>
          <cell r="E160">
            <v>4340682.4463519799</v>
          </cell>
          <cell r="F160">
            <v>3995252.4293793254</v>
          </cell>
          <cell r="G160">
            <v>142591418.36266255</v>
          </cell>
          <cell r="H160">
            <v>78107184.994365811</v>
          </cell>
          <cell r="I160">
            <v>26.475567125596893</v>
          </cell>
          <cell r="J160">
            <v>2</v>
          </cell>
          <cell r="K160">
            <v>33.35</v>
          </cell>
          <cell r="L160">
            <v>20.175000000000001</v>
          </cell>
          <cell r="M160">
            <v>0.5</v>
          </cell>
          <cell r="N160">
            <v>0.625</v>
          </cell>
          <cell r="O160">
            <v>2170341.2231759899</v>
          </cell>
          <cell r="P160">
            <v>2497032.7683620784</v>
          </cell>
          <cell r="Q160">
            <v>0.55991008340604431</v>
          </cell>
        </row>
        <row r="161">
          <cell r="B161">
            <v>37591</v>
          </cell>
          <cell r="C161">
            <v>32.85</v>
          </cell>
          <cell r="D161">
            <v>19.55</v>
          </cell>
          <cell r="E161">
            <v>4025592.817427461</v>
          </cell>
          <cell r="F161">
            <v>4310508.2470413083</v>
          </cell>
          <cell r="G161">
            <v>132240724.0524921</v>
          </cell>
          <cell r="H161">
            <v>84270436.229657575</v>
          </cell>
          <cell r="I161">
            <v>25.972712975493078</v>
          </cell>
          <cell r="J161">
            <v>2</v>
          </cell>
          <cell r="K161">
            <v>33.35</v>
          </cell>
          <cell r="L161">
            <v>20.175000000000001</v>
          </cell>
          <cell r="M161">
            <v>0.5</v>
          </cell>
          <cell r="N161">
            <v>0.625</v>
          </cell>
          <cell r="O161">
            <v>2012796.4087137305</v>
          </cell>
          <cell r="P161">
            <v>2694067.6544008176</v>
          </cell>
          <cell r="Q161">
            <v>0.56463615624536578</v>
          </cell>
        </row>
        <row r="162">
          <cell r="B162">
            <v>37622</v>
          </cell>
          <cell r="C162">
            <v>36.25</v>
          </cell>
          <cell r="D162">
            <v>22.85</v>
          </cell>
          <cell r="E162">
            <v>403370.47145463357</v>
          </cell>
          <cell r="F162">
            <v>378452.30835122115</v>
          </cell>
          <cell r="G162">
            <v>14622179.590230467</v>
          </cell>
          <cell r="H162">
            <v>8647635.2458254043</v>
          </cell>
          <cell r="I162">
            <v>29.76354160700501</v>
          </cell>
          <cell r="J162">
            <v>2</v>
          </cell>
          <cell r="K162">
            <v>38.25</v>
          </cell>
          <cell r="L162">
            <v>23.324999999999999</v>
          </cell>
          <cell r="M162">
            <v>2</v>
          </cell>
          <cell r="N162">
            <v>0.47499999999999787</v>
          </cell>
          <cell r="O162">
            <v>806740.94290926715</v>
          </cell>
          <cell r="P162">
            <v>179764.84646682924</v>
          </cell>
          <cell r="Q162">
            <v>1.2618023097524345</v>
          </cell>
        </row>
        <row r="163">
          <cell r="B163">
            <v>37653</v>
          </cell>
          <cell r="C163">
            <v>36.25</v>
          </cell>
          <cell r="D163">
            <v>22.85</v>
          </cell>
          <cell r="E163">
            <v>370942.40273922367</v>
          </cell>
          <cell r="F163">
            <v>348215.93352580658</v>
          </cell>
          <cell r="G163">
            <v>13446662.099296859</v>
          </cell>
          <cell r="H163">
            <v>7956734.0810646806</v>
          </cell>
          <cell r="I163">
            <v>29.761729929351439</v>
          </cell>
          <cell r="J163">
            <v>2</v>
          </cell>
          <cell r="K163">
            <v>38.25</v>
          </cell>
          <cell r="L163">
            <v>23.324999999999999</v>
          </cell>
          <cell r="M163">
            <v>2</v>
          </cell>
          <cell r="N163">
            <v>0.47499999999999787</v>
          </cell>
          <cell r="O163">
            <v>741884.80547844735</v>
          </cell>
          <cell r="P163">
            <v>165402.5684247574</v>
          </cell>
          <cell r="Q163">
            <v>1.2615961300194725</v>
          </cell>
        </row>
        <row r="164">
          <cell r="B164">
            <v>37681</v>
          </cell>
          <cell r="C164">
            <v>32</v>
          </cell>
          <cell r="D164">
            <v>21.15</v>
          </cell>
          <cell r="E164">
            <v>352781.86345371982</v>
          </cell>
          <cell r="F164">
            <v>318943.5106199361</v>
          </cell>
          <cell r="G164">
            <v>11289019.630519034</v>
          </cell>
          <cell r="H164">
            <v>6745655.2496116478</v>
          </cell>
          <cell r="I164">
            <v>26.848285886179948</v>
          </cell>
          <cell r="J164">
            <v>2</v>
          </cell>
          <cell r="K164">
            <v>33.25</v>
          </cell>
          <cell r="L164">
            <v>21.625</v>
          </cell>
          <cell r="M164">
            <v>1.25</v>
          </cell>
          <cell r="N164">
            <v>0.47500000000000142</v>
          </cell>
          <cell r="O164">
            <v>440977.32931714976</v>
          </cell>
          <cell r="P164">
            <v>151498.16754447011</v>
          </cell>
          <cell r="Q164">
            <v>0.88202042044142559</v>
          </cell>
        </row>
        <row r="165">
          <cell r="B165">
            <v>37712</v>
          </cell>
          <cell r="C165">
            <v>32</v>
          </cell>
          <cell r="D165">
            <v>21.15</v>
          </cell>
          <cell r="E165">
            <v>336442.144184226</v>
          </cell>
          <cell r="F165">
            <v>304405.2776718277</v>
          </cell>
          <cell r="G165">
            <v>10766148.613895232</v>
          </cell>
          <cell r="H165">
            <v>6438171.622759155</v>
          </cell>
          <cell r="I165">
            <v>26.846203401780713</v>
          </cell>
          <cell r="J165">
            <v>2</v>
          </cell>
          <cell r="K165">
            <v>33.25</v>
          </cell>
          <cell r="L165">
            <v>21.625</v>
          </cell>
          <cell r="M165">
            <v>1.25</v>
          </cell>
          <cell r="N165">
            <v>0.47500000000000142</v>
          </cell>
          <cell r="O165">
            <v>420552.68023028248</v>
          </cell>
          <cell r="P165">
            <v>144592.50689411859</v>
          </cell>
          <cell r="Q165">
            <v>0.88187167155576596</v>
          </cell>
        </row>
        <row r="166">
          <cell r="B166">
            <v>37742</v>
          </cell>
          <cell r="C166">
            <v>35.549999999999997</v>
          </cell>
          <cell r="D166">
            <v>19.5</v>
          </cell>
          <cell r="E166">
            <v>317735.03925042425</v>
          </cell>
          <cell r="F166">
            <v>268673.79166044679</v>
          </cell>
          <cell r="G166">
            <v>11295480.645352582</v>
          </cell>
          <cell r="H166">
            <v>5239138.937378712</v>
          </cell>
          <cell r="I166">
            <v>28.196402767414003</v>
          </cell>
          <cell r="J166">
            <v>2</v>
          </cell>
          <cell r="K166">
            <v>38.549999999999997</v>
          </cell>
          <cell r="L166">
            <v>20.625</v>
          </cell>
          <cell r="M166">
            <v>3</v>
          </cell>
          <cell r="N166">
            <v>1.125</v>
          </cell>
          <cell r="O166">
            <v>953205.11775127274</v>
          </cell>
          <cell r="P166">
            <v>302258.01561800262</v>
          </cell>
          <cell r="Q166">
            <v>2.1409349027352809</v>
          </cell>
        </row>
        <row r="167">
          <cell r="B167">
            <v>37773</v>
          </cell>
          <cell r="C167">
            <v>43.625</v>
          </cell>
          <cell r="D167">
            <v>21.5</v>
          </cell>
          <cell r="E167">
            <v>378816.95389326697</v>
          </cell>
          <cell r="F167">
            <v>308282.45426161401</v>
          </cell>
          <cell r="G167">
            <v>16525889.613593772</v>
          </cell>
          <cell r="H167">
            <v>6628072.7666247012</v>
          </cell>
          <cell r="I167">
            <v>33.698125926778957</v>
          </cell>
          <cell r="J167">
            <v>2</v>
          </cell>
          <cell r="K167">
            <v>50.625</v>
          </cell>
          <cell r="L167">
            <v>22.625</v>
          </cell>
          <cell r="M167">
            <v>7</v>
          </cell>
          <cell r="N167">
            <v>1.125</v>
          </cell>
          <cell r="O167">
            <v>2651718.6772528687</v>
          </cell>
          <cell r="P167">
            <v>346817.76104431576</v>
          </cell>
          <cell r="Q167">
            <v>4.3640503873367855</v>
          </cell>
        </row>
        <row r="168">
          <cell r="B168">
            <v>37803</v>
          </cell>
          <cell r="C168">
            <v>63.5</v>
          </cell>
          <cell r="D168">
            <v>24.4</v>
          </cell>
          <cell r="E168">
            <v>474215.26115870808</v>
          </cell>
          <cell r="F168">
            <v>414177.86373665417</v>
          </cell>
          <cell r="G168">
            <v>30112669.083577964</v>
          </cell>
          <cell r="H168">
            <v>10105939.87517436</v>
          </cell>
          <cell r="I168">
            <v>45.271184379651075</v>
          </cell>
          <cell r="J168">
            <v>2</v>
          </cell>
          <cell r="K168">
            <v>87.5</v>
          </cell>
          <cell r="L168">
            <v>25.9</v>
          </cell>
          <cell r="M168">
            <v>24</v>
          </cell>
          <cell r="N168">
            <v>1.5</v>
          </cell>
          <cell r="O168">
            <v>11381166.267808994</v>
          </cell>
          <cell r="P168">
            <v>621266.79560498125</v>
          </cell>
          <cell r="Q168">
            <v>13.510272341231435</v>
          </cell>
        </row>
        <row r="169">
          <cell r="B169">
            <v>37834</v>
          </cell>
          <cell r="C169">
            <v>55.5</v>
          </cell>
          <cell r="D169">
            <v>24.4</v>
          </cell>
          <cell r="E169">
            <v>549246.77095042635</v>
          </cell>
          <cell r="F169">
            <v>398091.55934696319</v>
          </cell>
          <cell r="G169">
            <v>30483195.787748661</v>
          </cell>
          <cell r="H169">
            <v>9713434.0480659008</v>
          </cell>
          <cell r="I169">
            <v>42.431123654836171</v>
          </cell>
          <cell r="J169">
            <v>50</v>
          </cell>
          <cell r="K169">
            <v>75.5</v>
          </cell>
          <cell r="L169">
            <v>25.9</v>
          </cell>
          <cell r="M169">
            <v>20</v>
          </cell>
          <cell r="N169">
            <v>1.5</v>
          </cell>
          <cell r="O169">
            <v>10984935.419008527</v>
          </cell>
          <cell r="P169">
            <v>597137.33902044478</v>
          </cell>
          <cell r="Q169">
            <v>12.225909569597077</v>
          </cell>
        </row>
        <row r="170">
          <cell r="B170">
            <v>37865</v>
          </cell>
          <cell r="C170">
            <v>33.725000000000001</v>
          </cell>
          <cell r="D170">
            <v>20</v>
          </cell>
          <cell r="E170">
            <v>414583.25103596522</v>
          </cell>
          <cell r="F170">
            <v>446350.57544520911</v>
          </cell>
          <cell r="G170">
            <v>13981820.141187929</v>
          </cell>
          <cell r="H170">
            <v>8927011.5089041814</v>
          </cell>
          <cell r="I170">
            <v>26.609282787418792</v>
          </cell>
          <cell r="J170">
            <v>50</v>
          </cell>
          <cell r="K170">
            <v>38.725000000000001</v>
          </cell>
          <cell r="L170">
            <v>20.475000000000001</v>
          </cell>
          <cell r="M170">
            <v>5</v>
          </cell>
          <cell r="N170">
            <v>0.47500000000000142</v>
          </cell>
          <cell r="O170">
            <v>2072916.2551798262</v>
          </cell>
          <cell r="P170">
            <v>212016.52333647496</v>
          </cell>
          <cell r="Q170">
            <v>2.6540167295497299</v>
          </cell>
        </row>
        <row r="171">
          <cell r="B171">
            <v>37895</v>
          </cell>
          <cell r="C171">
            <v>31.625</v>
          </cell>
          <cell r="D171">
            <v>20.25</v>
          </cell>
          <cell r="E171">
            <v>376632.36384606455</v>
          </cell>
          <cell r="F171">
            <v>299336.73049995507</v>
          </cell>
          <cell r="G171">
            <v>11910998.506631792</v>
          </cell>
          <cell r="H171">
            <v>6061568.7926240899</v>
          </cell>
          <cell r="I171">
            <v>26.587853571388223</v>
          </cell>
          <cell r="J171">
            <v>13.87</v>
          </cell>
          <cell r="K171">
            <v>32.875</v>
          </cell>
          <cell r="L171">
            <v>20.725000000000001</v>
          </cell>
          <cell r="M171">
            <v>1.25</v>
          </cell>
          <cell r="N171">
            <v>0.47500000000000142</v>
          </cell>
          <cell r="O171">
            <v>470790.45480758068</v>
          </cell>
          <cell r="P171">
            <v>142184.94698747908</v>
          </cell>
          <cell r="Q171">
            <v>0.9068098037649126</v>
          </cell>
        </row>
        <row r="172">
          <cell r="B172">
            <v>37926</v>
          </cell>
          <cell r="C172">
            <v>31.625</v>
          </cell>
          <cell r="D172">
            <v>20.25</v>
          </cell>
          <cell r="E172">
            <v>323443.02944832516</v>
          </cell>
          <cell r="F172">
            <v>293651.84764980269</v>
          </cell>
          <cell r="G172">
            <v>10228885.806303283</v>
          </cell>
          <cell r="H172">
            <v>5946449.9149085041</v>
          </cell>
          <cell r="I172">
            <v>26.212072602637491</v>
          </cell>
          <cell r="J172">
            <v>14</v>
          </cell>
          <cell r="K172">
            <v>32.875</v>
          </cell>
          <cell r="L172">
            <v>20.7</v>
          </cell>
          <cell r="M172">
            <v>1.25</v>
          </cell>
          <cell r="N172">
            <v>0.44999999999999929</v>
          </cell>
          <cell r="O172">
            <v>404303.78681040648</v>
          </cell>
          <cell r="P172">
            <v>132143.331442411</v>
          </cell>
          <cell r="Q172">
            <v>0.86931060062505427</v>
          </cell>
        </row>
        <row r="173">
          <cell r="B173">
            <v>37956</v>
          </cell>
          <cell r="C173">
            <v>31.625</v>
          </cell>
          <cell r="D173">
            <v>20.25</v>
          </cell>
          <cell r="E173">
            <v>327020.21732447972</v>
          </cell>
          <cell r="F173">
            <v>350620.8220569198</v>
          </cell>
          <cell r="G173">
            <v>10342014.372886671</v>
          </cell>
          <cell r="H173">
            <v>7100071.6466526259</v>
          </cell>
          <cell r="I173">
            <v>25.739418078134278</v>
          </cell>
          <cell r="J173">
            <v>13.87</v>
          </cell>
          <cell r="K173">
            <v>32.875</v>
          </cell>
          <cell r="L173">
            <v>20.7</v>
          </cell>
          <cell r="M173">
            <v>1.25</v>
          </cell>
          <cell r="N173">
            <v>0.44999999999999929</v>
          </cell>
          <cell r="O173">
            <v>408775.27165559964</v>
          </cell>
          <cell r="P173">
            <v>157779.36992561366</v>
          </cell>
          <cell r="Q173">
            <v>0.83606896373691597</v>
          </cell>
        </row>
        <row r="174">
          <cell r="B174">
            <v>37987</v>
          </cell>
          <cell r="C174">
            <v>36.096958489732835</v>
          </cell>
          <cell r="D174">
            <v>22.342537313432835</v>
          </cell>
          <cell r="E174">
            <v>394747.38094968064</v>
          </cell>
          <cell r="F174">
            <v>372127.75931884174</v>
          </cell>
          <cell r="G174">
            <v>14249179.824071376</v>
          </cell>
          <cell r="H174">
            <v>8314278.3479453754</v>
          </cell>
          <cell r="I174">
            <v>29.422596961633321</v>
          </cell>
          <cell r="J174">
            <v>24.52</v>
          </cell>
          <cell r="K174">
            <v>37.146958489732832</v>
          </cell>
          <cell r="L174">
            <v>22.592537313432835</v>
          </cell>
          <cell r="M174">
            <v>1.0499999999999972</v>
          </cell>
          <cell r="N174">
            <v>0.25</v>
          </cell>
          <cell r="O174">
            <v>414484.74999716354</v>
          </cell>
          <cell r="P174">
            <v>93031.939829710434</v>
          </cell>
          <cell r="Q174">
            <v>0.6617983334929417</v>
          </cell>
        </row>
        <row r="175">
          <cell r="B175">
            <v>38018</v>
          </cell>
          <cell r="C175">
            <v>36.096958489732835</v>
          </cell>
          <cell r="D175">
            <v>22.342537313432835</v>
          </cell>
          <cell r="E175">
            <v>361928.4839552042</v>
          </cell>
          <cell r="F175">
            <v>341849.0541994861</v>
          </cell>
          <cell r="G175">
            <v>13064517.461582942</v>
          </cell>
          <cell r="H175">
            <v>7637775.2490137415</v>
          </cell>
          <cell r="I175">
            <v>29.415961135784816</v>
          </cell>
          <cell r="J175">
            <v>24.64</v>
          </cell>
          <cell r="K175">
            <v>37.146958489732832</v>
          </cell>
          <cell r="L175">
            <v>22.592537313432835</v>
          </cell>
          <cell r="M175">
            <v>1.0499999999999972</v>
          </cell>
          <cell r="N175">
            <v>0.25</v>
          </cell>
          <cell r="O175">
            <v>380024.90815296338</v>
          </cell>
          <cell r="P175">
            <v>85462.263549871524</v>
          </cell>
          <cell r="Q175">
            <v>0.6614123731816528</v>
          </cell>
        </row>
        <row r="176">
          <cell r="B176">
            <v>38047</v>
          </cell>
          <cell r="C176">
            <v>31.588005078383748</v>
          </cell>
          <cell r="D176">
            <v>20.441044776119401</v>
          </cell>
          <cell r="E176">
            <v>343465.95508593397</v>
          </cell>
          <cell r="F176">
            <v>312377.3475861192</v>
          </cell>
          <cell r="G176">
            <v>10849404.333506407</v>
          </cell>
          <cell r="H176">
            <v>6385319.3490532767</v>
          </cell>
          <cell r="I176">
            <v>26.27872178055572</v>
          </cell>
          <cell r="J176">
            <v>24.52</v>
          </cell>
          <cell r="K176">
            <v>32.638005078383749</v>
          </cell>
          <cell r="L176">
            <v>20.691044776119401</v>
          </cell>
          <cell r="M176">
            <v>1.0500000000000007</v>
          </cell>
          <cell r="N176">
            <v>0.25</v>
          </cell>
          <cell r="O176">
            <v>360639.25284023088</v>
          </cell>
          <cell r="P176">
            <v>78094.3368965298</v>
          </cell>
          <cell r="Q176">
            <v>0.66896099716084823</v>
          </cell>
        </row>
        <row r="177">
          <cell r="B177">
            <v>38078</v>
          </cell>
          <cell r="C177">
            <v>31.588005078383748</v>
          </cell>
          <cell r="D177">
            <v>20.441044776119401</v>
          </cell>
          <cell r="E177">
            <v>327502.2511741739</v>
          </cell>
          <cell r="F177">
            <v>298161.62673461996</v>
          </cell>
          <cell r="G177">
            <v>10345142.773271915</v>
          </cell>
          <cell r="H177">
            <v>6094735.1626029667</v>
          </cell>
          <cell r="I177">
            <v>26.275894320163076</v>
          </cell>
          <cell r="J177">
            <v>24.67</v>
          </cell>
          <cell r="K177">
            <v>32.638005078383749</v>
          </cell>
          <cell r="L177">
            <v>20.691044776119401</v>
          </cell>
          <cell r="M177">
            <v>1.0500000000000007</v>
          </cell>
          <cell r="N177">
            <v>0.25</v>
          </cell>
          <cell r="O177">
            <v>343877.36373288283</v>
          </cell>
          <cell r="P177">
            <v>74540.40668365499</v>
          </cell>
          <cell r="Q177">
            <v>0.66875807472703841</v>
          </cell>
        </row>
        <row r="178">
          <cell r="B178">
            <v>38108</v>
          </cell>
          <cell r="C178">
            <v>35.083710532126297</v>
          </cell>
          <cell r="D178">
            <v>21.39179104477612</v>
          </cell>
          <cell r="E178">
            <v>308344.21269110969</v>
          </cell>
          <cell r="F178">
            <v>262139.85366936005</v>
          </cell>
          <cell r="G178">
            <v>10817859.102311276</v>
          </cell>
          <cell r="H178">
            <v>5607640.9742031386</v>
          </cell>
          <cell r="I178">
            <v>28.792215322164132</v>
          </cell>
          <cell r="J178">
            <v>24.52</v>
          </cell>
          <cell r="K178">
            <v>36.133710532126294</v>
          </cell>
          <cell r="L178">
            <v>21.64179104477612</v>
          </cell>
          <cell r="M178">
            <v>1.0499999999999972</v>
          </cell>
          <cell r="N178">
            <v>0.25</v>
          </cell>
          <cell r="O178">
            <v>323761.42332566431</v>
          </cell>
          <cell r="P178">
            <v>65534.963417340012</v>
          </cell>
          <cell r="Q178">
            <v>0.68239659913134376</v>
          </cell>
        </row>
        <row r="179">
          <cell r="B179">
            <v>38139</v>
          </cell>
          <cell r="C179">
            <v>55.77</v>
          </cell>
          <cell r="D179">
            <v>20.239999999999998</v>
          </cell>
          <cell r="E179">
            <v>368025.15899302164</v>
          </cell>
          <cell r="F179">
            <v>300300.2671850578</v>
          </cell>
          <cell r="G179">
            <v>20524763.117040817</v>
          </cell>
          <cell r="H179">
            <v>6078077.4078255696</v>
          </cell>
          <cell r="I179">
            <v>39.805219856737722</v>
          </cell>
          <cell r="J179">
            <v>49</v>
          </cell>
          <cell r="K179">
            <v>48.277108633252368</v>
          </cell>
          <cell r="L179">
            <v>20.691044776119401</v>
          </cell>
          <cell r="M179">
            <v>-7.4928913667476351</v>
          </cell>
          <cell r="N179">
            <v>0.45104477611940297</v>
          </cell>
          <cell r="O179">
            <v>-2757572.5365647376</v>
          </cell>
          <cell r="P179">
            <v>135448.86678108128</v>
          </cell>
          <cell r="Q179">
            <v>-3.9234234806517376</v>
          </cell>
        </row>
        <row r="180">
          <cell r="B180">
            <v>38169</v>
          </cell>
          <cell r="C180">
            <v>74.45</v>
          </cell>
          <cell r="D180">
            <v>27.03</v>
          </cell>
          <cell r="E180">
            <v>462310.61465811322</v>
          </cell>
          <cell r="F180">
            <v>404933.82528514793</v>
          </cell>
          <cell r="G180">
            <v>34419025.261296533</v>
          </cell>
          <cell r="H180">
            <v>10945361.29745755</v>
          </cell>
          <cell r="I180">
            <v>52.308650790222437</v>
          </cell>
          <cell r="J180">
            <v>49.03</v>
          </cell>
          <cell r="K180">
            <v>78.76506955177743</v>
          </cell>
          <cell r="L180">
            <v>24.494029850746269</v>
          </cell>
          <cell r="M180">
            <v>4.3150695517774267</v>
          </cell>
          <cell r="N180">
            <v>-2.5359701492537319</v>
          </cell>
          <cell r="O180">
            <v>1994902.4567747312</v>
          </cell>
          <cell r="P180">
            <v>-1026900.0933462612</v>
          </cell>
          <cell r="Q180">
            <v>1.116181688627258</v>
          </cell>
        </row>
        <row r="181">
          <cell r="B181">
            <v>38200</v>
          </cell>
          <cell r="C181">
            <v>74.25</v>
          </cell>
          <cell r="D181">
            <v>26.95</v>
          </cell>
          <cell r="E181">
            <v>536029.43010401016</v>
          </cell>
          <cell r="F181">
            <v>389339.80686394905</v>
          </cell>
          <cell r="G181">
            <v>39800185.185222752</v>
          </cell>
          <cell r="H181">
            <v>10492707.794983426</v>
          </cell>
          <cell r="I181">
            <v>54.349000346061388</v>
          </cell>
          <cell r="J181">
            <v>49.03</v>
          </cell>
          <cell r="K181">
            <v>67.76506955177743</v>
          </cell>
          <cell r="L181">
            <v>24.494029850746269</v>
          </cell>
          <cell r="M181">
            <v>-6.4849304482225705</v>
          </cell>
          <cell r="N181">
            <v>-2.45597014925373</v>
          </cell>
          <cell r="O181">
            <v>-3476113.5724248877</v>
          </cell>
          <cell r="P181">
            <v>-956206.9435740714</v>
          </cell>
          <cell r="Q181">
            <v>-4.7897858918692666</v>
          </cell>
        </row>
        <row r="182">
          <cell r="B182">
            <v>38231</v>
          </cell>
          <cell r="C182">
            <v>51.73</v>
          </cell>
          <cell r="D182">
            <v>18.78</v>
          </cell>
          <cell r="E182">
            <v>403377.42187198135</v>
          </cell>
          <cell r="F182">
            <v>436093.42179904686</v>
          </cell>
          <cell r="G182">
            <v>20866714.033437595</v>
          </cell>
          <cell r="H182">
            <v>8189834.4613861004</v>
          </cell>
          <cell r="I182">
            <v>34.612933509112281</v>
          </cell>
          <cell r="J182">
            <v>49</v>
          </cell>
          <cell r="K182">
            <v>32.967310664605876</v>
          </cell>
          <cell r="L182">
            <v>20.691044776119401</v>
          </cell>
          <cell r="M182">
            <v>-18.762689335394121</v>
          </cell>
          <cell r="N182">
            <v>1.9110447761194003</v>
          </cell>
          <cell r="O182">
            <v>-7568445.2514961995</v>
          </cell>
          <cell r="P182">
            <v>833394.05562910275</v>
          </cell>
          <cell r="Q182">
            <v>-8.0229721456608782</v>
          </cell>
        </row>
        <row r="183">
          <cell r="B183">
            <v>38261</v>
          </cell>
          <cell r="C183">
            <v>47.32</v>
          </cell>
          <cell r="D183">
            <v>26.07</v>
          </cell>
          <cell r="E183">
            <v>365233.98587577458</v>
          </cell>
          <cell r="F183">
            <v>292105.78341418994</v>
          </cell>
          <cell r="G183">
            <v>17282872.211641654</v>
          </cell>
          <cell r="H183">
            <v>7615197.773607932</v>
          </cell>
          <cell r="I183">
            <v>37.877017561471462</v>
          </cell>
          <cell r="J183">
            <v>13.87</v>
          </cell>
          <cell r="K183">
            <v>33.473934643409137</v>
          </cell>
          <cell r="L183">
            <v>19.740298507462686</v>
          </cell>
          <cell r="M183">
            <v>-13.846065356590863</v>
          </cell>
          <cell r="N183">
            <v>-6.3297014925373141</v>
          </cell>
          <cell r="O183">
            <v>-5057053.6388841588</v>
          </cell>
          <cell r="P183">
            <v>-1848942.4132555795</v>
          </cell>
          <cell r="Q183">
            <v>-10.505976322715654</v>
          </cell>
        </row>
        <row r="184">
          <cell r="B184">
            <v>38292</v>
          </cell>
          <cell r="C184">
            <v>47.32</v>
          </cell>
          <cell r="D184">
            <v>26.07</v>
          </cell>
          <cell r="E184">
            <v>313692.29685646587</v>
          </cell>
          <cell r="F184">
            <v>286460.78977701656</v>
          </cell>
          <cell r="G184">
            <v>14843919.487247964</v>
          </cell>
          <cell r="H184">
            <v>7468032.7894868217</v>
          </cell>
          <cell r="I184">
            <v>37.177101599013923</v>
          </cell>
          <cell r="J184">
            <v>13.67</v>
          </cell>
          <cell r="K184">
            <v>33.473934643409137</v>
          </cell>
          <cell r="L184">
            <v>19.740298507462686</v>
          </cell>
          <cell r="M184">
            <v>-13.846065356590863</v>
          </cell>
          <cell r="N184">
            <v>-6.3297014925373141</v>
          </cell>
          <cell r="O184">
            <v>-4343404.0441337293</v>
          </cell>
          <cell r="P184">
            <v>-1813211.2886049994</v>
          </cell>
          <cell r="Q184">
            <v>-10.258408179276124</v>
          </cell>
        </row>
        <row r="185">
          <cell r="B185">
            <v>38322</v>
          </cell>
          <cell r="C185">
            <v>47.34</v>
          </cell>
          <cell r="D185">
            <v>26.08</v>
          </cell>
          <cell r="E185">
            <v>318696.66322234052</v>
          </cell>
          <cell r="F185">
            <v>343670.4920615626</v>
          </cell>
          <cell r="G185">
            <v>15087100.036945602</v>
          </cell>
          <cell r="H185">
            <v>8962926.4329655524</v>
          </cell>
          <cell r="I185">
            <v>36.309207481163305</v>
          </cell>
          <cell r="J185">
            <v>13.87</v>
          </cell>
          <cell r="K185">
            <v>33.473934643409137</v>
          </cell>
          <cell r="L185">
            <v>19.740298507462686</v>
          </cell>
          <cell r="M185">
            <v>-13.866065356590866</v>
          </cell>
          <cell r="N185">
            <v>-6.3397014925373121</v>
          </cell>
          <cell r="O185">
            <v>-4419068.7611684026</v>
          </cell>
          <cell r="P185">
            <v>-2178768.3314637211</v>
          </cell>
          <cell r="Q185">
            <v>-9.960996767426014</v>
          </cell>
        </row>
        <row r="186">
          <cell r="B186">
            <v>38353</v>
          </cell>
          <cell r="C186">
            <v>54.73</v>
          </cell>
          <cell r="D186">
            <v>30.16</v>
          </cell>
          <cell r="E186">
            <v>404519.41953581141</v>
          </cell>
          <cell r="F186">
            <v>381109.55867502972</v>
          </cell>
          <cell r="G186">
            <v>22139347.831194956</v>
          </cell>
          <cell r="H186">
            <v>11494264.289638897</v>
          </cell>
          <cell r="I186">
            <v>42.811063560091235</v>
          </cell>
          <cell r="J186">
            <v>24.52</v>
          </cell>
          <cell r="K186">
            <v>56.836597154019451</v>
          </cell>
          <cell r="L186">
            <v>30.888433942780406</v>
          </cell>
          <cell r="M186">
            <v>2.1065971540194539</v>
          </cell>
          <cell r="N186">
            <v>0.72843394278040563</v>
          </cell>
          <cell r="O186">
            <v>852159.45793974178</v>
          </cell>
          <cell r="P186">
            <v>277613.13845695223</v>
          </cell>
          <cell r="Q186">
            <v>1.4380485289246729</v>
          </cell>
        </row>
        <row r="187">
          <cell r="B187">
            <v>38384</v>
          </cell>
          <cell r="C187">
            <v>54.73</v>
          </cell>
          <cell r="D187">
            <v>30.16</v>
          </cell>
          <cell r="E187">
            <v>370796.42909606575</v>
          </cell>
          <cell r="F187">
            <v>349985.21798844315</v>
          </cell>
          <cell r="G187">
            <v>20293688.564427678</v>
          </cell>
          <cell r="H187">
            <v>10555554.174531445</v>
          </cell>
          <cell r="I187">
            <v>42.799706213027598</v>
          </cell>
          <cell r="J187">
            <v>24.64</v>
          </cell>
          <cell r="K187">
            <v>56.836597154019451</v>
          </cell>
          <cell r="L187">
            <v>30.888433942780406</v>
          </cell>
          <cell r="M187">
            <v>2.1065971540194539</v>
          </cell>
          <cell r="N187">
            <v>0.72843394278040563</v>
          </cell>
          <cell r="O187">
            <v>781118.70225434832</v>
          </cell>
          <cell r="P187">
            <v>254941.11225418138</v>
          </cell>
          <cell r="Q187">
            <v>1.4374114805770792</v>
          </cell>
        </row>
        <row r="188">
          <cell r="B188">
            <v>38412</v>
          </cell>
          <cell r="C188">
            <v>48.25</v>
          </cell>
          <cell r="D188">
            <v>26.59</v>
          </cell>
          <cell r="E188">
            <v>351993.19160147192</v>
          </cell>
          <cell r="F188">
            <v>319840.05253419082</v>
          </cell>
          <cell r="G188">
            <v>16983671.494771019</v>
          </cell>
          <cell r="H188">
            <v>8504546.9968841337</v>
          </cell>
          <cell r="I188">
            <v>37.938310903990242</v>
          </cell>
          <cell r="J188">
            <v>24.52</v>
          </cell>
          <cell r="K188">
            <v>50.107177282686621</v>
          </cell>
          <cell r="L188">
            <v>27.232210163744398</v>
          </cell>
          <cell r="M188">
            <v>1.8571772826866209</v>
          </cell>
          <cell r="N188">
            <v>0.64221016374439799</v>
          </cell>
          <cell r="O188">
            <v>653713.75910261273</v>
          </cell>
          <cell r="P188">
            <v>205404.53250999955</v>
          </cell>
          <cell r="Q188">
            <v>1.2787671630002448</v>
          </cell>
        </row>
        <row r="189">
          <cell r="B189">
            <v>38443</v>
          </cell>
          <cell r="C189">
            <v>48.25</v>
          </cell>
          <cell r="D189">
            <v>26.59</v>
          </cell>
          <cell r="E189">
            <v>335678.7456834843</v>
          </cell>
          <cell r="F189">
            <v>305186.76157745213</v>
          </cell>
          <cell r="G189">
            <v>16196499.479228118</v>
          </cell>
          <cell r="H189">
            <v>8114915.9903444517</v>
          </cell>
          <cell r="I189">
            <v>37.935284695660599</v>
          </cell>
          <cell r="J189">
            <v>24.33</v>
          </cell>
          <cell r="K189">
            <v>50.107177282686621</v>
          </cell>
          <cell r="L189">
            <v>27.232210163744398</v>
          </cell>
          <cell r="M189">
            <v>1.8571772826866209</v>
          </cell>
          <cell r="N189">
            <v>0.64221016374439799</v>
          </cell>
          <cell r="O189">
            <v>623414.94076410669</v>
          </cell>
          <cell r="P189">
            <v>195994.04012527809</v>
          </cell>
          <cell r="Q189">
            <v>1.2785974149108825</v>
          </cell>
        </row>
        <row r="190">
          <cell r="B190">
            <v>38473</v>
          </cell>
          <cell r="C190">
            <v>47.29</v>
          </cell>
          <cell r="D190">
            <v>26.06</v>
          </cell>
          <cell r="E190">
            <v>316511.52572349308</v>
          </cell>
          <cell r="F190">
            <v>268742.95114001585</v>
          </cell>
          <cell r="G190">
            <v>14967830.051463988</v>
          </cell>
          <cell r="H190">
            <v>7003441.3067088127</v>
          </cell>
          <cell r="I190">
            <v>37.541398189589358</v>
          </cell>
          <cell r="J190">
            <v>24.52</v>
          </cell>
          <cell r="K190">
            <v>49.110226190637306</v>
          </cell>
          <cell r="L190">
            <v>26.68940943464381</v>
          </cell>
          <cell r="M190">
            <v>1.8202261906373067</v>
          </cell>
          <cell r="N190">
            <v>0.62940943464381149</v>
          </cell>
          <cell r="O190">
            <v>576122.56876047573</v>
          </cell>
          <cell r="P190">
            <v>169149.34894154684</v>
          </cell>
          <cell r="Q190">
            <v>1.2734151504420399</v>
          </cell>
        </row>
        <row r="191">
          <cell r="B191">
            <v>38504</v>
          </cell>
          <cell r="C191">
            <v>55.77</v>
          </cell>
          <cell r="D191">
            <v>20.239999999999998</v>
          </cell>
          <cell r="E191">
            <v>378222.69903638319</v>
          </cell>
          <cell r="F191">
            <v>308066.94085560157</v>
          </cell>
          <cell r="G191">
            <v>21093479.925259091</v>
          </cell>
          <cell r="H191">
            <v>6235274.8829173753</v>
          </cell>
          <cell r="I191">
            <v>39.821021941228402</v>
          </cell>
          <cell r="J191">
            <v>49</v>
          </cell>
          <cell r="K191">
            <v>71.773792608528595</v>
          </cell>
          <cell r="L191">
            <v>23.325696874465937</v>
          </cell>
          <cell r="M191">
            <v>16.003792608528592</v>
          </cell>
          <cell r="N191">
            <v>3.0856968744659383</v>
          </cell>
          <cell r="O191">
            <v>6052997.6352162035</v>
          </cell>
          <cell r="P191">
            <v>950601.19652441284</v>
          </cell>
          <cell r="Q191">
            <v>10.205019024974519</v>
          </cell>
        </row>
        <row r="192">
          <cell r="B192">
            <v>38534</v>
          </cell>
          <cell r="C192">
            <v>74.45</v>
          </cell>
          <cell r="D192">
            <v>27.03</v>
          </cell>
          <cell r="E192">
            <v>475322.67719072918</v>
          </cell>
          <cell r="F192">
            <v>415839.81666399597</v>
          </cell>
          <cell r="G192">
            <v>35387773.316849791</v>
          </cell>
          <cell r="H192">
            <v>11240150.244427811</v>
          </cell>
          <cell r="I192">
            <v>52.322583011307422</v>
          </cell>
          <cell r="J192">
            <v>49.03</v>
          </cell>
          <cell r="K192">
            <v>95.814216598618501</v>
          </cell>
          <cell r="L192">
            <v>31.150868899052096</v>
          </cell>
          <cell r="M192">
            <v>21.364216598618498</v>
          </cell>
          <cell r="N192">
            <v>4.1208688990520947</v>
          </cell>
          <cell r="O192">
            <v>10154896.629737958</v>
          </cell>
          <cell r="P192">
            <v>1713621.367478186</v>
          </cell>
          <cell r="Q192">
            <v>13.318017846418611</v>
          </cell>
        </row>
        <row r="193">
          <cell r="B193">
            <v>38565</v>
          </cell>
          <cell r="C193">
            <v>74.25</v>
          </cell>
          <cell r="D193">
            <v>26.95</v>
          </cell>
          <cell r="E193">
            <v>550983.25962592964</v>
          </cell>
          <cell r="F193">
            <v>399872.53849422123</v>
          </cell>
          <cell r="G193">
            <v>40910507.027225278</v>
          </cell>
          <cell r="H193">
            <v>10776564.912419261</v>
          </cell>
          <cell r="I193">
            <v>54.35847585073391</v>
          </cell>
          <cell r="J193">
            <v>49.03</v>
          </cell>
          <cell r="K193">
            <v>95.556824478810256</v>
          </cell>
          <cell r="L193">
            <v>31.058672468718235</v>
          </cell>
          <cell r="M193">
            <v>21.306824478810256</v>
          </cell>
          <cell r="N193">
            <v>4.1086724687182361</v>
          </cell>
          <cell r="O193">
            <v>11739703.603612425</v>
          </cell>
          <cell r="P193">
            <v>1642945.2899076799</v>
          </cell>
          <cell r="Q193">
            <v>14.074320122964707</v>
          </cell>
        </row>
        <row r="194">
          <cell r="B194">
            <v>38596</v>
          </cell>
          <cell r="C194">
            <v>51.73</v>
          </cell>
          <cell r="D194">
            <v>18.78</v>
          </cell>
          <cell r="E194">
            <v>414684.407666263</v>
          </cell>
          <cell r="F194">
            <v>447618.04592937237</v>
          </cell>
          <cell r="G194">
            <v>21451624.408575784</v>
          </cell>
          <cell r="H194">
            <v>8406266.9025536142</v>
          </cell>
          <cell r="I194">
            <v>34.625775662156286</v>
          </cell>
          <cell r="J194">
            <v>49</v>
          </cell>
          <cell r="K194">
            <v>66.574471788402079</v>
          </cell>
          <cell r="L194">
            <v>21.643112020873044</v>
          </cell>
          <cell r="M194">
            <v>14.844471788402082</v>
          </cell>
          <cell r="N194">
            <v>2.863112020873043</v>
          </cell>
          <cell r="O194">
            <v>6155770.9906920688</v>
          </cell>
          <cell r="P194">
            <v>1281580.6080600878</v>
          </cell>
          <cell r="Q194">
            <v>8.6249918085467936</v>
          </cell>
        </row>
        <row r="195">
          <cell r="B195">
            <v>38626</v>
          </cell>
          <cell r="C195">
            <v>47.32</v>
          </cell>
          <cell r="D195">
            <v>26.07</v>
          </cell>
          <cell r="E195">
            <v>375283.23727784678</v>
          </cell>
          <cell r="F195">
            <v>299660.98033406609</v>
          </cell>
          <cell r="G195">
            <v>17758402.787987709</v>
          </cell>
          <cell r="H195">
            <v>7812161.7573091034</v>
          </cell>
          <cell r="I195">
            <v>37.885448720148403</v>
          </cell>
          <cell r="J195">
            <v>13.55</v>
          </cell>
          <cell r="K195">
            <v>49.141380912263848</v>
          </cell>
          <cell r="L195">
            <v>26.69965095783439</v>
          </cell>
          <cell r="M195">
            <v>1.821380912263848</v>
          </cell>
          <cell r="N195">
            <v>0.6296509578343894</v>
          </cell>
          <cell r="O195">
            <v>683533.72507045476</v>
          </cell>
          <cell r="P195">
            <v>188681.82329293684</v>
          </cell>
          <cell r="Q195">
            <v>1.2922779773556161</v>
          </cell>
        </row>
        <row r="196">
          <cell r="B196">
            <v>38657</v>
          </cell>
          <cell r="C196">
            <v>47.32</v>
          </cell>
          <cell r="D196">
            <v>26.07</v>
          </cell>
          <cell r="E196">
            <v>322106.44566523266</v>
          </cell>
          <cell r="F196">
            <v>293633.06599842088</v>
          </cell>
          <cell r="G196">
            <v>15242077.00887881</v>
          </cell>
          <cell r="H196">
            <v>7655014.0305788321</v>
          </cell>
          <cell r="I196">
            <v>37.186327344159672</v>
          </cell>
          <cell r="J196">
            <v>13.67</v>
          </cell>
          <cell r="K196">
            <v>49.141380912263848</v>
          </cell>
          <cell r="L196">
            <v>26.69965095783439</v>
          </cell>
          <cell r="M196">
            <v>1.821380912263848</v>
          </cell>
          <cell r="N196">
            <v>0.6296509578343894</v>
          </cell>
          <cell r="O196">
            <v>586678.53185180703</v>
          </cell>
          <cell r="P196">
            <v>184886.34125775419</v>
          </cell>
          <cell r="Q196">
            <v>1.2530702650945469</v>
          </cell>
        </row>
        <row r="197">
          <cell r="B197">
            <v>38687</v>
          </cell>
          <cell r="C197">
            <v>47.34</v>
          </cell>
          <cell r="D197">
            <v>26.08</v>
          </cell>
          <cell r="E197">
            <v>326905.59018130403</v>
          </cell>
          <cell r="F197">
            <v>352165.73734260071</v>
          </cell>
          <cell r="G197">
            <v>15475710.639182935</v>
          </cell>
          <cell r="H197">
            <v>9184482.4298950266</v>
          </cell>
          <cell r="I197">
            <v>36.314584447257303</v>
          </cell>
          <cell r="J197">
            <v>13.55</v>
          </cell>
          <cell r="K197">
            <v>49.162150726681546</v>
          </cell>
          <cell r="L197">
            <v>26.709892481024966</v>
          </cell>
          <cell r="M197">
            <v>1.8221507266815422</v>
          </cell>
          <cell r="N197">
            <v>0.62989248102496731</v>
          </cell>
          <cell r="O197">
            <v>595671.25870512158</v>
          </cell>
          <cell r="P197">
            <v>221826.55002671774</v>
          </cell>
          <cell r="Q197">
            <v>1.2038467471637753</v>
          </cell>
        </row>
        <row r="198">
          <cell r="B198">
            <v>38718</v>
          </cell>
          <cell r="C198">
            <v>54.73</v>
          </cell>
          <cell r="D198">
            <v>30.16</v>
          </cell>
          <cell r="E198">
            <v>414662.24352432962</v>
          </cell>
          <cell r="F198">
            <v>390511.0114974404</v>
          </cell>
          <cell r="G198">
            <v>22694464.58808656</v>
          </cell>
          <cell r="H198">
            <v>11777812.106762802</v>
          </cell>
          <cell r="I198">
            <v>42.813489494155284</v>
          </cell>
          <cell r="J198">
            <v>24.52</v>
          </cell>
          <cell r="K198">
            <v>56.836597154019451</v>
          </cell>
          <cell r="L198">
            <v>30.888433942780406</v>
          </cell>
          <cell r="M198">
            <v>2.1065971540194539</v>
          </cell>
          <cell r="N198">
            <v>0.72843394278040563</v>
          </cell>
          <cell r="O198">
            <v>873526.3020876745</v>
          </cell>
          <cell r="P198">
            <v>284461.47580424481</v>
          </cell>
          <cell r="Q198">
            <v>1.4381846027171008</v>
          </cell>
        </row>
        <row r="199">
          <cell r="B199">
            <v>38749</v>
          </cell>
          <cell r="C199">
            <v>54.73</v>
          </cell>
          <cell r="D199">
            <v>30.16</v>
          </cell>
          <cell r="E199">
            <v>380000.76737626933</v>
          </cell>
          <cell r="F199">
            <v>358502.21797172126</v>
          </cell>
          <cell r="G199">
            <v>20797441.998503219</v>
          </cell>
          <cell r="H199">
            <v>10812426.894027114</v>
          </cell>
          <cell r="I199">
            <v>42.802628451983061</v>
          </cell>
          <cell r="J199">
            <v>24.64</v>
          </cell>
          <cell r="K199">
            <v>56.836597154019451</v>
          </cell>
          <cell r="L199">
            <v>30.888433942780406</v>
          </cell>
          <cell r="M199">
            <v>2.1065971540194539</v>
          </cell>
          <cell r="N199">
            <v>0.72843394278040563</v>
          </cell>
          <cell r="O199">
            <v>800508.53508005757</v>
          </cell>
          <cell r="P199">
            <v>261145.18413266132</v>
          </cell>
          <cell r="Q199">
            <v>1.437575392755462</v>
          </cell>
        </row>
        <row r="200">
          <cell r="B200">
            <v>38777</v>
          </cell>
          <cell r="C200">
            <v>48.25</v>
          </cell>
          <cell r="D200">
            <v>26.59</v>
          </cell>
          <cell r="E200">
            <v>360802.61787500523</v>
          </cell>
          <cell r="F200">
            <v>327706.53287984733</v>
          </cell>
          <cell r="G200">
            <v>17408726.312469002</v>
          </cell>
          <cell r="H200">
            <v>8713716.7092751414</v>
          </cell>
          <cell r="I200">
            <v>37.940589450560815</v>
          </cell>
          <cell r="J200">
            <v>24.52</v>
          </cell>
          <cell r="K200">
            <v>50.107177282686621</v>
          </cell>
          <cell r="L200">
            <v>27.232210163744398</v>
          </cell>
          <cell r="M200">
            <v>1.8571772826866209</v>
          </cell>
          <cell r="N200">
            <v>0.64221016374439799</v>
          </cell>
          <cell r="O200">
            <v>670074.42545132141</v>
          </cell>
          <cell r="P200">
            <v>210456.46614087571</v>
          </cell>
          <cell r="Q200">
            <v>1.2788949727491929</v>
          </cell>
        </row>
        <row r="201">
          <cell r="B201">
            <v>38808</v>
          </cell>
          <cell r="C201">
            <v>48.25</v>
          </cell>
          <cell r="D201">
            <v>26.59</v>
          </cell>
          <cell r="E201">
            <v>344068.81414607557</v>
          </cell>
          <cell r="F201">
            <v>312690.31290992972</v>
          </cell>
          <cell r="G201">
            <v>16601320.282548146</v>
          </cell>
          <cell r="H201">
            <v>8314435.4202750316</v>
          </cell>
          <cell r="I201">
            <v>37.937433491805102</v>
          </cell>
          <cell r="J201">
            <v>24.67</v>
          </cell>
          <cell r="K201">
            <v>50.107177282686621</v>
          </cell>
          <cell r="L201">
            <v>27.232210163744398</v>
          </cell>
          <cell r="M201">
            <v>1.8571772826866209</v>
          </cell>
          <cell r="N201">
            <v>0.64221016374439799</v>
          </cell>
          <cell r="O201">
            <v>638996.78531301662</v>
          </cell>
          <cell r="P201">
            <v>200812.897055173</v>
          </cell>
          <cell r="Q201">
            <v>1.2787179466126775</v>
          </cell>
        </row>
        <row r="202">
          <cell r="B202">
            <v>38838</v>
          </cell>
          <cell r="C202">
            <v>47.29</v>
          </cell>
          <cell r="D202">
            <v>26.06</v>
          </cell>
          <cell r="E202">
            <v>324889.95294217707</v>
          </cell>
          <cell r="F202">
            <v>275799.9996531654</v>
          </cell>
          <cell r="G202">
            <v>15364045.874635553</v>
          </cell>
          <cell r="H202">
            <v>7187347.9909614902</v>
          </cell>
          <cell r="I202">
            <v>37.542485550426534</v>
          </cell>
          <cell r="J202">
            <v>24.52</v>
          </cell>
          <cell r="K202">
            <v>49.110226190637306</v>
          </cell>
          <cell r="L202">
            <v>26.68940943464381</v>
          </cell>
          <cell r="M202">
            <v>1.8202261906373067</v>
          </cell>
          <cell r="N202">
            <v>0.62940943464381149</v>
          </cell>
          <cell r="O202">
            <v>591373.20142027282</v>
          </cell>
          <cell r="P202">
            <v>173591.12185646224</v>
          </cell>
          <cell r="Q202">
            <v>1.2734761418459364</v>
          </cell>
        </row>
        <row r="203">
          <cell r="B203">
            <v>38869</v>
          </cell>
          <cell r="C203">
            <v>55.77</v>
          </cell>
          <cell r="D203">
            <v>20.239999999999998</v>
          </cell>
          <cell r="E203">
            <v>388572.8858445448</v>
          </cell>
          <cell r="F203">
            <v>316469.0379183733</v>
          </cell>
          <cell r="G203">
            <v>21670709.843550265</v>
          </cell>
          <cell r="H203">
            <v>6405333.3274678756</v>
          </cell>
          <cell r="I203">
            <v>39.821806653953203</v>
          </cell>
          <cell r="J203">
            <v>56</v>
          </cell>
          <cell r="K203">
            <v>71.773792608528595</v>
          </cell>
          <cell r="L203">
            <v>23.325696874465937</v>
          </cell>
          <cell r="M203">
            <v>16.003792608528592</v>
          </cell>
          <cell r="N203">
            <v>3.0856968744659383</v>
          </cell>
          <cell r="O203">
            <v>6218639.8783535501</v>
          </cell>
          <cell r="P203">
            <v>976527.52116996702</v>
          </cell>
          <cell r="Q203">
            <v>10.2053043329988</v>
          </cell>
        </row>
        <row r="204">
          <cell r="B204">
            <v>38899</v>
          </cell>
          <cell r="C204">
            <v>74.45</v>
          </cell>
          <cell r="D204">
            <v>27.03</v>
          </cell>
          <cell r="E204">
            <v>488611.23591422831</v>
          </cell>
          <cell r="F204">
            <v>427439.55361097271</v>
          </cell>
          <cell r="G204">
            <v>36377106.5138143</v>
          </cell>
          <cell r="H204">
            <v>11553691.134104593</v>
          </cell>
          <cell r="I204">
            <v>52.323297131550902</v>
          </cell>
          <cell r="J204">
            <v>56.13</v>
          </cell>
          <cell r="K204">
            <v>95.814216598618501</v>
          </cell>
          <cell r="L204">
            <v>31.150868899052096</v>
          </cell>
          <cell r="M204">
            <v>21.364216598618498</v>
          </cell>
          <cell r="N204">
            <v>4.1208688990520947</v>
          </cell>
          <cell r="O204">
            <v>10438796.276590256</v>
          </cell>
          <cell r="P204">
            <v>1761422.362700168</v>
          </cell>
          <cell r="Q204">
            <v>13.318277522160018</v>
          </cell>
        </row>
        <row r="205">
          <cell r="B205">
            <v>38930</v>
          </cell>
          <cell r="C205">
            <v>74.25</v>
          </cell>
          <cell r="D205">
            <v>26.95</v>
          </cell>
          <cell r="E205">
            <v>566383.75814571243</v>
          </cell>
          <cell r="F205">
            <v>410991.82674554217</v>
          </cell>
          <cell r="G205">
            <v>42053994.042319149</v>
          </cell>
          <cell r="H205">
            <v>11076229.73079236</v>
          </cell>
          <cell r="I205">
            <v>54.360088991810571</v>
          </cell>
          <cell r="J205">
            <v>56.13</v>
          </cell>
          <cell r="K205">
            <v>95.556824478810256</v>
          </cell>
          <cell r="L205">
            <v>31.058672468718235</v>
          </cell>
          <cell r="M205">
            <v>21.306824478810256</v>
          </cell>
          <cell r="N205">
            <v>4.1086724687182361</v>
          </cell>
          <cell r="O205">
            <v>12067839.322459614</v>
          </cell>
          <cell r="P205">
            <v>1688630.8034176244</v>
          </cell>
          <cell r="Q205">
            <v>14.074906656695154</v>
          </cell>
        </row>
        <row r="206">
          <cell r="B206">
            <v>38961</v>
          </cell>
          <cell r="C206">
            <v>51.73</v>
          </cell>
          <cell r="D206">
            <v>18.78</v>
          </cell>
          <cell r="E206">
            <v>426130.94134573673</v>
          </cell>
          <cell r="F206">
            <v>459948.91817050317</v>
          </cell>
          <cell r="G206">
            <v>22043753.595814958</v>
          </cell>
          <cell r="H206">
            <v>8637840.6832420491</v>
          </cell>
          <cell r="I206">
            <v>34.626217884929453</v>
          </cell>
          <cell r="J206">
            <v>56</v>
          </cell>
          <cell r="K206">
            <v>66.574471788402079</v>
          </cell>
          <cell r="L206">
            <v>21.643112020873044</v>
          </cell>
          <cell r="M206">
            <v>14.844471788402082</v>
          </cell>
          <cell r="N206">
            <v>2.863112020873043</v>
          </cell>
          <cell r="O206">
            <v>6325688.7369720116</v>
          </cell>
          <cell r="P206">
            <v>1316885.2766015192</v>
          </cell>
          <cell r="Q206">
            <v>8.6251526106755598</v>
          </cell>
        </row>
        <row r="207">
          <cell r="B207">
            <v>38991</v>
          </cell>
          <cell r="C207">
            <v>47.32</v>
          </cell>
          <cell r="D207">
            <v>26.07</v>
          </cell>
          <cell r="E207">
            <v>385509.86321663857</v>
          </cell>
          <cell r="F207">
            <v>307790.03612793447</v>
          </cell>
          <cell r="G207">
            <v>18242326.727411337</v>
          </cell>
          <cell r="H207">
            <v>8024086.2418552516</v>
          </cell>
          <cell r="I207">
            <v>37.886076421038204</v>
          </cell>
          <cell r="J207">
            <v>12.26</v>
          </cell>
          <cell r="K207">
            <v>49.141380912263848</v>
          </cell>
          <cell r="L207">
            <v>26.69965095783439</v>
          </cell>
          <cell r="M207">
            <v>1.821380912263848</v>
          </cell>
          <cell r="N207">
            <v>0.6296509578343894</v>
          </cell>
          <cell r="O207">
            <v>702160.30635223247</v>
          </cell>
          <cell r="P207">
            <v>193800.29105983526</v>
          </cell>
          <cell r="Q207">
            <v>1.2923131797063359</v>
          </cell>
        </row>
        <row r="208">
          <cell r="B208">
            <v>39022</v>
          </cell>
          <cell r="C208">
            <v>47.32</v>
          </cell>
          <cell r="D208">
            <v>26.07</v>
          </cell>
          <cell r="E208">
            <v>330642.98635543312</v>
          </cell>
          <cell r="F208">
            <v>301364.29193519853</v>
          </cell>
          <cell r="G208">
            <v>15646026.114339095</v>
          </cell>
          <cell r="H208">
            <v>7856567.0907506263</v>
          </cell>
          <cell r="I208">
            <v>37.187219217880489</v>
          </cell>
          <cell r="J208">
            <v>12.33</v>
          </cell>
          <cell r="K208">
            <v>49.141380912263848</v>
          </cell>
          <cell r="L208">
            <v>26.69965095783439</v>
          </cell>
          <cell r="M208">
            <v>1.821380912263848</v>
          </cell>
          <cell r="N208">
            <v>0.6296509578343894</v>
          </cell>
          <cell r="O208">
            <v>602226.82412170188</v>
          </cell>
          <cell r="P208">
            <v>189754.31507408031</v>
          </cell>
          <cell r="Q208">
            <v>1.2531202826300136</v>
          </cell>
        </row>
        <row r="209">
          <cell r="B209">
            <v>39052</v>
          </cell>
          <cell r="C209">
            <v>47.34</v>
          </cell>
          <cell r="D209">
            <v>26.08</v>
          </cell>
          <cell r="E209">
            <v>335338.13815327338</v>
          </cell>
          <cell r="F209">
            <v>361145.38617340982</v>
          </cell>
          <cell r="G209">
            <v>15874907.460175963</v>
          </cell>
          <cell r="H209">
            <v>9418671.671402527</v>
          </cell>
          <cell r="I209">
            <v>36.316119833603736</v>
          </cell>
          <cell r="J209">
            <v>12.26</v>
          </cell>
          <cell r="K209">
            <v>49.162150726681546</v>
          </cell>
          <cell r="L209">
            <v>26.709892481024966</v>
          </cell>
          <cell r="M209">
            <v>1.8221507266815422</v>
          </cell>
          <cell r="N209">
            <v>0.62989248102496731</v>
          </cell>
          <cell r="O209">
            <v>611036.63212002243</v>
          </cell>
          <cell r="P209">
            <v>227482.76330748905</v>
          </cell>
          <cell r="Q209">
            <v>1.2039328514456098</v>
          </cell>
        </row>
        <row r="210">
          <cell r="B210">
            <v>39083</v>
          </cell>
          <cell r="C210">
            <v>54.73</v>
          </cell>
          <cell r="D210">
            <v>30.16</v>
          </cell>
          <cell r="E210">
            <v>425159.58794593712</v>
          </cell>
          <cell r="F210">
            <v>400245.63869125803</v>
          </cell>
          <cell r="G210">
            <v>23268984.248281136</v>
          </cell>
          <cell r="H210">
            <v>12071408.462928342</v>
          </cell>
          <cell r="I210">
            <v>42.815809217965203</v>
          </cell>
          <cell r="J210">
            <v>25.010400000000001</v>
          </cell>
          <cell r="K210">
            <v>56.836597154019451</v>
          </cell>
          <cell r="L210">
            <v>30.888433942780406</v>
          </cell>
          <cell r="M210">
            <v>2.1065971540194539</v>
          </cell>
          <cell r="N210">
            <v>0.72843394278040563</v>
          </cell>
          <cell r="O210">
            <v>895639.97797099489</v>
          </cell>
          <cell r="P210">
            <v>291552.50867253478</v>
          </cell>
          <cell r="Q210">
            <v>1.4383147190384311</v>
          </cell>
        </row>
        <row r="211">
          <cell r="B211">
            <v>39114</v>
          </cell>
          <cell r="C211">
            <v>54.73</v>
          </cell>
          <cell r="D211">
            <v>30.16</v>
          </cell>
          <cell r="E211">
            <v>389524.86508012033</v>
          </cell>
          <cell r="F211">
            <v>367320.5386361889</v>
          </cell>
          <cell r="G211">
            <v>21318695.865834985</v>
          </cell>
          <cell r="H211">
            <v>11078387.445267458</v>
          </cell>
          <cell r="I211">
            <v>42.805417264905458</v>
          </cell>
          <cell r="J211">
            <v>25.1328</v>
          </cell>
          <cell r="K211">
            <v>56.836597154019451</v>
          </cell>
          <cell r="L211">
            <v>30.888433942780406</v>
          </cell>
          <cell r="M211">
            <v>2.1065971540194539</v>
          </cell>
          <cell r="N211">
            <v>0.72843394278040563</v>
          </cell>
          <cell r="O211">
            <v>820571.97219759331</v>
          </cell>
          <cell r="P211">
            <v>267568.7482229814</v>
          </cell>
          <cell r="Q211">
            <v>1.4377318208943579</v>
          </cell>
        </row>
        <row r="212">
          <cell r="B212">
            <v>39142</v>
          </cell>
          <cell r="C212">
            <v>48.25</v>
          </cell>
          <cell r="D212">
            <v>26.59</v>
          </cell>
          <cell r="E212">
            <v>369916.05635299988</v>
          </cell>
          <cell r="F212">
            <v>335849.05614660837</v>
          </cell>
          <cell r="G212">
            <v>17848449.719032243</v>
          </cell>
          <cell r="H212">
            <v>8930226.4029383175</v>
          </cell>
          <cell r="I212">
            <v>37.942759776164806</v>
          </cell>
          <cell r="J212">
            <v>25.010400000000001</v>
          </cell>
          <cell r="K212">
            <v>50.107177282686621</v>
          </cell>
          <cell r="L212">
            <v>27.232210163744398</v>
          </cell>
          <cell r="M212">
            <v>1.8571772826866209</v>
          </cell>
          <cell r="N212">
            <v>0.64221016374439799</v>
          </cell>
          <cell r="O212">
            <v>686999.69635981519</v>
          </cell>
          <cell r="P212">
            <v>215685.67734131488</v>
          </cell>
          <cell r="Q212">
            <v>1.2790167120957416</v>
          </cell>
        </row>
        <row r="213">
          <cell r="B213">
            <v>39173</v>
          </cell>
          <cell r="C213">
            <v>48.25</v>
          </cell>
          <cell r="D213">
            <v>26.59</v>
          </cell>
          <cell r="E213">
            <v>352748.52354281046</v>
          </cell>
          <cell r="F213">
            <v>320457.2292194686</v>
          </cell>
          <cell r="G213">
            <v>17020116.260940604</v>
          </cell>
          <cell r="H213">
            <v>8520957.72494567</v>
          </cell>
          <cell r="I213">
            <v>37.939476721770212</v>
          </cell>
          <cell r="J213">
            <v>25.163400000000003</v>
          </cell>
          <cell r="K213">
            <v>50.107177282686621</v>
          </cell>
          <cell r="L213">
            <v>27.232210163744398</v>
          </cell>
          <cell r="M213">
            <v>1.8571772826866209</v>
          </cell>
          <cell r="N213">
            <v>0.64221016374439799</v>
          </cell>
          <cell r="O213">
            <v>655116.54442495422</v>
          </cell>
          <cell r="P213">
            <v>205800.889650111</v>
          </cell>
          <cell r="Q213">
            <v>1.2788325568261603</v>
          </cell>
        </row>
        <row r="214">
          <cell r="B214">
            <v>39203</v>
          </cell>
          <cell r="C214">
            <v>47.29</v>
          </cell>
          <cell r="D214">
            <v>26.06</v>
          </cell>
          <cell r="E214">
            <v>333553.02041201782</v>
          </cell>
          <cell r="F214">
            <v>283099.74885378144</v>
          </cell>
          <cell r="G214">
            <v>15773722.335284323</v>
          </cell>
          <cell r="H214">
            <v>7377579.4551295443</v>
          </cell>
          <cell r="I214">
            <v>37.543497644514481</v>
          </cell>
          <cell r="J214">
            <v>25.010400000000001</v>
          </cell>
          <cell r="K214">
            <v>49.110226190637306</v>
          </cell>
          <cell r="L214">
            <v>26.68940943464381</v>
          </cell>
          <cell r="M214">
            <v>1.8202261906373067</v>
          </cell>
          <cell r="N214">
            <v>0.62940943464381149</v>
          </cell>
          <cell r="O214">
            <v>607141.94372013502</v>
          </cell>
          <cell r="P214">
            <v>178185.65287386358</v>
          </cell>
          <cell r="Q214">
            <v>1.2735329114454921</v>
          </cell>
        </row>
        <row r="215">
          <cell r="B215">
            <v>39234</v>
          </cell>
          <cell r="C215">
            <v>55.77</v>
          </cell>
          <cell r="D215">
            <v>20.239999999999998</v>
          </cell>
          <cell r="E215">
            <v>399274.25061387831</v>
          </cell>
          <cell r="F215">
            <v>325157.42998685868</v>
          </cell>
          <cell r="G215">
            <v>22267524.956735995</v>
          </cell>
          <cell r="H215">
            <v>6581186.382934019</v>
          </cell>
          <cell r="I215">
            <v>39.822542431809637</v>
          </cell>
          <cell r="J215">
            <v>57.120000000000005</v>
          </cell>
          <cell r="K215">
            <v>71.773792608528595</v>
          </cell>
          <cell r="L215">
            <v>23.325696874465937</v>
          </cell>
          <cell r="M215">
            <v>16.003792608528592</v>
          </cell>
          <cell r="N215">
            <v>3.0856968744659383</v>
          </cell>
          <cell r="O215">
            <v>6389902.3007501783</v>
          </cell>
          <cell r="P215">
            <v>1003337.265419827</v>
          </cell>
          <cell r="Q215">
            <v>10.205571849148205</v>
          </cell>
        </row>
        <row r="216">
          <cell r="B216">
            <v>39264</v>
          </cell>
          <cell r="C216">
            <v>74.45</v>
          </cell>
          <cell r="D216">
            <v>27.03</v>
          </cell>
          <cell r="E216">
            <v>502353.00295969663</v>
          </cell>
          <cell r="F216">
            <v>439436.97132780484</v>
          </cell>
          <cell r="G216">
            <v>37400181.070349418</v>
          </cell>
          <cell r="H216">
            <v>11877981.334990565</v>
          </cell>
          <cell r="I216">
            <v>52.323940316545325</v>
          </cell>
          <cell r="J216">
            <v>57.252600000000001</v>
          </cell>
          <cell r="K216">
            <v>95.814216598618501</v>
          </cell>
          <cell r="L216">
            <v>31.150868899052096</v>
          </cell>
          <cell r="M216">
            <v>21.364216598618498</v>
          </cell>
          <cell r="N216">
            <v>4.1208688990520947</v>
          </cell>
          <cell r="O216">
            <v>10732378.364197398</v>
          </cell>
          <cell r="P216">
            <v>1810862.1482383981</v>
          </cell>
          <cell r="Q216">
            <v>13.318511403697215</v>
          </cell>
        </row>
        <row r="217">
          <cell r="B217">
            <v>39295</v>
          </cell>
          <cell r="C217">
            <v>74.25</v>
          </cell>
          <cell r="D217">
            <v>26.95</v>
          </cell>
          <cell r="E217">
            <v>582310.68091583927</v>
          </cell>
          <cell r="F217">
            <v>422492.7844806881</v>
          </cell>
          <cell r="G217">
            <v>43236568.058001064</v>
          </cell>
          <cell r="H217">
            <v>11386180.541754544</v>
          </cell>
          <cell r="I217">
            <v>54.36162441796489</v>
          </cell>
          <cell r="J217">
            <v>57.252600000000001</v>
          </cell>
          <cell r="K217">
            <v>95.556824478810256</v>
          </cell>
          <cell r="L217">
            <v>31.058672468718235</v>
          </cell>
          <cell r="M217">
            <v>21.306824478810256</v>
          </cell>
          <cell r="N217">
            <v>4.1086724687182361</v>
          </cell>
          <cell r="O217">
            <v>12407191.470410272</v>
          </cell>
          <cell r="P217">
            <v>1735884.4718279105</v>
          </cell>
          <cell r="Q217">
            <v>14.075464933490128</v>
          </cell>
        </row>
        <row r="218">
          <cell r="B218">
            <v>39326</v>
          </cell>
          <cell r="C218">
            <v>51.73</v>
          </cell>
          <cell r="D218">
            <v>18.78</v>
          </cell>
          <cell r="E218">
            <v>437966.76851078123</v>
          </cell>
          <cell r="F218">
            <v>472702.48986070394</v>
          </cell>
          <cell r="G218">
            <v>22656020.93506271</v>
          </cell>
          <cell r="H218">
            <v>8877352.7595840208</v>
          </cell>
          <cell r="I218">
            <v>34.626592920284416</v>
          </cell>
          <cell r="J218">
            <v>57.120000000000005</v>
          </cell>
          <cell r="K218">
            <v>66.574471788402079</v>
          </cell>
          <cell r="L218">
            <v>21.643112020873044</v>
          </cell>
          <cell r="M218">
            <v>14.844471788402082</v>
          </cell>
          <cell r="N218">
            <v>2.863112020873043</v>
          </cell>
          <cell r="O218">
            <v>6501385.3394159172</v>
          </cell>
          <cell r="P218">
            <v>1353400.1810167991</v>
          </cell>
          <cell r="Q218">
            <v>8.6252889819506233</v>
          </cell>
        </row>
        <row r="219">
          <cell r="B219">
            <v>39356</v>
          </cell>
          <cell r="C219">
            <v>47.32</v>
          </cell>
          <cell r="D219">
            <v>26.07</v>
          </cell>
          <cell r="E219">
            <v>396081.95492828131</v>
          </cell>
          <cell r="F219">
            <v>316197.34529948828</v>
          </cell>
          <cell r="G219">
            <v>18742598.10720627</v>
          </cell>
          <cell r="H219">
            <v>8243264.7919576596</v>
          </cell>
          <cell r="I219">
            <v>37.886630835031298</v>
          </cell>
          <cell r="J219">
            <v>12.5052</v>
          </cell>
          <cell r="K219">
            <v>49.141380912263848</v>
          </cell>
          <cell r="L219">
            <v>26.69965095783439</v>
          </cell>
          <cell r="M219">
            <v>1.821380912263848</v>
          </cell>
          <cell r="N219">
            <v>0.6296509578343894</v>
          </cell>
          <cell r="O219">
            <v>721416.11239852139</v>
          </cell>
          <cell r="P219">
            <v>199093.96133251395</v>
          </cell>
          <cell r="Q219">
            <v>1.2923442720245815</v>
          </cell>
        </row>
        <row r="220">
          <cell r="B220">
            <v>39387</v>
          </cell>
          <cell r="C220">
            <v>47.32</v>
          </cell>
          <cell r="D220">
            <v>26.07</v>
          </cell>
          <cell r="E220">
            <v>339468.95473333495</v>
          </cell>
          <cell r="F220">
            <v>309360.99284012994</v>
          </cell>
          <cell r="G220">
            <v>16063670.93798141</v>
          </cell>
          <cell r="H220">
            <v>8065041.083342188</v>
          </cell>
          <cell r="I220">
            <v>37.188036883256821</v>
          </cell>
          <cell r="J220">
            <v>12.576600000000001</v>
          </cell>
          <cell r="K220">
            <v>49.141380912263848</v>
          </cell>
          <cell r="L220">
            <v>26.69965095783439</v>
          </cell>
          <cell r="M220">
            <v>1.821380912263848</v>
          </cell>
          <cell r="N220">
            <v>0.6296509578343894</v>
          </cell>
          <cell r="O220">
            <v>618302.27445745654</v>
          </cell>
          <cell r="P220">
            <v>194789.44545838551</v>
          </cell>
          <cell r="Q220">
            <v>1.2531661384569157</v>
          </cell>
        </row>
        <row r="221">
          <cell r="B221">
            <v>39417</v>
          </cell>
          <cell r="C221">
            <v>47.34</v>
          </cell>
          <cell r="D221">
            <v>26.08</v>
          </cell>
          <cell r="E221">
            <v>344061.06918534019</v>
          </cell>
          <cell r="F221">
            <v>370438.8168738219</v>
          </cell>
          <cell r="G221">
            <v>16287851.015234007</v>
          </cell>
          <cell r="H221">
            <v>9661044.3440692741</v>
          </cell>
          <cell r="I221">
            <v>36.317564027091613</v>
          </cell>
          <cell r="J221">
            <v>12.5052</v>
          </cell>
          <cell r="K221">
            <v>49.162150726681546</v>
          </cell>
          <cell r="L221">
            <v>26.709892481024966</v>
          </cell>
          <cell r="M221">
            <v>1.8221507266815422</v>
          </cell>
          <cell r="N221">
            <v>0.62989248102496731</v>
          </cell>
          <cell r="O221">
            <v>626931.12723889598</v>
          </cell>
          <cell r="P221">
            <v>233336.62542860518</v>
          </cell>
          <cell r="Q221">
            <v>1.2040138416428929</v>
          </cell>
        </row>
        <row r="222">
          <cell r="B222">
            <v>39448</v>
          </cell>
          <cell r="C222">
            <v>54.73</v>
          </cell>
          <cell r="D222">
            <v>30.16</v>
          </cell>
          <cell r="E222">
            <v>432491.78030485415</v>
          </cell>
          <cell r="F222">
            <v>403124.11002787104</v>
          </cell>
          <cell r="G222">
            <v>23670275.136084668</v>
          </cell>
          <cell r="H222">
            <v>12158223.15844059</v>
          </cell>
          <cell r="I222">
            <v>42.876755587138348</v>
          </cell>
          <cell r="J222">
            <v>25.510608000000001</v>
          </cell>
          <cell r="K222">
            <v>56.836597154019451</v>
          </cell>
          <cell r="L222">
            <v>30.888433942780406</v>
          </cell>
          <cell r="M222">
            <v>2.1065971540194539</v>
          </cell>
          <cell r="N222">
            <v>0.72843394278040563</v>
          </cell>
          <cell r="O222">
            <v>911085.95352701272</v>
          </cell>
          <cell r="P222">
            <v>293649.28489744413</v>
          </cell>
          <cell r="Q222">
            <v>1.4417332800418097</v>
          </cell>
        </row>
        <row r="223">
          <cell r="B223">
            <v>39479</v>
          </cell>
          <cell r="C223">
            <v>54.73</v>
          </cell>
          <cell r="D223">
            <v>30.16</v>
          </cell>
          <cell r="E223">
            <v>396220.71160187677</v>
          </cell>
          <cell r="F223">
            <v>370066.2246031799</v>
          </cell>
          <cell r="G223">
            <v>21685159.545970716</v>
          </cell>
          <cell r="H223">
            <v>11161197.334031906</v>
          </cell>
          <cell r="I223">
            <v>42.864304907336965</v>
          </cell>
          <cell r="J223">
            <v>25.635456000000001</v>
          </cell>
          <cell r="K223">
            <v>56.836597154019451</v>
          </cell>
          <cell r="L223">
            <v>30.888433942780406</v>
          </cell>
          <cell r="M223">
            <v>2.1065971540194539</v>
          </cell>
          <cell r="N223">
            <v>0.72843394278040563</v>
          </cell>
          <cell r="O223">
            <v>834677.42342407641</v>
          </cell>
          <cell r="P223">
            <v>269568.7990775535</v>
          </cell>
          <cell r="Q223">
            <v>1.4410349052409477</v>
          </cell>
        </row>
        <row r="224">
          <cell r="B224">
            <v>39508</v>
          </cell>
          <cell r="C224">
            <v>48.25</v>
          </cell>
          <cell r="D224">
            <v>26.59</v>
          </cell>
          <cell r="E224">
            <v>376386.74626042158</v>
          </cell>
          <cell r="F224">
            <v>338069.36099068262</v>
          </cell>
          <cell r="G224">
            <v>18160660.507065341</v>
          </cell>
          <cell r="H224">
            <v>8989264.3087422512</v>
          </cell>
          <cell r="I224">
            <v>38.000829638461504</v>
          </cell>
          <cell r="J224">
            <v>25.510608000000001</v>
          </cell>
          <cell r="K224">
            <v>50.107177282686621</v>
          </cell>
          <cell r="L224">
            <v>27.232210163744398</v>
          </cell>
          <cell r="M224">
            <v>1.8571772826866209</v>
          </cell>
          <cell r="N224">
            <v>0.64221016374439799</v>
          </cell>
          <cell r="O224">
            <v>699016.91465918836</v>
          </cell>
          <cell r="P224">
            <v>217111.57967879027</v>
          </cell>
          <cell r="Q224">
            <v>1.2822740054148551</v>
          </cell>
        </row>
        <row r="225">
          <cell r="B225">
            <v>39539</v>
          </cell>
          <cell r="C225">
            <v>48.25</v>
          </cell>
          <cell r="D225">
            <v>26.59</v>
          </cell>
          <cell r="E225">
            <v>359564.33824454958</v>
          </cell>
          <cell r="F225">
            <v>322209.15556290362</v>
          </cell>
          <cell r="G225">
            <v>17348979.320299517</v>
          </cell>
          <cell r="H225">
            <v>8567541.4464176074</v>
          </cell>
          <cell r="I225">
            <v>38.013388613838487</v>
          </cell>
          <cell r="J225">
            <v>25.666668000000005</v>
          </cell>
          <cell r="K225">
            <v>50.107177282686621</v>
          </cell>
          <cell r="L225">
            <v>27.232210163744398</v>
          </cell>
          <cell r="M225">
            <v>1.8571772826866209</v>
          </cell>
          <cell r="N225">
            <v>0.64221016374439799</v>
          </cell>
          <cell r="O225">
            <v>667774.72065202566</v>
          </cell>
          <cell r="P225">
            <v>206925.99455399654</v>
          </cell>
          <cell r="Q225">
            <v>1.2829784718105446</v>
          </cell>
        </row>
        <row r="226">
          <cell r="B226">
            <v>39569</v>
          </cell>
          <cell r="C226">
            <v>47.29</v>
          </cell>
          <cell r="D226">
            <v>26.06</v>
          </cell>
          <cell r="E226">
            <v>340590.34936446173</v>
          </cell>
          <cell r="F226">
            <v>284910.33949072351</v>
          </cell>
          <cell r="G226">
            <v>16106517.621445395</v>
          </cell>
          <cell r="H226">
            <v>7424763.447128254</v>
          </cell>
          <cell r="I226">
            <v>37.619912316390064</v>
          </cell>
          <cell r="J226">
            <v>25.510608000000001</v>
          </cell>
          <cell r="K226">
            <v>49.110226190637306</v>
          </cell>
          <cell r="L226">
            <v>26.68940943464381</v>
          </cell>
          <cell r="M226">
            <v>1.8202261906373067</v>
          </cell>
          <cell r="N226">
            <v>0.62940943464381149</v>
          </cell>
          <cell r="O226">
            <v>619951.4741915036</v>
          </cell>
          <cell r="P226">
            <v>179325.25570303269</v>
          </cell>
          <cell r="Q226">
            <v>1.2778191041762121</v>
          </cell>
        </row>
        <row r="227">
          <cell r="B227">
            <v>39600</v>
          </cell>
          <cell r="C227">
            <v>55.77</v>
          </cell>
          <cell r="D227">
            <v>20.239999999999998</v>
          </cell>
          <cell r="E227">
            <v>408590.40009227471</v>
          </cell>
          <cell r="F227">
            <v>328607.40444377292</v>
          </cell>
          <cell r="G227">
            <v>22787086.613146164</v>
          </cell>
          <cell r="H227">
            <v>6651013.8659419632</v>
          </cell>
          <cell r="I227">
            <v>39.932431021840706</v>
          </cell>
          <cell r="J227">
            <v>58.262400000000007</v>
          </cell>
          <cell r="K227">
            <v>71.773792608528595</v>
          </cell>
          <cell r="L227">
            <v>23.325696874465937</v>
          </cell>
          <cell r="M227">
            <v>16.003792608528592</v>
          </cell>
          <cell r="N227">
            <v>3.0856968744659383</v>
          </cell>
          <cell r="O227">
            <v>6538996.0249124859</v>
          </cell>
          <cell r="P227">
            <v>1013982.8408185146</v>
          </cell>
          <cell r="Q227">
            <v>10.24552544684318</v>
          </cell>
        </row>
        <row r="228">
          <cell r="B228">
            <v>39630</v>
          </cell>
          <cell r="C228">
            <v>74.45</v>
          </cell>
          <cell r="D228">
            <v>27.03</v>
          </cell>
          <cell r="E228">
            <v>514844.8869002625</v>
          </cell>
          <cell r="F228">
            <v>446207.24304756586</v>
          </cell>
          <cell r="G228">
            <v>38330201.829724543</v>
          </cell>
          <cell r="H228">
            <v>12060981.779575706</v>
          </cell>
          <cell r="I228">
            <v>52.433350948440001</v>
          </cell>
          <cell r="J228">
            <v>58.397652000000001</v>
          </cell>
          <cell r="K228">
            <v>95.814216598618501</v>
          </cell>
          <cell r="L228">
            <v>31.150868899052096</v>
          </cell>
          <cell r="M228">
            <v>21.364216598618498</v>
          </cell>
          <cell r="N228">
            <v>4.1208688990520947</v>
          </cell>
          <cell r="O228">
            <v>10999257.678428451</v>
          </cell>
          <cell r="P228">
            <v>1838761.5504064932</v>
          </cell>
          <cell r="Q228">
            <v>13.358296421997283</v>
          </cell>
        </row>
        <row r="229">
          <cell r="B229">
            <v>39661</v>
          </cell>
          <cell r="C229">
            <v>74.25</v>
          </cell>
          <cell r="D229">
            <v>26.95</v>
          </cell>
          <cell r="E229">
            <v>596718.16742732935</v>
          </cell>
          <cell r="F229">
            <v>428653.67400944623</v>
          </cell>
          <cell r="G229">
            <v>44306323.931479201</v>
          </cell>
          <cell r="H229">
            <v>11552216.514554575</v>
          </cell>
          <cell r="I229">
            <v>54.47637450991774</v>
          </cell>
          <cell r="J229">
            <v>58.397652000000001</v>
          </cell>
          <cell r="K229">
            <v>95.556824478810256</v>
          </cell>
          <cell r="L229">
            <v>31.058672468718235</v>
          </cell>
          <cell r="M229">
            <v>21.306824478810256</v>
          </cell>
          <cell r="N229">
            <v>4.1086724687182361</v>
          </cell>
          <cell r="O229">
            <v>12714169.256691419</v>
          </cell>
          <cell r="P229">
            <v>1761197.5490175334</v>
          </cell>
          <cell r="Q229">
            <v>14.117187756419877</v>
          </cell>
        </row>
        <row r="230">
          <cell r="B230">
            <v>39692</v>
          </cell>
          <cell r="C230">
            <v>51.73</v>
          </cell>
          <cell r="D230">
            <v>18.78</v>
          </cell>
          <cell r="E230">
            <v>448240.63038519048</v>
          </cell>
          <cell r="F230">
            <v>479406.3552536795</v>
          </cell>
          <cell r="G230">
            <v>23187487.809825901</v>
          </cell>
          <cell r="H230">
            <v>9003251.3516641017</v>
          </cell>
          <cell r="I230">
            <v>34.701497077921573</v>
          </cell>
          <cell r="J230">
            <v>58.262400000000007</v>
          </cell>
          <cell r="K230">
            <v>66.574471788402079</v>
          </cell>
          <cell r="L230">
            <v>21.643112020873044</v>
          </cell>
          <cell r="M230">
            <v>14.844471788402082</v>
          </cell>
          <cell r="N230">
            <v>2.863112020873043</v>
          </cell>
          <cell r="O230">
            <v>6653895.3921685247</v>
          </cell>
          <cell r="P230">
            <v>1372594.0986097422</v>
          </cell>
          <cell r="Q230">
            <v>8.6525258153568281</v>
          </cell>
        </row>
        <row r="231">
          <cell r="B231">
            <v>39722</v>
          </cell>
          <cell r="C231">
            <v>47.32</v>
          </cell>
          <cell r="D231">
            <v>26.07</v>
          </cell>
          <cell r="E231">
            <v>404270.52731138933</v>
          </cell>
          <cell r="F231">
            <v>318244.04698279483</v>
          </cell>
          <cell r="G231">
            <v>19130081.352374945</v>
          </cell>
          <cell r="H231">
            <v>8296622.3048414616</v>
          </cell>
          <cell r="I231">
            <v>37.960069779919984</v>
          </cell>
          <cell r="J231">
            <v>12.755304000000001</v>
          </cell>
          <cell r="K231">
            <v>49.141380912263848</v>
          </cell>
          <cell r="L231">
            <v>26.69965095783439</v>
          </cell>
          <cell r="M231">
            <v>1.821380912263848</v>
          </cell>
          <cell r="N231">
            <v>0.6296509578343894</v>
          </cell>
          <cell r="O231">
            <v>736330.62183580524</v>
          </cell>
          <cell r="P231">
            <v>200382.66900780919</v>
          </cell>
          <cell r="Q231">
            <v>1.2964628315749596</v>
          </cell>
        </row>
        <row r="232">
          <cell r="B232">
            <v>39753</v>
          </cell>
          <cell r="C232">
            <v>47.32</v>
          </cell>
          <cell r="D232">
            <v>26.07</v>
          </cell>
          <cell r="E232">
            <v>345264.23959855497</v>
          </cell>
          <cell r="F232">
            <v>310614.9802690958</v>
          </cell>
          <cell r="G232">
            <v>16337903.817803621</v>
          </cell>
          <cell r="H232">
            <v>8097732.5356153278</v>
          </cell>
          <cell r="I232">
            <v>37.25630514464202</v>
          </cell>
          <cell r="J232">
            <v>12.828132000000002</v>
          </cell>
          <cell r="K232">
            <v>49.141380912263848</v>
          </cell>
          <cell r="L232">
            <v>26.69965095783439</v>
          </cell>
          <cell r="M232">
            <v>1.821380912263848</v>
          </cell>
          <cell r="N232">
            <v>0.6296509578343894</v>
          </cell>
          <cell r="O232">
            <v>628857.69569209986</v>
          </cell>
          <cell r="P232">
            <v>195579.01984414613</v>
          </cell>
          <cell r="Q232">
            <v>1.2569947187877186</v>
          </cell>
        </row>
        <row r="233">
          <cell r="B233">
            <v>39783</v>
          </cell>
          <cell r="C233">
            <v>47.34</v>
          </cell>
          <cell r="D233">
            <v>26.08</v>
          </cell>
          <cell r="E233">
            <v>349536.88129348756</v>
          </cell>
          <cell r="F233">
            <v>372691.24285043008</v>
          </cell>
          <cell r="G233">
            <v>16547075.960433703</v>
          </cell>
          <cell r="H233">
            <v>9719787.6135392152</v>
          </cell>
          <cell r="I233">
            <v>36.369206204906455</v>
          </cell>
          <cell r="J233">
            <v>12.755304000000001</v>
          </cell>
          <cell r="K233">
            <v>49.162150726681546</v>
          </cell>
          <cell r="L233">
            <v>26.709892481024966</v>
          </cell>
          <cell r="M233">
            <v>1.8221507266815422</v>
          </cell>
          <cell r="N233">
            <v>0.62989248102496731</v>
          </cell>
          <cell r="O233">
            <v>636908.88225092832</v>
          </cell>
          <cell r="P233">
            <v>234755.41161533602</v>
          </cell>
          <cell r="Q233">
            <v>1.2069099287700529</v>
          </cell>
        </row>
        <row r="234">
          <cell r="B234">
            <v>39814</v>
          </cell>
          <cell r="C234">
            <v>54.73</v>
          </cell>
          <cell r="D234">
            <v>30.16</v>
          </cell>
          <cell r="E234">
            <v>468051.62433596386</v>
          </cell>
          <cell r="F234">
            <v>433900.32696842315</v>
          </cell>
          <cell r="G234">
            <v>25616465.399907302</v>
          </cell>
          <cell r="H234">
            <v>13086433.861367643</v>
          </cell>
          <cell r="I234">
            <v>42.910156361770156</v>
          </cell>
          <cell r="J234">
            <v>26.020820160000003</v>
          </cell>
          <cell r="K234">
            <v>56.836597154019451</v>
          </cell>
          <cell r="L234">
            <v>30.888433942780406</v>
          </cell>
          <cell r="M234">
            <v>2.1065971540194539</v>
          </cell>
          <cell r="N234">
            <v>0.72843394278040563</v>
          </cell>
          <cell r="O234">
            <v>985996.21976032399</v>
          </cell>
          <cell r="P234">
            <v>316067.72594731563</v>
          </cell>
          <cell r="Q234">
            <v>1.443606772871457</v>
          </cell>
        </row>
        <row r="235">
          <cell r="B235">
            <v>39845</v>
          </cell>
          <cell r="C235">
            <v>54.73</v>
          </cell>
          <cell r="D235">
            <v>30.16</v>
          </cell>
          <cell r="E235">
            <v>430311.15370815911</v>
          </cell>
          <cell r="F235">
            <v>399350.5515714027</v>
          </cell>
          <cell r="G235">
            <v>23550929.442447547</v>
          </cell>
          <cell r="H235">
            <v>12044412.635393506</v>
          </cell>
          <cell r="I235">
            <v>42.903441066798287</v>
          </cell>
          <cell r="J235">
            <v>26.148165120000002</v>
          </cell>
          <cell r="K235">
            <v>56.836597154019451</v>
          </cell>
          <cell r="L235">
            <v>30.888433942780406</v>
          </cell>
          <cell r="M235">
            <v>2.1065971540194539</v>
          </cell>
          <cell r="N235">
            <v>0.72843394278040563</v>
          </cell>
          <cell r="O235">
            <v>906492.25174443575</v>
          </cell>
          <cell r="P235">
            <v>290900.49683268659</v>
          </cell>
          <cell r="Q235">
            <v>1.4432301032547361</v>
          </cell>
        </row>
        <row r="236">
          <cell r="B236">
            <v>39873</v>
          </cell>
          <cell r="C236">
            <v>48.25</v>
          </cell>
          <cell r="D236">
            <v>26.59</v>
          </cell>
          <cell r="E236">
            <v>409080.72054611816</v>
          </cell>
          <cell r="F236">
            <v>365165.32119714504</v>
          </cell>
          <cell r="G236">
            <v>19738144.766350202</v>
          </cell>
          <cell r="H236">
            <v>9709745.8906320874</v>
          </cell>
          <cell r="I236">
            <v>38.034279892059288</v>
          </cell>
          <cell r="J236">
            <v>26.020820160000003</v>
          </cell>
          <cell r="K236">
            <v>50.107177282686621</v>
          </cell>
          <cell r="L236">
            <v>27.232210163744398</v>
          </cell>
          <cell r="M236">
            <v>1.8571772826866209</v>
          </cell>
          <cell r="N236">
            <v>0.64221016374439799</v>
          </cell>
          <cell r="O236">
            <v>759735.42098332464</v>
          </cell>
          <cell r="P236">
            <v>234512.88071979419</v>
          </cell>
          <cell r="Q236">
            <v>1.2841503192764239</v>
          </cell>
        </row>
        <row r="237">
          <cell r="B237">
            <v>39904</v>
          </cell>
          <cell r="C237">
            <v>48.25</v>
          </cell>
          <cell r="D237">
            <v>26.59</v>
          </cell>
          <cell r="E237">
            <v>390221.03377494734</v>
          </cell>
          <cell r="F237">
            <v>347622.53613540716</v>
          </cell>
          <cell r="G237">
            <v>18828164.879641209</v>
          </cell>
          <cell r="H237">
            <v>9243283.235840477</v>
          </cell>
          <cell r="I237">
            <v>38.045256827124312</v>
          </cell>
          <cell r="J237">
            <v>26.180001360000006</v>
          </cell>
          <cell r="K237">
            <v>50.107177282686621</v>
          </cell>
          <cell r="L237">
            <v>27.232210163744398</v>
          </cell>
          <cell r="M237">
            <v>1.8571772826866209</v>
          </cell>
          <cell r="N237">
            <v>0.64221016374439799</v>
          </cell>
          <cell r="O237">
            <v>724709.63915332081</v>
          </cell>
          <cell r="P237">
            <v>223246.72585276276</v>
          </cell>
          <cell r="Q237">
            <v>1.2847660448152407</v>
          </cell>
        </row>
        <row r="238">
          <cell r="B238">
            <v>39934</v>
          </cell>
          <cell r="C238">
            <v>47.29</v>
          </cell>
          <cell r="D238">
            <v>26.06</v>
          </cell>
          <cell r="E238">
            <v>368786.67072437418</v>
          </cell>
          <cell r="F238">
            <v>306759.97275638836</v>
          </cell>
          <cell r="G238">
            <v>17439921.658555657</v>
          </cell>
          <cell r="H238">
            <v>7994164.8900314802</v>
          </cell>
          <cell r="I238">
            <v>37.649637954734978</v>
          </cell>
          <cell r="J238">
            <v>26.020820160000003</v>
          </cell>
          <cell r="K238">
            <v>49.110226190637306</v>
          </cell>
          <cell r="L238">
            <v>26.68940943464381</v>
          </cell>
          <cell r="M238">
            <v>1.8202261906373067</v>
          </cell>
          <cell r="N238">
            <v>0.62940943464381149</v>
          </cell>
          <cell r="O238">
            <v>671275.15681044233</v>
          </cell>
          <cell r="P238">
            <v>193077.62102394941</v>
          </cell>
          <cell r="Q238">
            <v>1.2794864517138345</v>
          </cell>
        </row>
        <row r="239">
          <cell r="B239">
            <v>39965</v>
          </cell>
          <cell r="C239">
            <v>55.77</v>
          </cell>
          <cell r="D239">
            <v>20.239999999999998</v>
          </cell>
          <cell r="E239">
            <v>441369.76870434883</v>
          </cell>
          <cell r="F239">
            <v>354033.65874236031</v>
          </cell>
          <cell r="G239">
            <v>24615192.000641536</v>
          </cell>
          <cell r="H239">
            <v>7165641.2529453719</v>
          </cell>
          <cell r="I239">
            <v>39.955615172045732</v>
          </cell>
          <cell r="J239">
            <v>59.427648000000005</v>
          </cell>
          <cell r="K239">
            <v>71.773792608528595</v>
          </cell>
          <cell r="L239">
            <v>23.325696874465937</v>
          </cell>
          <cell r="M239">
            <v>16.003792608528592</v>
          </cell>
          <cell r="N239">
            <v>3.0856968744659383</v>
          </cell>
          <cell r="O239">
            <v>7063590.2420186317</v>
          </cell>
          <cell r="P239">
            <v>1092440.5542370419</v>
          </cell>
          <cell r="Q239">
            <v>10.253954804339985</v>
          </cell>
        </row>
        <row r="240">
          <cell r="B240">
            <v>39995</v>
          </cell>
          <cell r="C240">
            <v>74.45</v>
          </cell>
          <cell r="D240">
            <v>27.03</v>
          </cell>
          <cell r="E240">
            <v>554695.5289020132</v>
          </cell>
          <cell r="F240">
            <v>479096.67467231932</v>
          </cell>
          <cell r="G240">
            <v>41297082.126754887</v>
          </cell>
          <cell r="H240">
            <v>12949983.116392791</v>
          </cell>
          <cell r="I240">
            <v>52.473857952873566</v>
          </cell>
          <cell r="J240">
            <v>59.565605040000001</v>
          </cell>
          <cell r="K240">
            <v>95.814216598618501</v>
          </cell>
          <cell r="L240">
            <v>31.150868899052096</v>
          </cell>
          <cell r="M240">
            <v>21.364216598618498</v>
          </cell>
          <cell r="N240">
            <v>4.1208688990520947</v>
          </cell>
          <cell r="O240">
            <v>11850635.425747856</v>
          </cell>
          <cell r="P240">
            <v>1974294.5862964401</v>
          </cell>
          <cell r="Q240">
            <v>13.373025995209341</v>
          </cell>
        </row>
        <row r="241">
          <cell r="B241">
            <v>40026</v>
          </cell>
          <cell r="C241">
            <v>74.25</v>
          </cell>
          <cell r="D241">
            <v>26.95</v>
          </cell>
          <cell r="E241">
            <v>642930.79546022089</v>
          </cell>
          <cell r="F241">
            <v>460384.48715080338</v>
          </cell>
          <cell r="G241">
            <v>47737611.562921405</v>
          </cell>
          <cell r="H241">
            <v>12407361.928714151</v>
          </cell>
          <cell r="I241">
            <v>54.512952407675265</v>
          </cell>
          <cell r="J241">
            <v>59.565605040000001</v>
          </cell>
          <cell r="K241">
            <v>95.556824478810256</v>
          </cell>
          <cell r="L241">
            <v>31.058672468718235</v>
          </cell>
          <cell r="M241">
            <v>21.306824478810256</v>
          </cell>
          <cell r="N241">
            <v>4.1086724687182361</v>
          </cell>
          <cell r="O241">
            <v>13698813.610892784</v>
          </cell>
          <cell r="P241">
            <v>1891569.0673814705</v>
          </cell>
          <cell r="Q241">
            <v>14.130487381067729</v>
          </cell>
        </row>
        <row r="242">
          <cell r="B242">
            <v>40057</v>
          </cell>
          <cell r="C242">
            <v>51.73</v>
          </cell>
          <cell r="D242">
            <v>18.78</v>
          </cell>
          <cell r="E242">
            <v>484461.49360299564</v>
          </cell>
          <cell r="F242">
            <v>515624.64364684635</v>
          </cell>
          <cell r="G242">
            <v>25061193.064082962</v>
          </cell>
          <cell r="H242">
            <v>9683430.8076877743</v>
          </cell>
          <cell r="I242">
            <v>34.741631323193531</v>
          </cell>
          <cell r="J242">
            <v>59.427648000000005</v>
          </cell>
          <cell r="K242">
            <v>66.574471788402079</v>
          </cell>
          <cell r="L242">
            <v>21.643112020873044</v>
          </cell>
          <cell r="M242">
            <v>14.844471788402082</v>
          </cell>
          <cell r="N242">
            <v>2.863112020873043</v>
          </cell>
          <cell r="O242">
            <v>7191574.974356804</v>
          </cell>
          <cell r="P242">
            <v>1476291.1154836649</v>
          </cell>
          <cell r="Q242">
            <v>8.6671195280002742</v>
          </cell>
        </row>
        <row r="243">
          <cell r="B243">
            <v>40087</v>
          </cell>
          <cell r="C243">
            <v>47.32</v>
          </cell>
          <cell r="D243">
            <v>26.07</v>
          </cell>
          <cell r="E243">
            <v>437925.46604856814</v>
          </cell>
          <cell r="F243">
            <v>342126.8249143447</v>
          </cell>
          <cell r="G243">
            <v>20722633.053418245</v>
          </cell>
          <cell r="H243">
            <v>8919246.3255169671</v>
          </cell>
          <cell r="I243">
            <v>37.999861960977839</v>
          </cell>
          <cell r="J243">
            <v>13.010410080000002</v>
          </cell>
          <cell r="K243">
            <v>49.141380912263848</v>
          </cell>
          <cell r="L243">
            <v>26.69965095783439</v>
          </cell>
          <cell r="M243">
            <v>1.821380912263848</v>
          </cell>
          <cell r="N243">
            <v>0.6296509578343894</v>
          </cell>
          <cell r="O243">
            <v>797629.08485511178</v>
          </cell>
          <cell r="P243">
            <v>215420.48300815557</v>
          </cell>
          <cell r="Q243">
            <v>1.2986944331805472</v>
          </cell>
        </row>
        <row r="244">
          <cell r="B244">
            <v>40118</v>
          </cell>
          <cell r="C244">
            <v>47.32</v>
          </cell>
          <cell r="D244">
            <v>26.07</v>
          </cell>
          <cell r="E244">
            <v>374601.35095523478</v>
          </cell>
          <cell r="F244">
            <v>335060.95245132357</v>
          </cell>
          <cell r="G244">
            <v>17726135.927201711</v>
          </cell>
          <cell r="H244">
            <v>8735039.0304060057</v>
          </cell>
          <cell r="I244">
            <v>37.286995280131677</v>
          </cell>
          <cell r="J244">
            <v>13.084694640000002</v>
          </cell>
          <cell r="K244">
            <v>49.141380912263848</v>
          </cell>
          <cell r="L244">
            <v>26.69965095783439</v>
          </cell>
          <cell r="M244">
            <v>1.821380912263848</v>
          </cell>
          <cell r="N244">
            <v>0.6296509578343894</v>
          </cell>
          <cell r="O244">
            <v>682291.75033811538</v>
          </cell>
          <cell r="P244">
            <v>210971.44964387867</v>
          </cell>
          <cell r="Q244">
            <v>1.2587158648474139</v>
          </cell>
        </row>
        <row r="245">
          <cell r="B245">
            <v>40148</v>
          </cell>
          <cell r="C245">
            <v>47.34</v>
          </cell>
          <cell r="D245">
            <v>26.08</v>
          </cell>
          <cell r="E245">
            <v>378318.57568502944</v>
          </cell>
          <cell r="F245">
            <v>400992.53753731854</v>
          </cell>
          <cell r="G245">
            <v>17909601.372929294</v>
          </cell>
          <cell r="H245">
            <v>10457885.378973266</v>
          </cell>
          <cell r="I245">
            <v>36.400721445645452</v>
          </cell>
          <cell r="J245">
            <v>13.010410080000002</v>
          </cell>
          <cell r="K245">
            <v>49.162150726681546</v>
          </cell>
          <cell r="L245">
            <v>26.709892481024966</v>
          </cell>
          <cell r="M245">
            <v>1.8221507266815422</v>
          </cell>
          <cell r="N245">
            <v>0.62989248102496731</v>
          </cell>
          <cell r="O245">
            <v>689353.46760160243</v>
          </cell>
          <cell r="P245">
            <v>252582.18434187892</v>
          </cell>
          <cell r="Q245">
            <v>1.2086772996842075</v>
          </cell>
        </row>
      </sheetData>
      <sheetData sheetId="29" refreshError="1"/>
      <sheetData sheetId="30" refreshError="1"/>
      <sheetData sheetId="31" refreshError="1">
        <row r="7">
          <cell r="B7" t="str">
            <v>STARTING</v>
          </cell>
          <cell r="E7" t="str">
            <v>PRINCIPAL</v>
          </cell>
          <cell r="F7" t="str">
            <v>ENDING</v>
          </cell>
          <cell r="H7" t="str">
            <v>STARTING</v>
          </cell>
          <cell r="K7" t="str">
            <v>PRINCIPAL</v>
          </cell>
          <cell r="L7" t="str">
            <v>ENDING</v>
          </cell>
          <cell r="M7" t="str">
            <v>STARTING</v>
          </cell>
          <cell r="P7" t="str">
            <v>PRINCIPAL</v>
          </cell>
          <cell r="Q7" t="str">
            <v>ENDING</v>
          </cell>
          <cell r="R7" t="str">
            <v>STARTING</v>
          </cell>
          <cell r="U7" t="str">
            <v>PRINCIPAL</v>
          </cell>
          <cell r="V7" t="str">
            <v>ENDING</v>
          </cell>
        </row>
        <row r="8">
          <cell r="A8" t="str">
            <v>PERIOD</v>
          </cell>
          <cell r="B8" t="str">
            <v>BALANCE</v>
          </cell>
          <cell r="C8" t="str">
            <v>TOTAL</v>
          </cell>
          <cell r="D8" t="str">
            <v>RETURN</v>
          </cell>
          <cell r="E8" t="str">
            <v>AMORTIZATION</v>
          </cell>
          <cell r="F8" t="str">
            <v>BALANCE</v>
          </cell>
          <cell r="G8" t="str">
            <v>PERIOD</v>
          </cell>
          <cell r="H8" t="str">
            <v>BALANCE</v>
          </cell>
          <cell r="I8" t="str">
            <v>TOTAL</v>
          </cell>
          <cell r="J8" t="str">
            <v>RETURN</v>
          </cell>
          <cell r="K8" t="str">
            <v>AMORTIZATION</v>
          </cell>
          <cell r="L8" t="str">
            <v>BALANCE</v>
          </cell>
          <cell r="M8" t="str">
            <v>BALANCE</v>
          </cell>
          <cell r="N8" t="str">
            <v>TOTAL</v>
          </cell>
          <cell r="O8" t="str">
            <v>RETURN</v>
          </cell>
          <cell r="P8" t="str">
            <v>AMORTIZATION</v>
          </cell>
          <cell r="Q8" t="str">
            <v>BALANCE</v>
          </cell>
          <cell r="R8" t="str">
            <v>BALANCE</v>
          </cell>
          <cell r="S8" t="str">
            <v>TOTAL</v>
          </cell>
          <cell r="T8" t="str">
            <v>RETURN</v>
          </cell>
          <cell r="U8" t="str">
            <v>AMORTIZATION</v>
          </cell>
          <cell r="V8" t="str">
            <v>BALANCE</v>
          </cell>
        </row>
        <row r="9">
          <cell r="A9">
            <v>36342</v>
          </cell>
          <cell r="B9">
            <v>11149000</v>
          </cell>
          <cell r="G9">
            <v>36342</v>
          </cell>
          <cell r="H9">
            <v>6566000</v>
          </cell>
          <cell r="L9">
            <v>6566000</v>
          </cell>
          <cell r="M9">
            <v>260000</v>
          </cell>
          <cell r="Q9">
            <v>260000</v>
          </cell>
          <cell r="R9">
            <v>4323000</v>
          </cell>
          <cell r="V9">
            <v>4323000</v>
          </cell>
        </row>
        <row r="10">
          <cell r="A10">
            <v>36373</v>
          </cell>
          <cell r="B10">
            <v>11149000</v>
          </cell>
          <cell r="C10">
            <v>187948.13</v>
          </cell>
          <cell r="D10">
            <v>120780.83333333334</v>
          </cell>
          <cell r="E10">
            <v>67167.296666666662</v>
          </cell>
          <cell r="F10">
            <v>11081832.703333333</v>
          </cell>
          <cell r="G10">
            <v>36373</v>
          </cell>
          <cell r="H10">
            <v>6566000</v>
          </cell>
          <cell r="I10">
            <v>110688.62</v>
          </cell>
          <cell r="J10">
            <v>71131.666666666672</v>
          </cell>
          <cell r="K10">
            <v>39556.953333333324</v>
          </cell>
          <cell r="L10">
            <v>6526443.0466666669</v>
          </cell>
          <cell r="M10">
            <v>260000</v>
          </cell>
          <cell r="N10">
            <v>4383.04</v>
          </cell>
          <cell r="O10">
            <v>2816.666666666667</v>
          </cell>
          <cell r="P10">
            <v>1566.373333333333</v>
          </cell>
          <cell r="Q10">
            <v>258433.62666666668</v>
          </cell>
          <cell r="R10">
            <v>4323000</v>
          </cell>
          <cell r="S10">
            <v>72876.47</v>
          </cell>
          <cell r="T10">
            <v>46832.5</v>
          </cell>
          <cell r="U10">
            <v>26043.97</v>
          </cell>
          <cell r="V10">
            <v>4296956.03</v>
          </cell>
        </row>
        <row r="11">
          <cell r="A11">
            <v>36404</v>
          </cell>
          <cell r="B11">
            <v>11081832.703333333</v>
          </cell>
          <cell r="C11">
            <v>187948.13</v>
          </cell>
          <cell r="D11">
            <v>120417.01047638891</v>
          </cell>
          <cell r="E11">
            <v>67531.119523611094</v>
          </cell>
          <cell r="F11">
            <v>11014301.583809722</v>
          </cell>
          <cell r="G11">
            <v>36404</v>
          </cell>
          <cell r="H11">
            <v>6526443.0466666669</v>
          </cell>
          <cell r="I11">
            <v>110688.62</v>
          </cell>
          <cell r="J11">
            <v>70917.399836111115</v>
          </cell>
          <cell r="K11">
            <v>39771.22016388888</v>
          </cell>
          <cell r="L11">
            <v>6486671.8265027776</v>
          </cell>
          <cell r="M11">
            <v>258433.62666666668</v>
          </cell>
          <cell r="N11">
            <v>4383.04</v>
          </cell>
          <cell r="O11">
            <v>2808.1821444444449</v>
          </cell>
          <cell r="P11">
            <v>1574.857855555555</v>
          </cell>
          <cell r="Q11">
            <v>256858.76881111113</v>
          </cell>
          <cell r="R11">
            <v>4296956.03</v>
          </cell>
          <cell r="S11">
            <v>72876.47</v>
          </cell>
          <cell r="T11">
            <v>46691.428495833345</v>
          </cell>
          <cell r="U11">
            <v>26185.041504166657</v>
          </cell>
          <cell r="V11">
            <v>4270770.9884958332</v>
          </cell>
        </row>
        <row r="12">
          <cell r="A12">
            <v>36434</v>
          </cell>
          <cell r="B12">
            <v>11014301.583809722</v>
          </cell>
          <cell r="C12">
            <v>187948.13</v>
          </cell>
          <cell r="D12">
            <v>119687.39405535822</v>
          </cell>
          <cell r="E12">
            <v>68260.735944641783</v>
          </cell>
          <cell r="F12">
            <v>10946040.84786508</v>
          </cell>
          <cell r="G12">
            <v>36434</v>
          </cell>
          <cell r="H12">
            <v>6486671.8265027776</v>
          </cell>
          <cell r="I12">
            <v>110688.62</v>
          </cell>
          <cell r="J12">
            <v>70487.70556300116</v>
          </cell>
          <cell r="K12">
            <v>40200.914436998835</v>
          </cell>
          <cell r="L12">
            <v>6446470.9120657789</v>
          </cell>
          <cell r="M12">
            <v>256858.76881111113</v>
          </cell>
          <cell r="N12">
            <v>4383.04</v>
          </cell>
          <cell r="O12">
            <v>2791.1671421712967</v>
          </cell>
          <cell r="P12">
            <v>1591.8728578287032</v>
          </cell>
          <cell r="Q12">
            <v>255266.89595328242</v>
          </cell>
          <cell r="R12">
            <v>4270770.9884958332</v>
          </cell>
          <cell r="S12">
            <v>72876.47</v>
          </cell>
          <cell r="T12">
            <v>46408.521350185765</v>
          </cell>
          <cell r="U12">
            <v>26467.948649814236</v>
          </cell>
          <cell r="V12">
            <v>4244303.0398460189</v>
          </cell>
        </row>
        <row r="13">
          <cell r="A13">
            <v>36465</v>
          </cell>
          <cell r="B13">
            <v>10946040.84786508</v>
          </cell>
          <cell r="C13">
            <v>187948.13</v>
          </cell>
          <cell r="D13">
            <v>118951.85483823851</v>
          </cell>
          <cell r="E13">
            <v>68996.275161761499</v>
          </cell>
          <cell r="F13">
            <v>10877044.572703319</v>
          </cell>
          <cell r="G13">
            <v>36465</v>
          </cell>
          <cell r="H13">
            <v>6446470.9120657789</v>
          </cell>
          <cell r="I13">
            <v>110688.62</v>
          </cell>
          <cell r="J13">
            <v>70054.523167246341</v>
          </cell>
          <cell r="K13">
            <v>40634.096832753654</v>
          </cell>
          <cell r="L13">
            <v>6405836.8152330248</v>
          </cell>
          <cell r="M13">
            <v>255266.89595328242</v>
          </cell>
          <cell r="N13">
            <v>4383.04</v>
          </cell>
          <cell r="O13">
            <v>2774.0140174737985</v>
          </cell>
          <cell r="P13">
            <v>1609.0259825262015</v>
          </cell>
          <cell r="Q13">
            <v>253657.86997075623</v>
          </cell>
          <cell r="R13">
            <v>4244303.0398460189</v>
          </cell>
          <cell r="S13">
            <v>72876.47</v>
          </cell>
          <cell r="T13">
            <v>46123.317653518367</v>
          </cell>
          <cell r="U13">
            <v>26753.152346481635</v>
          </cell>
          <cell r="V13">
            <v>4217549.8874995373</v>
          </cell>
        </row>
        <row r="14">
          <cell r="A14">
            <v>36495</v>
          </cell>
          <cell r="B14">
            <v>10877044.572703319</v>
          </cell>
          <cell r="C14">
            <v>187948.13</v>
          </cell>
          <cell r="D14">
            <v>118208.37936141215</v>
          </cell>
          <cell r="E14">
            <v>69739.750638587837</v>
          </cell>
          <cell r="F14">
            <v>10807304.822064731</v>
          </cell>
          <cell r="G14">
            <v>36495</v>
          </cell>
          <cell r="H14">
            <v>6405836.8152330248</v>
          </cell>
          <cell r="I14">
            <v>110688.62</v>
          </cell>
          <cell r="J14">
            <v>69616.66685620186</v>
          </cell>
          <cell r="K14">
            <v>41071.953143798135</v>
          </cell>
          <cell r="L14">
            <v>6364764.862089227</v>
          </cell>
          <cell r="M14">
            <v>253657.86997075623</v>
          </cell>
          <cell r="N14">
            <v>4383.04</v>
          </cell>
          <cell r="O14">
            <v>2756.675815421876</v>
          </cell>
          <cell r="P14">
            <v>1626.364184578124</v>
          </cell>
          <cell r="Q14">
            <v>252031.50578617811</v>
          </cell>
          <cell r="R14">
            <v>4217549.8874995373</v>
          </cell>
          <cell r="S14">
            <v>72876.47</v>
          </cell>
          <cell r="T14">
            <v>45835.036689788423</v>
          </cell>
          <cell r="U14">
            <v>27041.433310211578</v>
          </cell>
          <cell r="V14">
            <v>4190508.4541893257</v>
          </cell>
        </row>
        <row r="15">
          <cell r="A15">
            <v>36526</v>
          </cell>
          <cell r="B15">
            <v>10807304.822064731</v>
          </cell>
          <cell r="C15">
            <v>187948.13</v>
          </cell>
          <cell r="D15">
            <v>117456.89255499361</v>
          </cell>
          <cell r="E15">
            <v>70491.237445006394</v>
          </cell>
          <cell r="F15">
            <v>10736813.584619723</v>
          </cell>
          <cell r="G15">
            <v>36526</v>
          </cell>
          <cell r="H15">
            <v>6364764.862089227</v>
          </cell>
          <cell r="I15">
            <v>110688.62</v>
          </cell>
          <cell r="J15">
            <v>69174.092418828863</v>
          </cell>
          <cell r="K15">
            <v>41514.527581171133</v>
          </cell>
          <cell r="L15">
            <v>6323250.3345080558</v>
          </cell>
          <cell r="M15">
            <v>252031.50578617811</v>
          </cell>
          <cell r="N15">
            <v>4383.04</v>
          </cell>
          <cell r="O15">
            <v>2739.1507853500611</v>
          </cell>
          <cell r="P15">
            <v>1643.8892146499388</v>
          </cell>
          <cell r="Q15">
            <v>250387.61657152817</v>
          </cell>
          <cell r="R15">
            <v>4190508.4541893257</v>
          </cell>
          <cell r="S15">
            <v>72876.47</v>
          </cell>
          <cell r="T15">
            <v>45543.649350814681</v>
          </cell>
          <cell r="U15">
            <v>27332.82064918532</v>
          </cell>
          <cell r="V15">
            <v>4163175.6335401405</v>
          </cell>
        </row>
        <row r="16">
          <cell r="A16">
            <v>36557</v>
          </cell>
          <cell r="B16">
            <v>10736813.584619723</v>
          </cell>
          <cell r="C16">
            <v>187948.13</v>
          </cell>
          <cell r="D16">
            <v>116697.30803620745</v>
          </cell>
          <cell r="E16">
            <v>71250.821963792536</v>
          </cell>
          <cell r="F16">
            <v>10665562.762655932</v>
          </cell>
          <cell r="G16">
            <v>36557</v>
          </cell>
          <cell r="H16">
            <v>6323250.3345080558</v>
          </cell>
          <cell r="I16">
            <v>110688.62</v>
          </cell>
          <cell r="J16">
            <v>68726.748981568613</v>
          </cell>
          <cell r="K16">
            <v>41961.871018431382</v>
          </cell>
          <cell r="L16">
            <v>6281288.4634896247</v>
          </cell>
          <cell r="M16">
            <v>250387.61657152817</v>
          </cell>
          <cell r="N16">
            <v>4383.04</v>
          </cell>
          <cell r="O16">
            <v>2721.4369127709092</v>
          </cell>
          <cell r="P16">
            <v>1661.6030872290908</v>
          </cell>
          <cell r="Q16">
            <v>248726.01348429907</v>
          </cell>
          <cell r="R16">
            <v>4163175.6335401405</v>
          </cell>
          <cell r="S16">
            <v>72876.47</v>
          </cell>
          <cell r="T16">
            <v>45249.122141867942</v>
          </cell>
          <cell r="U16">
            <v>27627.34785813206</v>
          </cell>
          <cell r="V16">
            <v>4135548.2856820086</v>
          </cell>
        </row>
        <row r="17">
          <cell r="A17">
            <v>36586</v>
          </cell>
          <cell r="B17">
            <v>10665562.762655932</v>
          </cell>
          <cell r="C17">
            <v>187948.13</v>
          </cell>
          <cell r="D17">
            <v>115929.53854774314</v>
          </cell>
          <cell r="E17">
            <v>72018.591452256864</v>
          </cell>
          <cell r="F17">
            <v>10593544.171203675</v>
          </cell>
          <cell r="G17">
            <v>36586</v>
          </cell>
          <cell r="H17">
            <v>6281288.4634896247</v>
          </cell>
          <cell r="I17">
            <v>110688.62</v>
          </cell>
          <cell r="J17">
            <v>68274.585155820765</v>
          </cell>
          <cell r="K17">
            <v>42414.03484417923</v>
          </cell>
          <cell r="L17">
            <v>6238874.428645445</v>
          </cell>
          <cell r="M17">
            <v>248726.01348429907</v>
          </cell>
          <cell r="N17">
            <v>4383.04</v>
          </cell>
          <cell r="O17">
            <v>2703.5321628023976</v>
          </cell>
          <cell r="P17">
            <v>1679.5078371976024</v>
          </cell>
          <cell r="Q17">
            <v>247046.50564710147</v>
          </cell>
          <cell r="R17">
            <v>4135548.2856820086</v>
          </cell>
          <cell r="S17">
            <v>72876.47</v>
          </cell>
          <cell r="T17">
            <v>44951.421229119973</v>
          </cell>
          <cell r="U17">
            <v>27925.048770880028</v>
          </cell>
          <cell r="V17">
            <v>4107623.2369111287</v>
          </cell>
        </row>
        <row r="18">
          <cell r="A18">
            <v>36617</v>
          </cell>
          <cell r="B18">
            <v>10593544.171203675</v>
          </cell>
          <cell r="C18">
            <v>187948.13</v>
          </cell>
          <cell r="D18">
            <v>115153.49589173953</v>
          </cell>
          <cell r="E18">
            <v>72794.634108260463</v>
          </cell>
          <cell r="F18">
            <v>10520749.537095414</v>
          </cell>
          <cell r="G18">
            <v>36617</v>
          </cell>
          <cell r="H18">
            <v>6238874.428645445</v>
          </cell>
          <cell r="I18">
            <v>110688.62</v>
          </cell>
          <cell r="J18">
            <v>67817.548999064951</v>
          </cell>
          <cell r="K18">
            <v>42871.071000935044</v>
          </cell>
          <cell r="L18">
            <v>6196003.3576445095</v>
          </cell>
          <cell r="M18">
            <v>247046.50564710147</v>
          </cell>
          <cell r="N18">
            <v>4383.04</v>
          </cell>
          <cell r="O18">
            <v>2685.4344786284196</v>
          </cell>
          <cell r="P18">
            <v>1697.6055213715804</v>
          </cell>
          <cell r="Q18">
            <v>245348.90012572988</v>
          </cell>
          <cell r="R18">
            <v>4107623.2369111287</v>
          </cell>
          <cell r="S18">
            <v>72876.47</v>
          </cell>
          <cell r="T18">
            <v>44650.512414046163</v>
          </cell>
          <cell r="U18">
            <v>28225.957585953838</v>
          </cell>
          <cell r="V18">
            <v>4079397.2793251751</v>
          </cell>
        </row>
        <row r="19">
          <cell r="A19">
            <v>36647</v>
          </cell>
          <cell r="B19">
            <v>10520749.537095414</v>
          </cell>
          <cell r="C19">
            <v>187948.13</v>
          </cell>
          <cell r="D19">
            <v>114369.09091995339</v>
          </cell>
          <cell r="E19">
            <v>73579.039080046583</v>
          </cell>
          <cell r="F19">
            <v>10447170.498015368</v>
          </cell>
          <cell r="G19">
            <v>36647</v>
          </cell>
          <cell r="H19">
            <v>6196003.3576445095</v>
          </cell>
          <cell r="I19">
            <v>110688.62</v>
          </cell>
          <cell r="J19">
            <v>67355.58800907059</v>
          </cell>
          <cell r="K19">
            <v>43333.031990929405</v>
          </cell>
          <cell r="L19">
            <v>6152670.32565358</v>
          </cell>
          <cell r="M19">
            <v>245348.90012572988</v>
          </cell>
          <cell r="N19">
            <v>4383.04</v>
          </cell>
          <cell r="O19">
            <v>2667.1417812695031</v>
          </cell>
          <cell r="P19">
            <v>1715.8982187304969</v>
          </cell>
          <cell r="Q19">
            <v>243633.00190699939</v>
          </cell>
          <cell r="R19">
            <v>4079397.2793251751</v>
          </cell>
          <cell r="S19">
            <v>72876.47</v>
          </cell>
          <cell r="T19">
            <v>44346.361129613309</v>
          </cell>
          <cell r="U19">
            <v>28530.108870386692</v>
          </cell>
          <cell r="V19">
            <v>4050867.1704547885</v>
          </cell>
        </row>
        <row r="20">
          <cell r="A20">
            <v>36678</v>
          </cell>
          <cell r="B20">
            <v>10447170.498015368</v>
          </cell>
          <cell r="C20">
            <v>187948.13</v>
          </cell>
          <cell r="D20">
            <v>113576.23352351674</v>
          </cell>
          <cell r="E20">
            <v>74371.896476483264</v>
          </cell>
          <cell r="F20">
            <v>10372798.601538885</v>
          </cell>
          <cell r="G20">
            <v>36678</v>
          </cell>
          <cell r="H20">
            <v>6152670.32565358</v>
          </cell>
          <cell r="I20">
            <v>110688.62</v>
          </cell>
          <cell r="J20">
            <v>66888.649117864654</v>
          </cell>
          <cell r="K20">
            <v>43799.970882135342</v>
          </cell>
          <cell r="L20">
            <v>6108870.3547714446</v>
          </cell>
          <cell r="M20">
            <v>243633.00190699939</v>
          </cell>
          <cell r="N20">
            <v>4383.04</v>
          </cell>
          <cell r="O20">
            <v>2648.65196934395</v>
          </cell>
          <cell r="P20">
            <v>1734.38803065605</v>
          </cell>
          <cell r="Q20">
            <v>241898.61387634333</v>
          </cell>
          <cell r="R20">
            <v>4050867.1704547885</v>
          </cell>
          <cell r="S20">
            <v>72876.47</v>
          </cell>
          <cell r="T20">
            <v>44038.932436308132</v>
          </cell>
          <cell r="U20">
            <v>28837.537563691869</v>
          </cell>
          <cell r="V20">
            <v>4022029.6328910966</v>
          </cell>
        </row>
        <row r="21">
          <cell r="A21">
            <v>36708</v>
          </cell>
          <cell r="B21">
            <v>10372798.601538885</v>
          </cell>
          <cell r="C21">
            <v>187948.13</v>
          </cell>
          <cell r="D21">
            <v>112774.83262258554</v>
          </cell>
          <cell r="E21">
            <v>75173.297377414448</v>
          </cell>
          <cell r="F21">
            <v>10297625.30416147</v>
          </cell>
          <cell r="G21">
            <v>183</v>
          </cell>
          <cell r="H21">
            <v>6108870.3547714446</v>
          </cell>
          <cell r="I21">
            <v>110688.62</v>
          </cell>
          <cell r="J21">
            <v>66416.678685635561</v>
          </cell>
          <cell r="K21">
            <v>44271.941314364434</v>
          </cell>
          <cell r="L21">
            <v>6064598.4134570798</v>
          </cell>
          <cell r="M21">
            <v>241898.61387634333</v>
          </cell>
          <cell r="N21">
            <v>4383.04</v>
          </cell>
          <cell r="O21">
            <v>2629.9629188264398</v>
          </cell>
          <cell r="P21">
            <v>1753.0770811735601</v>
          </cell>
          <cell r="Q21">
            <v>240145.53679516976</v>
          </cell>
          <cell r="R21">
            <v>4022029.6328910966</v>
          </cell>
          <cell r="S21">
            <v>72876.47</v>
          </cell>
          <cell r="T21">
            <v>43728.191018123543</v>
          </cell>
          <cell r="U21">
            <v>29148.278981876458</v>
          </cell>
          <cell r="V21">
            <v>3992881.3539092201</v>
          </cell>
        </row>
        <row r="22">
          <cell r="A22">
            <v>36739</v>
          </cell>
          <cell r="B22">
            <v>10297625.30416147</v>
          </cell>
          <cell r="C22">
            <v>187948.13</v>
          </cell>
          <cell r="D22">
            <v>111964.79615587692</v>
          </cell>
          <cell r="E22">
            <v>75983.333844123074</v>
          </cell>
          <cell r="F22">
            <v>10221641.970317345</v>
          </cell>
          <cell r="G22">
            <v>214</v>
          </cell>
          <cell r="H22">
            <v>6064598.4134570798</v>
          </cell>
          <cell r="I22">
            <v>110688.62</v>
          </cell>
          <cell r="J22">
            <v>65939.622494571173</v>
          </cell>
          <cell r="K22">
            <v>44748.997505428822</v>
          </cell>
          <cell r="L22">
            <v>6019849.4159516506</v>
          </cell>
          <cell r="M22">
            <v>240145.53679516976</v>
          </cell>
          <cell r="N22">
            <v>4383.04</v>
          </cell>
          <cell r="O22">
            <v>2611.0724828040293</v>
          </cell>
          <cell r="P22">
            <v>1771.9675171959707</v>
          </cell>
          <cell r="Q22">
            <v>238373.56927797379</v>
          </cell>
          <cell r="R22">
            <v>3992881.3539092201</v>
          </cell>
          <cell r="S22">
            <v>72876.47</v>
          </cell>
          <cell r="T22">
            <v>43414.101178501718</v>
          </cell>
          <cell r="U22">
            <v>29462.368821498283</v>
          </cell>
          <cell r="V22">
            <v>3963418.9850877216</v>
          </cell>
        </row>
        <row r="23">
          <cell r="A23">
            <v>36770</v>
          </cell>
          <cell r="B23">
            <v>10221641.970317345</v>
          </cell>
          <cell r="C23">
            <v>187948.13</v>
          </cell>
          <cell r="D23">
            <v>111146.0310700936</v>
          </cell>
          <cell r="E23">
            <v>76802.098929906409</v>
          </cell>
          <cell r="F23">
            <v>10144839.871387441</v>
          </cell>
          <cell r="G23">
            <v>245</v>
          </cell>
          <cell r="H23">
            <v>6019849.4159516506</v>
          </cell>
          <cell r="I23">
            <v>110688.62</v>
          </cell>
          <cell r="J23">
            <v>65457.425742630629</v>
          </cell>
          <cell r="K23">
            <v>45231.194257369367</v>
          </cell>
          <cell r="L23">
            <v>5974618.2216942813</v>
          </cell>
          <cell r="M23">
            <v>238373.56927797379</v>
          </cell>
          <cell r="N23">
            <v>4383.04</v>
          </cell>
          <cell r="O23">
            <v>2591.9784912295277</v>
          </cell>
          <cell r="P23">
            <v>1791.0615087704723</v>
          </cell>
          <cell r="Q23">
            <v>236582.50776920331</v>
          </cell>
          <cell r="R23">
            <v>3963418.9850877216</v>
          </cell>
          <cell r="S23">
            <v>72876.47</v>
          </cell>
          <cell r="T23">
            <v>43096.62683623343</v>
          </cell>
          <cell r="U23">
            <v>29779.843163766571</v>
          </cell>
          <cell r="V23">
            <v>3933639.1419239552</v>
          </cell>
        </row>
        <row r="24">
          <cell r="A24">
            <v>36800</v>
          </cell>
          <cell r="B24">
            <v>10144839.871387441</v>
          </cell>
          <cell r="C24">
            <v>187948.13</v>
          </cell>
          <cell r="D24">
            <v>110318.44330923427</v>
          </cell>
          <cell r="E24">
            <v>77629.686690765724</v>
          </cell>
          <cell r="F24">
            <v>10067210.184696674</v>
          </cell>
          <cell r="G24">
            <v>275</v>
          </cell>
          <cell r="H24">
            <v>5974618.2216942813</v>
          </cell>
          <cell r="I24">
            <v>110688.62</v>
          </cell>
          <cell r="J24">
            <v>64970.033037248802</v>
          </cell>
          <cell r="K24">
            <v>45718.586962751193</v>
          </cell>
          <cell r="L24">
            <v>5928899.6347315302</v>
          </cell>
          <cell r="M24">
            <v>236582.50776920331</v>
          </cell>
          <cell r="N24">
            <v>4383.04</v>
          </cell>
          <cell r="O24">
            <v>2572.6787506722094</v>
          </cell>
          <cell r="P24">
            <v>1810.3612493277906</v>
          </cell>
          <cell r="Q24">
            <v>234772.1465198755</v>
          </cell>
          <cell r="R24">
            <v>3933639.1419239552</v>
          </cell>
          <cell r="S24">
            <v>72876.47</v>
          </cell>
          <cell r="T24">
            <v>42775.731521313253</v>
          </cell>
          <cell r="U24">
            <v>30100.738478686748</v>
          </cell>
          <cell r="V24">
            <v>3903538.4034452685</v>
          </cell>
        </row>
        <row r="25">
          <cell r="A25">
            <v>36831</v>
          </cell>
          <cell r="B25">
            <v>10067210.184696674</v>
          </cell>
          <cell r="C25">
            <v>187948.13</v>
          </cell>
          <cell r="D25">
            <v>109481.93780378895</v>
          </cell>
          <cell r="E25">
            <v>78466.19219621105</v>
          </cell>
          <cell r="F25">
            <v>9988743.9925004635</v>
          </cell>
          <cell r="G25">
            <v>306</v>
          </cell>
          <cell r="H25">
            <v>5928899.6347315302</v>
          </cell>
          <cell r="I25">
            <v>110688.62</v>
          </cell>
          <cell r="J25">
            <v>64477.388388973144</v>
          </cell>
          <cell r="K25">
            <v>46211.231611026851</v>
          </cell>
          <cell r="L25">
            <v>5882688.4031205038</v>
          </cell>
          <cell r="M25">
            <v>234772.1465198755</v>
          </cell>
          <cell r="N25">
            <v>4383.04</v>
          </cell>
          <cell r="O25">
            <v>2553.1710440658435</v>
          </cell>
          <cell r="P25">
            <v>1829.8689559341565</v>
          </cell>
          <cell r="Q25">
            <v>232942.27756394134</v>
          </cell>
          <cell r="R25">
            <v>3903538.4034452685</v>
          </cell>
          <cell r="S25">
            <v>72876.47</v>
          </cell>
          <cell r="T25">
            <v>42451.378370749961</v>
          </cell>
          <cell r="U25">
            <v>30425.091629250041</v>
          </cell>
          <cell r="V25">
            <v>3873113.3118160185</v>
          </cell>
        </row>
        <row r="26">
          <cell r="A26">
            <v>36861</v>
          </cell>
          <cell r="B26">
            <v>9988743.9925004635</v>
          </cell>
          <cell r="C26">
            <v>187948.13</v>
          </cell>
          <cell r="D26">
            <v>108636.41845981784</v>
          </cell>
          <cell r="E26">
            <v>79311.711540182165</v>
          </cell>
          <cell r="F26">
            <v>9909432.2809602823</v>
          </cell>
          <cell r="G26">
            <v>336</v>
          </cell>
          <cell r="H26">
            <v>5882688.4031205038</v>
          </cell>
          <cell r="I26">
            <v>110688.62</v>
          </cell>
          <cell r="J26">
            <v>63979.435205031856</v>
          </cell>
          <cell r="K26">
            <v>46709.18479496814</v>
          </cell>
          <cell r="L26">
            <v>5835979.2183255358</v>
          </cell>
          <cell r="M26">
            <v>232942.27756394134</v>
          </cell>
          <cell r="N26">
            <v>4383.04</v>
          </cell>
          <cell r="O26">
            <v>2533.4531304540078</v>
          </cell>
          <cell r="P26">
            <v>1849.5868695459922</v>
          </cell>
          <cell r="Q26">
            <v>231092.69069439537</v>
          </cell>
          <cell r="R26">
            <v>3873113.3118160185</v>
          </cell>
          <cell r="S26">
            <v>72876.47</v>
          </cell>
          <cell r="T26">
            <v>42123.53012433197</v>
          </cell>
          <cell r="U26">
            <v>30752.939875668031</v>
          </cell>
          <cell r="V26">
            <v>3842360.3719403506</v>
          </cell>
        </row>
        <row r="27">
          <cell r="A27">
            <v>36892</v>
          </cell>
          <cell r="B27">
            <v>9909432.2809602823</v>
          </cell>
          <cell r="C27">
            <v>187948.13</v>
          </cell>
          <cell r="D27">
            <v>107781.78814791236</v>
          </cell>
          <cell r="E27">
            <v>80166.341852087615</v>
          </cell>
          <cell r="F27">
            <v>9829265.9391081948</v>
          </cell>
          <cell r="G27">
            <v>36892</v>
          </cell>
          <cell r="H27">
            <v>5835979.2183255358</v>
          </cell>
          <cell r="I27">
            <v>110688.62</v>
          </cell>
          <cell r="J27">
            <v>63476.116282832714</v>
          </cell>
          <cell r="K27">
            <v>47212.503717167281</v>
          </cell>
          <cell r="L27">
            <v>5788766.7146083685</v>
          </cell>
          <cell r="M27">
            <v>231092.69069439537</v>
          </cell>
          <cell r="N27">
            <v>4383.04</v>
          </cell>
          <cell r="O27">
            <v>2513.5227447326574</v>
          </cell>
          <cell r="P27">
            <v>1869.5172552673425</v>
          </cell>
          <cell r="Q27">
            <v>229223.17343912803</v>
          </cell>
          <cell r="R27">
            <v>3842360.3719403506</v>
          </cell>
          <cell r="S27">
            <v>72876.47</v>
          </cell>
          <cell r="T27">
            <v>41792.149120347</v>
          </cell>
          <cell r="U27">
            <v>31084.320879653002</v>
          </cell>
          <cell r="V27">
            <v>3811276.0510606975</v>
          </cell>
        </row>
        <row r="28">
          <cell r="A28">
            <v>36923</v>
          </cell>
          <cell r="B28">
            <v>9829265.9391081948</v>
          </cell>
          <cell r="C28">
            <v>187948.13</v>
          </cell>
          <cell r="D28">
            <v>106917.94869203758</v>
          </cell>
          <cell r="E28">
            <v>81030.181307962426</v>
          </cell>
          <cell r="F28">
            <v>9748235.7578002326</v>
          </cell>
          <cell r="G28">
            <v>36923</v>
          </cell>
          <cell r="H28">
            <v>5788766.7146083685</v>
          </cell>
          <cell r="I28">
            <v>110688.62</v>
          </cell>
          <cell r="J28">
            <v>62967.37380339198</v>
          </cell>
          <cell r="K28">
            <v>47721.246196608015</v>
          </cell>
          <cell r="L28">
            <v>5741045.4684117604</v>
          </cell>
          <cell r="M28">
            <v>229223.17343912803</v>
          </cell>
          <cell r="N28">
            <v>4383.04</v>
          </cell>
          <cell r="O28">
            <v>2493.3775973899187</v>
          </cell>
          <cell r="P28">
            <v>1889.6624026100812</v>
          </cell>
          <cell r="Q28">
            <v>227333.51103651794</v>
          </cell>
          <cell r="R28">
            <v>3811276.0510606975</v>
          </cell>
          <cell r="S28">
            <v>72876.47</v>
          </cell>
          <cell r="T28">
            <v>41457.197291255681</v>
          </cell>
          <cell r="U28">
            <v>31419.27270874432</v>
          </cell>
          <cell r="V28">
            <v>3779856.7783519533</v>
          </cell>
        </row>
        <row r="29">
          <cell r="A29">
            <v>36951</v>
          </cell>
          <cell r="B29">
            <v>9748235.7578002326</v>
          </cell>
          <cell r="C29">
            <v>187948.13</v>
          </cell>
          <cell r="D29">
            <v>106044.80085825398</v>
          </cell>
          <cell r="E29">
            <v>81903.329141746013</v>
          </cell>
          <cell r="F29">
            <v>9666332.4286584854</v>
          </cell>
          <cell r="G29">
            <v>36951</v>
          </cell>
          <cell r="H29">
            <v>5741045.4684117604</v>
          </cell>
          <cell r="I29">
            <v>110688.62</v>
          </cell>
          <cell r="J29">
            <v>62453.149324692371</v>
          </cell>
          <cell r="K29">
            <v>48235.470675307624</v>
          </cell>
          <cell r="L29">
            <v>5692809.9977364531</v>
          </cell>
          <cell r="M29">
            <v>227333.51103651794</v>
          </cell>
          <cell r="N29">
            <v>4383.04</v>
          </cell>
          <cell r="O29">
            <v>2473.0153742430825</v>
          </cell>
          <cell r="P29">
            <v>1910.0246257569174</v>
          </cell>
          <cell r="Q29">
            <v>225423.48641076102</v>
          </cell>
          <cell r="R29">
            <v>3779856.7783519533</v>
          </cell>
          <cell r="S29">
            <v>72876.47</v>
          </cell>
          <cell r="T29">
            <v>41118.636159318521</v>
          </cell>
          <cell r="U29">
            <v>31757.83384068148</v>
          </cell>
          <cell r="V29">
            <v>3748098.9445112715</v>
          </cell>
        </row>
        <row r="30">
          <cell r="A30">
            <v>36982</v>
          </cell>
          <cell r="B30">
            <v>9666332.4286584854</v>
          </cell>
          <cell r="C30">
            <v>187948.13</v>
          </cell>
          <cell r="D30">
            <v>105162.24434331805</v>
          </cell>
          <cell r="E30">
            <v>82785.885656681945</v>
          </cell>
          <cell r="F30">
            <v>9583546.5430018045</v>
          </cell>
          <cell r="G30">
            <v>36982</v>
          </cell>
          <cell r="H30">
            <v>5692809.9977364531</v>
          </cell>
          <cell r="I30">
            <v>110688.62</v>
          </cell>
          <cell r="J30">
            <v>61933.383774969487</v>
          </cell>
          <cell r="K30">
            <v>48755.236225030509</v>
          </cell>
          <cell r="L30">
            <v>5644054.7615114227</v>
          </cell>
          <cell r="M30">
            <v>225423.48641076102</v>
          </cell>
          <cell r="N30">
            <v>4383.04</v>
          </cell>
          <cell r="O30">
            <v>2452.4337361727607</v>
          </cell>
          <cell r="P30">
            <v>1930.6062638272392</v>
          </cell>
          <cell r="Q30">
            <v>223492.88014693378</v>
          </cell>
          <cell r="R30">
            <v>3748098.9445112715</v>
          </cell>
          <cell r="S30">
            <v>72876.47</v>
          </cell>
          <cell r="T30">
            <v>40776.426832175806</v>
          </cell>
          <cell r="U30">
            <v>32100.043167824195</v>
          </cell>
          <cell r="V30">
            <v>3715998.9013434472</v>
          </cell>
        </row>
        <row r="31">
          <cell r="A31">
            <v>37012</v>
          </cell>
          <cell r="B31">
            <v>9583546.5430018045</v>
          </cell>
          <cell r="C31">
            <v>187948.13</v>
          </cell>
          <cell r="D31">
            <v>104270.17776315991</v>
          </cell>
          <cell r="E31">
            <v>83677.952236840094</v>
          </cell>
          <cell r="F31">
            <v>9499868.590764964</v>
          </cell>
          <cell r="G31">
            <v>37012</v>
          </cell>
          <cell r="H31">
            <v>5644054.7615114227</v>
          </cell>
          <cell r="I31">
            <v>110688.62</v>
          </cell>
          <cell r="J31">
            <v>61408.017445926002</v>
          </cell>
          <cell r="K31">
            <v>49280.602554073994</v>
          </cell>
          <cell r="L31">
            <v>5594774.1589573491</v>
          </cell>
          <cell r="M31">
            <v>223492.88014693378</v>
          </cell>
          <cell r="N31">
            <v>4383.04</v>
          </cell>
          <cell r="O31">
            <v>2431.6303188541801</v>
          </cell>
          <cell r="P31">
            <v>1951.4096811458198</v>
          </cell>
          <cell r="Q31">
            <v>221541.47046578795</v>
          </cell>
          <cell r="R31">
            <v>3715998.9013434472</v>
          </cell>
          <cell r="S31">
            <v>72876.47</v>
          </cell>
          <cell r="T31">
            <v>40430.529998379723</v>
          </cell>
          <cell r="U31">
            <v>32445.940001620278</v>
          </cell>
          <cell r="V31">
            <v>3683552.9613418267</v>
          </cell>
        </row>
        <row r="32">
          <cell r="A32">
            <v>37043</v>
          </cell>
          <cell r="B32">
            <v>9499868.590764964</v>
          </cell>
          <cell r="C32">
            <v>187948.13</v>
          </cell>
          <cell r="D32">
            <v>103368.49864123666</v>
          </cell>
          <cell r="E32">
            <v>84579.631358763334</v>
          </cell>
          <cell r="F32">
            <v>9415288.9594062008</v>
          </cell>
          <cell r="G32">
            <v>37043</v>
          </cell>
          <cell r="H32">
            <v>5594774.1589573491</v>
          </cell>
          <cell r="I32">
            <v>110688.62</v>
          </cell>
          <cell r="J32">
            <v>60876.989985872518</v>
          </cell>
          <cell r="K32">
            <v>49811.630014127477</v>
          </cell>
          <cell r="L32">
            <v>5544962.528943222</v>
          </cell>
          <cell r="M32">
            <v>221541.47046578795</v>
          </cell>
          <cell r="N32">
            <v>4383.04</v>
          </cell>
          <cell r="O32">
            <v>2410.6027324855763</v>
          </cell>
          <cell r="P32">
            <v>1972.4372675144236</v>
          </cell>
          <cell r="Q32">
            <v>219569.03319827354</v>
          </cell>
          <cell r="R32">
            <v>3683552.9613418267</v>
          </cell>
          <cell r="S32">
            <v>72876.47</v>
          </cell>
          <cell r="T32">
            <v>40080.90592287857</v>
          </cell>
          <cell r="U32">
            <v>32795.564077121431</v>
          </cell>
          <cell r="V32">
            <v>3650757.3972647055</v>
          </cell>
        </row>
        <row r="33">
          <cell r="A33">
            <v>37073</v>
          </cell>
          <cell r="B33">
            <v>9415288.9594062008</v>
          </cell>
          <cell r="C33">
            <v>187948.13</v>
          </cell>
          <cell r="D33">
            <v>102457.10339676047</v>
          </cell>
          <cell r="E33">
            <v>85491.02660323953</v>
          </cell>
          <cell r="F33">
            <v>9329797.9328029603</v>
          </cell>
          <cell r="G33">
            <v>548</v>
          </cell>
          <cell r="H33">
            <v>5544962.528943222</v>
          </cell>
          <cell r="I33">
            <v>110688.62</v>
          </cell>
          <cell r="J33">
            <v>60340.24039279476</v>
          </cell>
          <cell r="K33">
            <v>50348.379607205236</v>
          </cell>
          <cell r="L33">
            <v>5494614.1493360167</v>
          </cell>
          <cell r="M33">
            <v>219569.03319827354</v>
          </cell>
          <cell r="N33">
            <v>4383.04</v>
          </cell>
          <cell r="O33">
            <v>2389.3485615136665</v>
          </cell>
          <cell r="P33">
            <v>1993.6914384863335</v>
          </cell>
          <cell r="Q33">
            <v>217575.3417597872</v>
          </cell>
          <cell r="R33">
            <v>3650757.3972647055</v>
          </cell>
          <cell r="S33">
            <v>72876.47</v>
          </cell>
          <cell r="T33">
            <v>39727.514442452048</v>
          </cell>
          <cell r="U33">
            <v>33148.955557547954</v>
          </cell>
          <cell r="V33">
            <v>3617608.4417071575</v>
          </cell>
        </row>
        <row r="34">
          <cell r="A34">
            <v>37104</v>
          </cell>
          <cell r="B34">
            <v>9329797.9328029603</v>
          </cell>
          <cell r="C34">
            <v>187948.13</v>
          </cell>
          <cell r="D34">
            <v>101535.88733279964</v>
          </cell>
          <cell r="E34">
            <v>86412.242667200364</v>
          </cell>
          <cell r="F34">
            <v>9243385.6901357621</v>
          </cell>
          <cell r="G34">
            <v>579</v>
          </cell>
          <cell r="H34">
            <v>5494614.1493360167</v>
          </cell>
          <cell r="I34">
            <v>110688.62</v>
          </cell>
          <cell r="J34">
            <v>59797.707007345882</v>
          </cell>
          <cell r="K34">
            <v>50890.912992654114</v>
          </cell>
          <cell r="L34">
            <v>5443723.2363433624</v>
          </cell>
          <cell r="M34">
            <v>217575.3417597872</v>
          </cell>
          <cell r="N34">
            <v>4383.04</v>
          </cell>
          <cell r="O34">
            <v>2367.8653643561624</v>
          </cell>
          <cell r="P34">
            <v>2015.1746356438375</v>
          </cell>
          <cell r="Q34">
            <v>215560.16712414337</v>
          </cell>
          <cell r="R34">
            <v>3617608.4417071575</v>
          </cell>
          <cell r="S34">
            <v>72876.47</v>
          </cell>
          <cell r="T34">
            <v>39370.314961097589</v>
          </cell>
          <cell r="U34">
            <v>33506.155038902412</v>
          </cell>
          <cell r="V34">
            <v>3584102.286668255</v>
          </cell>
        </row>
        <row r="35">
          <cell r="A35">
            <v>37135</v>
          </cell>
          <cell r="B35">
            <v>9243385.6901357621</v>
          </cell>
          <cell r="C35">
            <v>187948.13</v>
          </cell>
          <cell r="D35">
            <v>100604.74462425141</v>
          </cell>
          <cell r="E35">
            <v>87343.385375748578</v>
          </cell>
          <cell r="F35">
            <v>9156042.3047600128</v>
          </cell>
          <cell r="G35">
            <v>610</v>
          </cell>
          <cell r="H35">
            <v>5443723.2363433624</v>
          </cell>
          <cell r="I35">
            <v>110688.62</v>
          </cell>
          <cell r="J35">
            <v>59249.327505763307</v>
          </cell>
          <cell r="K35">
            <v>51439.292494236688</v>
          </cell>
          <cell r="L35">
            <v>5392283.9438491259</v>
          </cell>
          <cell r="M35">
            <v>215560.16712414337</v>
          </cell>
          <cell r="N35">
            <v>4383.04</v>
          </cell>
          <cell r="O35">
            <v>2346.1506731212908</v>
          </cell>
          <cell r="P35">
            <v>2036.8893268787092</v>
          </cell>
          <cell r="Q35">
            <v>213523.27779726466</v>
          </cell>
          <cell r="R35">
            <v>3584102.286668255</v>
          </cell>
          <cell r="S35">
            <v>72876.47</v>
          </cell>
          <cell r="T35">
            <v>39009.266445366819</v>
          </cell>
          <cell r="U35">
            <v>33867.203554633183</v>
          </cell>
          <cell r="V35">
            <v>3550235.0831136219</v>
          </cell>
        </row>
        <row r="36">
          <cell r="A36">
            <v>37165</v>
          </cell>
          <cell r="B36">
            <v>9156042.3047600128</v>
          </cell>
          <cell r="C36">
            <v>187948.13</v>
          </cell>
          <cell r="D36">
            <v>99663.568305685447</v>
          </cell>
          <cell r="E36">
            <v>88284.561694314558</v>
          </cell>
          <cell r="F36">
            <v>9067757.7430656981</v>
          </cell>
          <cell r="G36">
            <v>640</v>
          </cell>
          <cell r="H36">
            <v>5392283.9438491259</v>
          </cell>
          <cell r="I36">
            <v>110688.62</v>
          </cell>
          <cell r="J36">
            <v>58695.038892709315</v>
          </cell>
          <cell r="K36">
            <v>51993.58110729068</v>
          </cell>
          <cell r="L36">
            <v>5340290.3627418354</v>
          </cell>
          <cell r="M36">
            <v>213523.27779726466</v>
          </cell>
          <cell r="N36">
            <v>4383.04</v>
          </cell>
          <cell r="O36">
            <v>2324.2019933242937</v>
          </cell>
          <cell r="P36">
            <v>2058.8380066757063</v>
          </cell>
          <cell r="Q36">
            <v>211464.43979058895</v>
          </cell>
          <cell r="R36">
            <v>3550235.0831136219</v>
          </cell>
          <cell r="S36">
            <v>72876.47</v>
          </cell>
          <cell r="T36">
            <v>38644.327419651832</v>
          </cell>
          <cell r="U36">
            <v>34232.142580348169</v>
          </cell>
          <cell r="V36">
            <v>3516002.9405332739</v>
          </cell>
        </row>
        <row r="37">
          <cell r="A37">
            <v>37196</v>
          </cell>
          <cell r="B37">
            <v>9067757.7430656981</v>
          </cell>
          <cell r="C37">
            <v>187948.13</v>
          </cell>
          <cell r="D37">
            <v>98712.250259055931</v>
          </cell>
          <cell r="E37">
            <v>89235.879740944059</v>
          </cell>
          <cell r="F37">
            <v>8978521.8633247539</v>
          </cell>
          <cell r="G37">
            <v>671</v>
          </cell>
          <cell r="H37">
            <v>5340290.3627418354</v>
          </cell>
          <cell r="I37">
            <v>110688.62</v>
          </cell>
          <cell r="J37">
            <v>58134.777494034373</v>
          </cell>
          <cell r="K37">
            <v>52553.842505965622</v>
          </cell>
          <cell r="L37">
            <v>5287736.52023587</v>
          </cell>
          <cell r="M37">
            <v>211464.43979058895</v>
          </cell>
          <cell r="N37">
            <v>4383.04</v>
          </cell>
          <cell r="O37">
            <v>2302.0168036008736</v>
          </cell>
          <cell r="P37">
            <v>2081.0231963991264</v>
          </cell>
          <cell r="Q37">
            <v>209383.41659418982</v>
          </cell>
          <cell r="R37">
            <v>3516002.9405332739</v>
          </cell>
          <cell r="S37">
            <v>72876.47</v>
          </cell>
          <cell r="T37">
            <v>38275.455961420688</v>
          </cell>
          <cell r="U37">
            <v>34601.014038579313</v>
          </cell>
          <cell r="V37">
            <v>3481401.9264946943</v>
          </cell>
        </row>
        <row r="38">
          <cell r="A38">
            <v>37226</v>
          </cell>
          <cell r="B38">
            <v>8978521.8633247539</v>
          </cell>
          <cell r="C38">
            <v>187948.13</v>
          </cell>
          <cell r="D38">
            <v>97750.681201281608</v>
          </cell>
          <cell r="E38">
            <v>90197.448798718367</v>
          </cell>
          <cell r="F38">
            <v>8888324.414526036</v>
          </cell>
          <cell r="G38">
            <v>701</v>
          </cell>
          <cell r="H38">
            <v>5287736.52023587</v>
          </cell>
          <cell r="I38">
            <v>110688.62</v>
          </cell>
          <cell r="J38">
            <v>57568.478949462573</v>
          </cell>
          <cell r="K38">
            <v>53120.141050537422</v>
          </cell>
          <cell r="L38">
            <v>5234616.3791853329</v>
          </cell>
          <cell r="M38">
            <v>209383.41659418982</v>
          </cell>
          <cell r="N38">
            <v>4383.04</v>
          </cell>
          <cell r="O38">
            <v>2279.5925554175515</v>
          </cell>
          <cell r="P38">
            <v>2103.4474445824485</v>
          </cell>
          <cell r="Q38">
            <v>207279.96914960738</v>
          </cell>
          <cell r="R38">
            <v>3481401.9264946943</v>
          </cell>
          <cell r="S38">
            <v>72876.47</v>
          </cell>
          <cell r="T38">
            <v>37902.609696401494</v>
          </cell>
          <cell r="U38">
            <v>34973.860303598507</v>
          </cell>
          <cell r="V38">
            <v>3446428.0661910959</v>
          </cell>
        </row>
        <row r="39">
          <cell r="A39">
            <v>37257</v>
          </cell>
          <cell r="B39">
            <v>8888324.414526036</v>
          </cell>
          <cell r="C39">
            <v>187948.13</v>
          </cell>
          <cell r="D39">
            <v>96778.750671691785</v>
          </cell>
          <cell r="E39">
            <v>91169.37932830822</v>
          </cell>
          <cell r="F39">
            <v>8797155.0351977274</v>
          </cell>
          <cell r="G39">
            <v>37257</v>
          </cell>
          <cell r="H39">
            <v>5234616.3791853329</v>
          </cell>
          <cell r="I39">
            <v>110688.62</v>
          </cell>
          <cell r="J39">
            <v>56996.078205198188</v>
          </cell>
          <cell r="K39">
            <v>53692.541794801808</v>
          </cell>
          <cell r="L39">
            <v>5180923.8373905309</v>
          </cell>
          <cell r="M39">
            <v>207279.96914960738</v>
          </cell>
          <cell r="N39">
            <v>4383.04</v>
          </cell>
          <cell r="O39">
            <v>2256.9266727789013</v>
          </cell>
          <cell r="P39">
            <v>2126.1133272210986</v>
          </cell>
          <cell r="Q39">
            <v>205153.85582238628</v>
          </cell>
          <cell r="R39">
            <v>3446428.0661910959</v>
          </cell>
          <cell r="S39">
            <v>72876.47</v>
          </cell>
          <cell r="T39">
            <v>37525.745793714697</v>
          </cell>
          <cell r="U39">
            <v>35350.724206285304</v>
          </cell>
          <cell r="V39">
            <v>3411077.3419848108</v>
          </cell>
        </row>
        <row r="40">
          <cell r="A40">
            <v>37288</v>
          </cell>
          <cell r="B40">
            <v>8797155.0351977274</v>
          </cell>
          <cell r="C40">
            <v>187948.13</v>
          </cell>
          <cell r="D40">
            <v>95796.347019337059</v>
          </cell>
          <cell r="E40">
            <v>92151.782980662931</v>
          </cell>
          <cell r="F40">
            <v>8705003.2522170655</v>
          </cell>
          <cell r="G40">
            <v>37288</v>
          </cell>
          <cell r="H40">
            <v>5180923.8373905309</v>
          </cell>
          <cell r="I40">
            <v>110688.62</v>
          </cell>
          <cell r="J40">
            <v>56417.509506452603</v>
          </cell>
          <cell r="K40">
            <v>54271.110493547392</v>
          </cell>
          <cell r="L40">
            <v>5126652.7268969836</v>
          </cell>
          <cell r="M40">
            <v>205153.85582238628</v>
          </cell>
          <cell r="N40">
            <v>4383.04</v>
          </cell>
          <cell r="O40">
            <v>2234.0165519316324</v>
          </cell>
          <cell r="P40">
            <v>2149.0234480683675</v>
          </cell>
          <cell r="Q40">
            <v>203004.83237431792</v>
          </cell>
          <cell r="R40">
            <v>3411077.3419848108</v>
          </cell>
          <cell r="S40">
            <v>72876.47</v>
          </cell>
          <cell r="T40">
            <v>37144.820960952828</v>
          </cell>
          <cell r="U40">
            <v>35731.649039047174</v>
          </cell>
          <cell r="V40">
            <v>3375345.6929457635</v>
          </cell>
        </row>
        <row r="41">
          <cell r="A41">
            <v>37316</v>
          </cell>
          <cell r="B41">
            <v>8705003.2522170655</v>
          </cell>
          <cell r="C41">
            <v>187948.13</v>
          </cell>
          <cell r="D41">
            <v>94803.357390163466</v>
          </cell>
          <cell r="E41">
            <v>93144.772609836538</v>
          </cell>
          <cell r="F41">
            <v>8611858.4796072282</v>
          </cell>
          <cell r="G41">
            <v>37316</v>
          </cell>
          <cell r="H41">
            <v>5126652.7268969836</v>
          </cell>
          <cell r="I41">
            <v>110688.62</v>
          </cell>
          <cell r="J41">
            <v>55832.7063898907</v>
          </cell>
          <cell r="K41">
            <v>54855.913610109295</v>
          </cell>
          <cell r="L41">
            <v>5071796.8132868744</v>
          </cell>
          <cell r="M41">
            <v>203004.83237431792</v>
          </cell>
          <cell r="N41">
            <v>4383.04</v>
          </cell>
          <cell r="O41">
            <v>2210.8595610654811</v>
          </cell>
          <cell r="P41">
            <v>2172.1804389345189</v>
          </cell>
          <cell r="Q41">
            <v>200832.65193538342</v>
          </cell>
          <cell r="R41">
            <v>3375345.6929457635</v>
          </cell>
          <cell r="S41">
            <v>72876.47</v>
          </cell>
          <cell r="T41">
            <v>36759.791439207278</v>
          </cell>
          <cell r="U41">
            <v>36116.678560792723</v>
          </cell>
          <cell r="V41">
            <v>3339229.0143849705</v>
          </cell>
        </row>
        <row r="42">
          <cell r="A42">
            <v>37347</v>
          </cell>
          <cell r="B42">
            <v>8611858.4796072282</v>
          </cell>
          <cell r="C42">
            <v>187948.13</v>
          </cell>
          <cell r="D42">
            <v>93799.667714048264</v>
          </cell>
          <cell r="E42">
            <v>94148.46228595174</v>
          </cell>
          <cell r="F42">
            <v>8517710.0173212755</v>
          </cell>
          <cell r="G42">
            <v>37347</v>
          </cell>
          <cell r="H42">
            <v>5071796.8132868744</v>
          </cell>
          <cell r="I42">
            <v>110688.62</v>
          </cell>
          <cell r="J42">
            <v>55241.601675995895</v>
          </cell>
          <cell r="K42">
            <v>55447.018324004101</v>
          </cell>
          <cell r="L42">
            <v>5016349.79496287</v>
          </cell>
          <cell r="M42">
            <v>200832.65193538342</v>
          </cell>
          <cell r="N42">
            <v>4383.04</v>
          </cell>
          <cell r="O42">
            <v>2187.4530400108824</v>
          </cell>
          <cell r="P42">
            <v>2195.5869599891175</v>
          </cell>
          <cell r="Q42">
            <v>198637.06497539429</v>
          </cell>
          <cell r="R42">
            <v>3339229.0143849705</v>
          </cell>
          <cell r="S42">
            <v>72876.47</v>
          </cell>
          <cell r="T42">
            <v>36370.612998041477</v>
          </cell>
          <cell r="U42">
            <v>36505.857001958524</v>
          </cell>
          <cell r="V42">
            <v>3302723.1573830121</v>
          </cell>
        </row>
        <row r="43">
          <cell r="A43">
            <v>37377</v>
          </cell>
          <cell r="B43">
            <v>8517710.0173212755</v>
          </cell>
          <cell r="C43">
            <v>187948.13</v>
          </cell>
          <cell r="D43">
            <v>92785.162691696081</v>
          </cell>
          <cell r="E43">
            <v>95162.967308303923</v>
          </cell>
          <cell r="F43">
            <v>8422547.0500129722</v>
          </cell>
          <cell r="G43">
            <v>37377</v>
          </cell>
          <cell r="H43">
            <v>5016349.79496287</v>
          </cell>
          <cell r="I43">
            <v>110688.62</v>
          </cell>
          <cell r="J43">
            <v>54644.127461352786</v>
          </cell>
          <cell r="K43">
            <v>56044.49253864721</v>
          </cell>
          <cell r="L43">
            <v>4960305.3024242232</v>
          </cell>
          <cell r="M43">
            <v>198637.06497539429</v>
          </cell>
          <cell r="N43">
            <v>4383.04</v>
          </cell>
          <cell r="O43">
            <v>2163.7942999333795</v>
          </cell>
          <cell r="P43">
            <v>2219.2457000666204</v>
          </cell>
          <cell r="Q43">
            <v>196417.81927532767</v>
          </cell>
          <cell r="R43">
            <v>3302723.1573830121</v>
          </cell>
          <cell r="S43">
            <v>72876.47</v>
          </cell>
          <cell r="T43">
            <v>35977.240930409906</v>
          </cell>
          <cell r="U43">
            <v>36899.229069590096</v>
          </cell>
          <cell r="V43">
            <v>3265823.928313422</v>
          </cell>
        </row>
        <row r="44">
          <cell r="A44">
            <v>37408</v>
          </cell>
          <cell r="B44">
            <v>8422547.0500129722</v>
          </cell>
          <cell r="C44">
            <v>187948.13</v>
          </cell>
          <cell r="D44">
            <v>91759.725781393849</v>
          </cell>
          <cell r="E44">
            <v>96188.404218606142</v>
          </cell>
          <cell r="F44">
            <v>8326358.6457943674</v>
          </cell>
          <cell r="G44">
            <v>37408</v>
          </cell>
          <cell r="H44">
            <v>4960305.3024242232</v>
          </cell>
          <cell r="I44">
            <v>110688.62</v>
          </cell>
          <cell r="J44">
            <v>54040.215110846759</v>
          </cell>
          <cell r="K44">
            <v>56648.404889153237</v>
          </cell>
          <cell r="L44">
            <v>4903656.8975350698</v>
          </cell>
          <cell r="M44">
            <v>196417.81927532767</v>
          </cell>
          <cell r="N44">
            <v>4383.04</v>
          </cell>
          <cell r="O44">
            <v>2139.8806230247442</v>
          </cell>
          <cell r="P44">
            <v>2243.1593769752558</v>
          </cell>
          <cell r="Q44">
            <v>194174.6598983524</v>
          </cell>
          <cell r="R44">
            <v>3265823.928313422</v>
          </cell>
          <cell r="S44">
            <v>72876.47</v>
          </cell>
          <cell r="T44">
            <v>35579.630047522354</v>
          </cell>
          <cell r="U44">
            <v>37296.839952477647</v>
          </cell>
          <cell r="V44">
            <v>3228527.0883609443</v>
          </cell>
        </row>
        <row r="45">
          <cell r="A45">
            <v>37438</v>
          </cell>
          <cell r="B45">
            <v>8326358.6457943674</v>
          </cell>
          <cell r="C45">
            <v>187948.13</v>
          </cell>
          <cell r="D45">
            <v>90723.239185623097</v>
          </cell>
          <cell r="E45">
            <v>97224.890814376908</v>
          </cell>
          <cell r="F45">
            <v>8229133.7549799895</v>
          </cell>
          <cell r="G45">
            <v>913</v>
          </cell>
          <cell r="H45">
            <v>4903656.8975350698</v>
          </cell>
          <cell r="I45">
            <v>110688.62</v>
          </cell>
          <cell r="J45">
            <v>53429.795249779505</v>
          </cell>
          <cell r="K45">
            <v>57258.82475022049</v>
          </cell>
          <cell r="L45">
            <v>4846398.0727848494</v>
          </cell>
          <cell r="M45">
            <v>194174.6598983524</v>
          </cell>
          <cell r="N45">
            <v>4383.04</v>
          </cell>
          <cell r="O45">
            <v>2115.7092621907673</v>
          </cell>
          <cell r="P45">
            <v>2267.3307378092327</v>
          </cell>
          <cell r="Q45">
            <v>191907.32916054316</v>
          </cell>
          <cell r="R45">
            <v>3228527.0883609443</v>
          </cell>
          <cell r="S45">
            <v>72876.47</v>
          </cell>
          <cell r="T45">
            <v>35177.73467365282</v>
          </cell>
          <cell r="U45">
            <v>37698.735326347181</v>
          </cell>
          <cell r="V45">
            <v>3190828.3530345969</v>
          </cell>
        </row>
        <row r="46">
          <cell r="A46">
            <v>37469</v>
          </cell>
          <cell r="B46">
            <v>8229133.7549799895</v>
          </cell>
          <cell r="C46">
            <v>187948.13</v>
          </cell>
          <cell r="D46">
            <v>89675.583837527767</v>
          </cell>
          <cell r="E46">
            <v>98272.546162472223</v>
          </cell>
          <cell r="F46">
            <v>8130861.2088175174</v>
          </cell>
          <cell r="G46">
            <v>944</v>
          </cell>
          <cell r="H46">
            <v>4846398.0727848494</v>
          </cell>
          <cell r="I46">
            <v>110688.62</v>
          </cell>
          <cell r="J46">
            <v>52812.797755899563</v>
          </cell>
          <cell r="K46">
            <v>57875.822244100433</v>
          </cell>
          <cell r="L46">
            <v>4788522.2505407492</v>
          </cell>
          <cell r="M46">
            <v>191907.32916054316</v>
          </cell>
          <cell r="N46">
            <v>4383.04</v>
          </cell>
          <cell r="O46">
            <v>2091.2774407356842</v>
          </cell>
          <cell r="P46">
            <v>2291.7625592643158</v>
          </cell>
          <cell r="Q46">
            <v>189615.56660127884</v>
          </cell>
          <cell r="R46">
            <v>3190828.3530345969</v>
          </cell>
          <cell r="S46">
            <v>72876.47</v>
          </cell>
          <cell r="T46">
            <v>34771.50864089252</v>
          </cell>
          <cell r="U46">
            <v>38104.961359107481</v>
          </cell>
          <cell r="V46">
            <v>3152723.3916754895</v>
          </cell>
        </row>
        <row r="47">
          <cell r="A47">
            <v>37500</v>
          </cell>
          <cell r="B47">
            <v>8130861.2088175174</v>
          </cell>
          <cell r="C47">
            <v>187948.13</v>
          </cell>
          <cell r="D47">
            <v>88616.639387236501</v>
          </cell>
          <cell r="E47">
            <v>99331.490612763504</v>
          </cell>
          <cell r="F47">
            <v>8031529.7182047535</v>
          </cell>
          <cell r="G47">
            <v>975</v>
          </cell>
          <cell r="H47">
            <v>4788522.2505407492</v>
          </cell>
          <cell r="I47">
            <v>110688.62</v>
          </cell>
          <cell r="J47">
            <v>52189.151751346995</v>
          </cell>
          <cell r="K47">
            <v>58499.468248653</v>
          </cell>
          <cell r="L47">
            <v>4730022.7822920959</v>
          </cell>
          <cell r="M47">
            <v>189615.56660127884</v>
          </cell>
          <cell r="N47">
            <v>4383.04</v>
          </cell>
          <cell r="O47">
            <v>2066.5823520432027</v>
          </cell>
          <cell r="P47">
            <v>2316.4576479567972</v>
          </cell>
          <cell r="Q47">
            <v>187299.10895332205</v>
          </cell>
          <cell r="R47">
            <v>3152723.3916754895</v>
          </cell>
          <cell r="S47">
            <v>72876.47</v>
          </cell>
          <cell r="T47">
            <v>34360.905283846303</v>
          </cell>
          <cell r="U47">
            <v>38515.564716153698</v>
          </cell>
          <cell r="V47">
            <v>3114207.8269593357</v>
          </cell>
        </row>
        <row r="48">
          <cell r="A48">
            <v>37530</v>
          </cell>
          <cell r="B48">
            <v>8031529.7182047535</v>
          </cell>
          <cell r="C48">
            <v>187948.13</v>
          </cell>
          <cell r="D48">
            <v>87546.284188037302</v>
          </cell>
          <cell r="E48">
            <v>100401.84581196269</v>
          </cell>
          <cell r="F48">
            <v>7931127.8723927913</v>
          </cell>
          <cell r="G48">
            <v>1005</v>
          </cell>
          <cell r="H48">
            <v>4730022.7822920959</v>
          </cell>
          <cell r="I48">
            <v>110688.62</v>
          </cell>
          <cell r="J48">
            <v>51558.785594511253</v>
          </cell>
          <cell r="K48">
            <v>59129.834405488742</v>
          </cell>
          <cell r="L48">
            <v>4670892.9478866076</v>
          </cell>
          <cell r="M48">
            <v>187299.10895332205</v>
          </cell>
          <cell r="N48">
            <v>4383.04</v>
          </cell>
          <cell r="O48">
            <v>2041.6211592540883</v>
          </cell>
          <cell r="P48">
            <v>2341.4188407459114</v>
          </cell>
          <cell r="Q48">
            <v>184957.69011257615</v>
          </cell>
          <cell r="R48">
            <v>3114207.8269593357</v>
          </cell>
          <cell r="S48">
            <v>72876.47</v>
          </cell>
          <cell r="T48">
            <v>33945.87743427197</v>
          </cell>
          <cell r="U48">
            <v>38930.592565728031</v>
          </cell>
          <cell r="V48">
            <v>3075277.2343936078</v>
          </cell>
        </row>
        <row r="49">
          <cell r="A49">
            <v>37561</v>
          </cell>
          <cell r="B49">
            <v>7931127.8723927913</v>
          </cell>
          <cell r="C49">
            <v>187948.13</v>
          </cell>
          <cell r="D49">
            <v>86464.395282403362</v>
          </cell>
          <cell r="E49">
            <v>101483.73471759663</v>
          </cell>
          <cell r="F49">
            <v>7829644.137675195</v>
          </cell>
          <cell r="G49">
            <v>1036</v>
          </cell>
          <cell r="H49">
            <v>4670892.9478866076</v>
          </cell>
          <cell r="I49">
            <v>110688.62</v>
          </cell>
          <cell r="J49">
            <v>50921.626871801309</v>
          </cell>
          <cell r="K49">
            <v>59766.993128198686</v>
          </cell>
          <cell r="L49">
            <v>4611125.9547584085</v>
          </cell>
          <cell r="M49">
            <v>184957.69011257615</v>
          </cell>
          <cell r="N49">
            <v>4383.04</v>
          </cell>
          <cell r="O49">
            <v>2016.3909949402819</v>
          </cell>
          <cell r="P49">
            <v>2366.6490050597181</v>
          </cell>
          <cell r="Q49">
            <v>182591.04110751644</v>
          </cell>
          <cell r="R49">
            <v>3075277.2343936078</v>
          </cell>
          <cell r="S49">
            <v>72876.47</v>
          </cell>
          <cell r="T49">
            <v>33526.37741566178</v>
          </cell>
          <cell r="U49">
            <v>39350.092584338221</v>
          </cell>
          <cell r="V49">
            <v>3035927.1418092698</v>
          </cell>
        </row>
        <row r="50">
          <cell r="A50">
            <v>37591</v>
          </cell>
          <cell r="B50">
            <v>7829644.137675195</v>
          </cell>
          <cell r="C50">
            <v>187948.13</v>
          </cell>
          <cell r="D50">
            <v>85370.84838786826</v>
          </cell>
          <cell r="E50">
            <v>102577.28161213174</v>
          </cell>
          <cell r="F50">
            <v>7727066.8560630623</v>
          </cell>
          <cell r="G50">
            <v>1066</v>
          </cell>
          <cell r="H50">
            <v>4611125.9547584085</v>
          </cell>
          <cell r="I50">
            <v>110688.62</v>
          </cell>
          <cell r="J50">
            <v>50277.60238932717</v>
          </cell>
          <cell r="K50">
            <v>60411.017610672825</v>
          </cell>
          <cell r="L50">
            <v>4550714.9371477356</v>
          </cell>
          <cell r="M50">
            <v>182591.04110751644</v>
          </cell>
          <cell r="N50">
            <v>4383.04</v>
          </cell>
          <cell r="O50">
            <v>1990.8889607755018</v>
          </cell>
          <cell r="P50">
            <v>2392.1510392244982</v>
          </cell>
          <cell r="Q50">
            <v>180198.89006829195</v>
          </cell>
          <cell r="R50">
            <v>3035927.1418092698</v>
          </cell>
          <cell r="S50">
            <v>72876.47</v>
          </cell>
          <cell r="T50">
            <v>33102.357037765585</v>
          </cell>
          <cell r="U50">
            <v>39774.112962234416</v>
          </cell>
          <cell r="V50">
            <v>2996153.0288470355</v>
          </cell>
        </row>
        <row r="51">
          <cell r="A51">
            <v>37622</v>
          </cell>
          <cell r="B51">
            <v>7727066.8560630623</v>
          </cell>
          <cell r="C51">
            <v>187948.13</v>
          </cell>
          <cell r="D51">
            <v>84265.5178827489</v>
          </cell>
          <cell r="E51">
            <v>103682.61211725109</v>
          </cell>
          <cell r="F51">
            <v>7623384.2439458109</v>
          </cell>
          <cell r="G51">
            <v>37622</v>
          </cell>
          <cell r="H51">
            <v>4550714.9371477356</v>
          </cell>
          <cell r="I51">
            <v>110688.62</v>
          </cell>
          <cell r="J51">
            <v>49626.638164491618</v>
          </cell>
          <cell r="K51">
            <v>61061.981835508377</v>
          </cell>
          <cell r="L51">
            <v>4489652.9553122269</v>
          </cell>
          <cell r="M51">
            <v>180198.89006829195</v>
          </cell>
          <cell r="N51">
            <v>4383.04</v>
          </cell>
          <cell r="O51">
            <v>1965.1121272022956</v>
          </cell>
          <cell r="P51">
            <v>2417.9278727977044</v>
          </cell>
          <cell r="Q51">
            <v>177780.96219549424</v>
          </cell>
          <cell r="R51">
            <v>2996153.0288470355</v>
          </cell>
          <cell r="S51">
            <v>72876.47</v>
          </cell>
          <cell r="T51">
            <v>32673.767591054984</v>
          </cell>
          <cell r="U51">
            <v>40202.702408945013</v>
          </cell>
          <cell r="V51">
            <v>2955950.3264380903</v>
          </cell>
        </row>
        <row r="52">
          <cell r="A52">
            <v>37653</v>
          </cell>
          <cell r="B52">
            <v>7623384.2439458109</v>
          </cell>
          <cell r="C52">
            <v>187948.13</v>
          </cell>
          <cell r="D52">
            <v>83148.276791714743</v>
          </cell>
          <cell r="E52">
            <v>104799.85320828526</v>
          </cell>
          <cell r="F52">
            <v>7518584.3907375261</v>
          </cell>
          <cell r="G52">
            <v>37653</v>
          </cell>
          <cell r="H52">
            <v>4489652.9553122269</v>
          </cell>
          <cell r="I52">
            <v>110688.62</v>
          </cell>
          <cell r="J52">
            <v>48968.659417491464</v>
          </cell>
          <cell r="K52">
            <v>61719.960582508531</v>
          </cell>
          <cell r="L52">
            <v>4427932.9947297182</v>
          </cell>
          <cell r="M52">
            <v>177780.96219549424</v>
          </cell>
          <cell r="N52">
            <v>4383.04</v>
          </cell>
          <cell r="O52">
            <v>1939.0575330955087</v>
          </cell>
          <cell r="P52">
            <v>2443.982466904491</v>
          </cell>
          <cell r="Q52">
            <v>175336.97972858974</v>
          </cell>
          <cell r="R52">
            <v>2955950.3264380903</v>
          </cell>
          <cell r="S52">
            <v>72876.47</v>
          </cell>
          <cell r="T52">
            <v>32240.559841127764</v>
          </cell>
          <cell r="U52">
            <v>40635.910158872241</v>
          </cell>
          <cell r="V52">
            <v>2915314.4162792182</v>
          </cell>
        </row>
        <row r="53">
          <cell r="A53">
            <v>37681</v>
          </cell>
          <cell r="B53">
            <v>7518584.3907375261</v>
          </cell>
          <cell r="C53">
            <v>187948.13</v>
          </cell>
          <cell r="D53">
            <v>82018.996771201419</v>
          </cell>
          <cell r="E53">
            <v>105929.13322879857</v>
          </cell>
          <cell r="F53">
            <v>7412655.2575087268</v>
          </cell>
          <cell r="G53">
            <v>37681</v>
          </cell>
          <cell r="H53">
            <v>4427932.9947297182</v>
          </cell>
          <cell r="I53">
            <v>110688.62</v>
          </cell>
          <cell r="J53">
            <v>48303.590562727208</v>
          </cell>
          <cell r="K53">
            <v>62385.029437272788</v>
          </cell>
          <cell r="L53">
            <v>4365547.9652924454</v>
          </cell>
          <cell r="M53">
            <v>175336.97972858974</v>
          </cell>
          <cell r="N53">
            <v>4383.04</v>
          </cell>
          <cell r="O53">
            <v>1912.7221854221216</v>
          </cell>
          <cell r="P53">
            <v>2470.3178145778784</v>
          </cell>
          <cell r="Q53">
            <v>172866.66191401187</v>
          </cell>
          <cell r="R53">
            <v>2915314.4162792182</v>
          </cell>
          <cell r="S53">
            <v>72876.47</v>
          </cell>
          <cell r="T53">
            <v>31802.68402305209</v>
          </cell>
          <cell r="U53">
            <v>41073.785976947911</v>
          </cell>
          <cell r="V53">
            <v>2874240.6303022704</v>
          </cell>
        </row>
        <row r="54">
          <cell r="A54">
            <v>37712</v>
          </cell>
          <cell r="B54">
            <v>7412655.2575087268</v>
          </cell>
          <cell r="C54">
            <v>187948.13</v>
          </cell>
          <cell r="D54">
            <v>80877.548094667203</v>
          </cell>
          <cell r="E54">
            <v>107070.5819053328</v>
          </cell>
          <cell r="F54">
            <v>7305584.6756033953</v>
          </cell>
          <cell r="G54">
            <v>37712</v>
          </cell>
          <cell r="H54">
            <v>4365547.9652924454</v>
          </cell>
          <cell r="I54">
            <v>110688.62</v>
          </cell>
          <cell r="J54">
            <v>47631.355200120051</v>
          </cell>
          <cell r="K54">
            <v>63057.264799879944</v>
          </cell>
          <cell r="L54">
            <v>4302490.7004925655</v>
          </cell>
          <cell r="M54">
            <v>172866.66191401187</v>
          </cell>
          <cell r="N54">
            <v>4383.04</v>
          </cell>
          <cell r="O54">
            <v>1886.1030588974252</v>
          </cell>
          <cell r="P54">
            <v>2496.9369411025746</v>
          </cell>
          <cell r="Q54">
            <v>170369.72497290929</v>
          </cell>
          <cell r="R54">
            <v>2874240.6303022704</v>
          </cell>
          <cell r="S54">
            <v>72876.47</v>
          </cell>
          <cell r="T54">
            <v>31360.089835649727</v>
          </cell>
          <cell r="U54">
            <v>41516.380164350274</v>
          </cell>
          <cell r="V54">
            <v>2832724.25013792</v>
          </cell>
        </row>
        <row r="55">
          <cell r="A55">
            <v>37742</v>
          </cell>
          <cell r="B55">
            <v>7305584.6756033953</v>
          </cell>
          <cell r="C55">
            <v>187948.13</v>
          </cell>
          <cell r="D55">
            <v>79723.799637690667</v>
          </cell>
          <cell r="E55">
            <v>108224.33036230932</v>
          </cell>
          <cell r="F55">
            <v>7197360.3452410856</v>
          </cell>
          <cell r="G55">
            <v>37742</v>
          </cell>
          <cell r="H55">
            <v>4302490.7004925655</v>
          </cell>
          <cell r="I55">
            <v>110688.62</v>
          </cell>
          <cell r="J55">
            <v>46951.876106335476</v>
          </cell>
          <cell r="K55">
            <v>63736.743893664519</v>
          </cell>
          <cell r="L55">
            <v>4238753.9565989012</v>
          </cell>
          <cell r="M55">
            <v>170369.72497290929</v>
          </cell>
          <cell r="N55">
            <v>4383.04</v>
          </cell>
          <cell r="O55">
            <v>1859.1970956374896</v>
          </cell>
          <cell r="P55">
            <v>2523.8429043625101</v>
          </cell>
          <cell r="Q55">
            <v>167845.88206854678</v>
          </cell>
          <cell r="R55">
            <v>2832724.25013792</v>
          </cell>
          <cell r="S55">
            <v>72876.47</v>
          </cell>
          <cell r="T55">
            <v>30912.726435717701</v>
          </cell>
          <cell r="U55">
            <v>41963.743564282297</v>
          </cell>
          <cell r="V55">
            <v>2790760.5065736379</v>
          </cell>
        </row>
        <row r="56">
          <cell r="A56">
            <v>37773</v>
          </cell>
          <cell r="B56">
            <v>7197360.3452410856</v>
          </cell>
          <cell r="C56">
            <v>187948.13</v>
          </cell>
          <cell r="D56">
            <v>78557.618862907606</v>
          </cell>
          <cell r="E56">
            <v>109390.51113709238</v>
          </cell>
          <cell r="F56">
            <v>7087969.8341039931</v>
          </cell>
          <cell r="G56">
            <v>37773</v>
          </cell>
          <cell r="H56">
            <v>4238753.9565989012</v>
          </cell>
          <cell r="I56">
            <v>110688.62</v>
          </cell>
          <cell r="J56">
            <v>46265.075225912115</v>
          </cell>
          <cell r="K56">
            <v>64423.544774087881</v>
          </cell>
          <cell r="L56">
            <v>4174330.4118248131</v>
          </cell>
          <cell r="M56">
            <v>167845.88206854678</v>
          </cell>
          <cell r="N56">
            <v>4383.04</v>
          </cell>
          <cell r="O56">
            <v>1832.001204807887</v>
          </cell>
          <cell r="P56">
            <v>2551.038795192113</v>
          </cell>
          <cell r="Q56">
            <v>165294.84327335467</v>
          </cell>
          <cell r="R56">
            <v>2790760.5065736379</v>
          </cell>
          <cell r="S56">
            <v>72876.47</v>
          </cell>
          <cell r="T56">
            <v>30460.542432187605</v>
          </cell>
          <cell r="U56">
            <v>42415.927567812396</v>
          </cell>
          <cell r="V56">
            <v>2748344.5790058253</v>
          </cell>
        </row>
        <row r="57">
          <cell r="A57">
            <v>37803</v>
          </cell>
          <cell r="B57">
            <v>7087969.8341039931</v>
          </cell>
          <cell r="C57">
            <v>187948.13</v>
          </cell>
          <cell r="D57">
            <v>77378.871804785857</v>
          </cell>
          <cell r="E57">
            <v>110569.25819521413</v>
          </cell>
          <cell r="F57">
            <v>6977400.5759087782</v>
          </cell>
          <cell r="G57">
            <v>1278</v>
          </cell>
          <cell r="H57">
            <v>4174330.4118248131</v>
          </cell>
          <cell r="I57">
            <v>110688.62</v>
          </cell>
          <cell r="J57">
            <v>45570.873662295126</v>
          </cell>
          <cell r="K57">
            <v>65117.74633770487</v>
          </cell>
          <cell r="L57">
            <v>4109212.6654871083</v>
          </cell>
          <cell r="M57">
            <v>165294.84327335467</v>
          </cell>
          <cell r="N57">
            <v>4383.04</v>
          </cell>
          <cell r="O57">
            <v>1804.5122622686326</v>
          </cell>
          <cell r="P57">
            <v>2578.5277377313673</v>
          </cell>
          <cell r="Q57">
            <v>162716.31553562329</v>
          </cell>
          <cell r="R57">
            <v>2748344.5790058253</v>
          </cell>
          <cell r="S57">
            <v>72876.47</v>
          </cell>
          <cell r="T57">
            <v>30003.485880222095</v>
          </cell>
          <cell r="U57">
            <v>42872.984119777902</v>
          </cell>
          <cell r="V57">
            <v>2705471.5948860473</v>
          </cell>
        </row>
        <row r="58">
          <cell r="A58">
            <v>37834</v>
          </cell>
          <cell r="B58">
            <v>6977400.5759087782</v>
          </cell>
          <cell r="C58">
            <v>187948.13</v>
          </cell>
          <cell r="D58">
            <v>76187.423054235842</v>
          </cell>
          <cell r="E58">
            <v>111760.70694576415</v>
          </cell>
          <cell r="F58">
            <v>6865639.8689630143</v>
          </cell>
          <cell r="G58">
            <v>1309</v>
          </cell>
          <cell r="H58">
            <v>4109212.6654871083</v>
          </cell>
          <cell r="I58">
            <v>110688.62</v>
          </cell>
          <cell r="J58">
            <v>44869.19166877291</v>
          </cell>
          <cell r="K58">
            <v>65819.428331227085</v>
          </cell>
          <cell r="L58">
            <v>4043393.2371558812</v>
          </cell>
          <cell r="M58">
            <v>162716.31553562329</v>
          </cell>
          <cell r="N58">
            <v>4383.04</v>
          </cell>
          <cell r="O58">
            <v>1776.7271102152972</v>
          </cell>
          <cell r="P58">
            <v>2606.3128897847027</v>
          </cell>
          <cell r="Q58">
            <v>160110.0026458386</v>
          </cell>
          <cell r="R58">
            <v>2705471.5948860473</v>
          </cell>
          <cell r="S58">
            <v>72876.47</v>
          </cell>
          <cell r="T58">
            <v>29541.50427524764</v>
          </cell>
          <cell r="U58">
            <v>43334.965724752357</v>
          </cell>
          <cell r="V58">
            <v>2662136.629161295</v>
          </cell>
        </row>
        <row r="59">
          <cell r="A59">
            <v>37865</v>
          </cell>
          <cell r="B59">
            <v>6865639.8689630143</v>
          </cell>
          <cell r="C59">
            <v>187948.13</v>
          </cell>
          <cell r="D59">
            <v>74983.135743055551</v>
          </cell>
          <cell r="E59">
            <v>112964.99425694444</v>
          </cell>
          <cell r="F59">
            <v>6752674.8747060709</v>
          </cell>
          <cell r="G59">
            <v>1340</v>
          </cell>
          <cell r="H59">
            <v>4043393.2371558812</v>
          </cell>
          <cell r="I59">
            <v>110688.62</v>
          </cell>
          <cell r="J59">
            <v>44159.948639316193</v>
          </cell>
          <cell r="K59">
            <v>66528.671360683802</v>
          </cell>
          <cell r="L59">
            <v>3976864.5657951976</v>
          </cell>
          <cell r="M59">
            <v>160110.0026458386</v>
          </cell>
          <cell r="N59">
            <v>4383.04</v>
          </cell>
          <cell r="O59">
            <v>1748.642556816252</v>
          </cell>
          <cell r="P59">
            <v>2634.3974431837478</v>
          </cell>
          <cell r="Q59">
            <v>157475.60520265484</v>
          </cell>
          <cell r="R59">
            <v>2662136.629161295</v>
          </cell>
          <cell r="S59">
            <v>72876.47</v>
          </cell>
          <cell r="T59">
            <v>29074.544546923105</v>
          </cell>
          <cell r="U59">
            <v>43801.925453076896</v>
          </cell>
          <cell r="V59">
            <v>2618334.7037082179</v>
          </cell>
        </row>
        <row r="60">
          <cell r="A60">
            <v>37895</v>
          </cell>
          <cell r="B60">
            <v>6752674.8747060709</v>
          </cell>
          <cell r="C60">
            <v>187948.13</v>
          </cell>
          <cell r="D60">
            <v>73765.871528207543</v>
          </cell>
          <cell r="E60">
            <v>114182.25847179245</v>
          </cell>
          <cell r="F60">
            <v>6638492.6162342783</v>
          </cell>
          <cell r="G60">
            <v>1370</v>
          </cell>
          <cell r="H60">
            <v>3976864.5657951976</v>
          </cell>
          <cell r="I60">
            <v>110688.62</v>
          </cell>
          <cell r="J60">
            <v>43443.063099318344</v>
          </cell>
          <cell r="K60">
            <v>67245.556900681651</v>
          </cell>
          <cell r="L60">
            <v>3909619.0088945162</v>
          </cell>
          <cell r="M60">
            <v>157475.60520265484</v>
          </cell>
          <cell r="N60">
            <v>4383.04</v>
          </cell>
          <cell r="O60">
            <v>1720.2553758460062</v>
          </cell>
          <cell r="P60">
            <v>2662.7846241539937</v>
          </cell>
          <cell r="Q60">
            <v>154812.82057850086</v>
          </cell>
          <cell r="R60">
            <v>2618334.7037082179</v>
          </cell>
          <cell r="S60">
            <v>72876.47</v>
          </cell>
          <cell r="T60">
            <v>28602.553053043197</v>
          </cell>
          <cell r="U60">
            <v>44273.916946956801</v>
          </cell>
          <cell r="V60">
            <v>2574060.7867612611</v>
          </cell>
        </row>
        <row r="61">
          <cell r="A61">
            <v>37926</v>
          </cell>
          <cell r="B61">
            <v>6638492.6162342783</v>
          </cell>
          <cell r="C61">
            <v>187948.13</v>
          </cell>
          <cell r="D61">
            <v>72535.490575926888</v>
          </cell>
          <cell r="E61">
            <v>115412.6394240731</v>
          </cell>
          <cell r="F61">
            <v>6523079.9768102048</v>
          </cell>
          <cell r="G61">
            <v>1401</v>
          </cell>
          <cell r="H61">
            <v>3909619.0088945162</v>
          </cell>
          <cell r="I61">
            <v>110688.62</v>
          </cell>
          <cell r="J61">
            <v>42718.452696235952</v>
          </cell>
          <cell r="K61">
            <v>67970.167303764043</v>
          </cell>
          <cell r="L61">
            <v>3841648.8415907519</v>
          </cell>
          <cell r="M61">
            <v>154812.82057850086</v>
          </cell>
          <cell r="N61">
            <v>4383.04</v>
          </cell>
          <cell r="O61">
            <v>1691.5623063145933</v>
          </cell>
          <cell r="P61">
            <v>2691.4776936854068</v>
          </cell>
          <cell r="Q61">
            <v>152121.34288481544</v>
          </cell>
          <cell r="R61">
            <v>2574060.7867612611</v>
          </cell>
          <cell r="S61">
            <v>72876.47</v>
          </cell>
          <cell r="T61">
            <v>28125.475573376345</v>
          </cell>
          <cell r="U61">
            <v>44750.994426623656</v>
          </cell>
          <cell r="V61">
            <v>2529309.7923346376</v>
          </cell>
        </row>
        <row r="62">
          <cell r="A62">
            <v>37956</v>
          </cell>
          <cell r="B62">
            <v>6523079.9768102048</v>
          </cell>
          <cell r="C62">
            <v>187948.13</v>
          </cell>
          <cell r="D62">
            <v>71291.851545657613</v>
          </cell>
          <cell r="E62">
            <v>116656.27845434239</v>
          </cell>
          <cell r="F62">
            <v>6406423.6983558629</v>
          </cell>
          <cell r="G62">
            <v>1431</v>
          </cell>
          <cell r="H62">
            <v>3841648.8415907519</v>
          </cell>
          <cell r="I62">
            <v>110688.62</v>
          </cell>
          <cell r="J62">
            <v>41986.034190128536</v>
          </cell>
          <cell r="K62">
            <v>68702.585809871467</v>
          </cell>
          <cell r="L62">
            <v>3772946.2557808803</v>
          </cell>
          <cell r="M62">
            <v>152121.34288481544</v>
          </cell>
          <cell r="N62">
            <v>4383.04</v>
          </cell>
          <cell r="O62">
            <v>1662.5600520929631</v>
          </cell>
          <cell r="P62">
            <v>2720.4799479070371</v>
          </cell>
          <cell r="Q62">
            <v>149400.86293690841</v>
          </cell>
          <cell r="R62">
            <v>2529309.7923346376</v>
          </cell>
          <cell r="S62">
            <v>72876.47</v>
          </cell>
          <cell r="T62">
            <v>27643.257303436116</v>
          </cell>
          <cell r="U62">
            <v>45233.212696563889</v>
          </cell>
          <cell r="V62">
            <v>2484076.5796380737</v>
          </cell>
        </row>
        <row r="63">
          <cell r="A63">
            <v>37987</v>
          </cell>
          <cell r="B63">
            <v>6406423.6983558629</v>
          </cell>
          <cell r="C63">
            <v>187948.13</v>
          </cell>
          <cell r="D63">
            <v>70034.811573816201</v>
          </cell>
          <cell r="E63">
            <v>117913.3184261838</v>
          </cell>
          <cell r="F63">
            <v>6288510.3799296785</v>
          </cell>
          <cell r="G63">
            <v>37987</v>
          </cell>
          <cell r="H63">
            <v>3772946.2557808803</v>
          </cell>
          <cell r="I63">
            <v>110688.62</v>
          </cell>
          <cell r="J63">
            <v>41245.723444096344</v>
          </cell>
          <cell r="K63">
            <v>69442.896555903659</v>
          </cell>
          <cell r="L63">
            <v>3703503.3592249765</v>
          </cell>
          <cell r="M63">
            <v>149400.86293690841</v>
          </cell>
          <cell r="N63">
            <v>4383.04</v>
          </cell>
          <cell r="O63">
            <v>1633.2452815343377</v>
          </cell>
          <cell r="P63">
            <v>2749.7947184656623</v>
          </cell>
          <cell r="Q63">
            <v>146651.06821844276</v>
          </cell>
          <cell r="R63">
            <v>2484076.5796380737</v>
          </cell>
          <cell r="S63">
            <v>72876.47</v>
          </cell>
          <cell r="T63">
            <v>27155.842848185523</v>
          </cell>
          <cell r="U63">
            <v>45720.627151814479</v>
          </cell>
          <cell r="V63">
            <v>2438355.9524862594</v>
          </cell>
        </row>
        <row r="64">
          <cell r="A64">
            <v>38018</v>
          </cell>
          <cell r="B64">
            <v>6288510.3799296785</v>
          </cell>
          <cell r="C64">
            <v>187948.13</v>
          </cell>
          <cell r="D64">
            <v>68764.226257380011</v>
          </cell>
          <cell r="E64">
            <v>119183.90374261998</v>
          </cell>
          <cell r="F64">
            <v>6169326.4761870587</v>
          </cell>
          <cell r="G64">
            <v>38018</v>
          </cell>
          <cell r="H64">
            <v>3703503.3592249765</v>
          </cell>
          <cell r="I64">
            <v>110688.62</v>
          </cell>
          <cell r="J64">
            <v>40497.435414615058</v>
          </cell>
          <cell r="K64">
            <v>70191.184585384937</v>
          </cell>
          <cell r="L64">
            <v>3633312.1746395915</v>
          </cell>
          <cell r="M64">
            <v>146651.06821844276</v>
          </cell>
          <cell r="N64">
            <v>4383.04</v>
          </cell>
          <cell r="O64">
            <v>1603.6146270914855</v>
          </cell>
          <cell r="P64">
            <v>2779.4253729085144</v>
          </cell>
          <cell r="Q64">
            <v>143871.64284553425</v>
          </cell>
          <cell r="R64">
            <v>2438355.9524862594</v>
          </cell>
          <cell r="S64">
            <v>72876.47</v>
          </cell>
          <cell r="T64">
            <v>26663.176215673473</v>
          </cell>
          <cell r="U64">
            <v>46213.293784326524</v>
          </cell>
          <cell r="V64">
            <v>2392142.658701933</v>
          </cell>
        </row>
        <row r="65">
          <cell r="A65">
            <v>38047</v>
          </cell>
          <cell r="B65">
            <v>6169326.4761870587</v>
          </cell>
          <cell r="C65">
            <v>187948.13</v>
          </cell>
          <cell r="D65">
            <v>67479.949637298996</v>
          </cell>
          <cell r="E65">
            <v>120468.18036270099</v>
          </cell>
          <cell r="F65">
            <v>6048858.2958243582</v>
          </cell>
          <cell r="G65">
            <v>38047</v>
          </cell>
          <cell r="H65">
            <v>3633312.1746395915</v>
          </cell>
          <cell r="I65">
            <v>110688.62</v>
          </cell>
          <cell r="J65">
            <v>39741.084141766412</v>
          </cell>
          <cell r="K65">
            <v>70947.535858233576</v>
          </cell>
          <cell r="L65">
            <v>3562364.638781358</v>
          </cell>
          <cell r="M65">
            <v>143871.64284553425</v>
          </cell>
          <cell r="N65">
            <v>4383.04</v>
          </cell>
          <cell r="O65">
            <v>1573.6646849298754</v>
          </cell>
          <cell r="P65">
            <v>2809.3753150701245</v>
          </cell>
          <cell r="Q65">
            <v>141062.26753046413</v>
          </cell>
          <cell r="R65">
            <v>2392142.658701933</v>
          </cell>
          <cell r="S65">
            <v>72876.47</v>
          </cell>
          <cell r="T65">
            <v>26165.200810602706</v>
          </cell>
          <cell r="U65">
            <v>46711.269189397295</v>
          </cell>
          <cell r="V65">
            <v>2345431.3895125357</v>
          </cell>
        </row>
        <row r="66">
          <cell r="A66">
            <v>38078</v>
          </cell>
          <cell r="B66">
            <v>6048858.2958243582</v>
          </cell>
          <cell r="C66">
            <v>187948.13</v>
          </cell>
          <cell r="D66">
            <v>66181.834181728511</v>
          </cell>
          <cell r="E66">
            <v>121766.29581827148</v>
          </cell>
          <cell r="F66">
            <v>5927092.0000060853</v>
          </cell>
          <cell r="G66">
            <v>38078</v>
          </cell>
          <cell r="H66">
            <v>3562364.638781358</v>
          </cell>
          <cell r="I66">
            <v>110688.62</v>
          </cell>
          <cell r="J66">
            <v>38976.582739363475</v>
          </cell>
          <cell r="K66">
            <v>71712.037260636513</v>
          </cell>
          <cell r="L66">
            <v>3490652.6015207213</v>
          </cell>
          <cell r="M66">
            <v>141062.26753046413</v>
          </cell>
          <cell r="N66">
            <v>4383.04</v>
          </cell>
          <cell r="O66">
            <v>1543.3920145366578</v>
          </cell>
          <cell r="P66">
            <v>2839.6479854633421</v>
          </cell>
          <cell r="Q66">
            <v>138222.61954500078</v>
          </cell>
          <cell r="R66">
            <v>2345431.3895125357</v>
          </cell>
          <cell r="S66">
            <v>72876.47</v>
          </cell>
          <cell r="T66">
            <v>25661.859427828374</v>
          </cell>
          <cell r="U66">
            <v>47214.61057217163</v>
          </cell>
          <cell r="V66">
            <v>2298216.7789403638</v>
          </cell>
        </row>
        <row r="67">
          <cell r="A67">
            <v>38108</v>
          </cell>
          <cell r="B67">
            <v>5927092.0000060853</v>
          </cell>
          <cell r="C67">
            <v>187948.13</v>
          </cell>
          <cell r="D67">
            <v>64869.73076908158</v>
          </cell>
          <cell r="E67">
            <v>123078.39923091841</v>
          </cell>
          <cell r="F67">
            <v>5804013.6007751673</v>
          </cell>
          <cell r="G67">
            <v>38108</v>
          </cell>
          <cell r="H67">
            <v>3490652.6015207213</v>
          </cell>
          <cell r="I67">
            <v>110688.62</v>
          </cell>
          <cell r="J67">
            <v>38203.843384969601</v>
          </cell>
          <cell r="K67">
            <v>72484.776615030394</v>
          </cell>
          <cell r="L67">
            <v>3418167.8249056907</v>
          </cell>
          <cell r="M67">
            <v>138222.61954500078</v>
          </cell>
          <cell r="N67">
            <v>4383.04</v>
          </cell>
          <cell r="O67">
            <v>1512.7931383254352</v>
          </cell>
          <cell r="P67">
            <v>2870.2468616745646</v>
          </cell>
          <cell r="Q67">
            <v>135352.37268332622</v>
          </cell>
          <cell r="R67">
            <v>2298216.7789403638</v>
          </cell>
          <cell r="S67">
            <v>72876.47</v>
          </cell>
          <cell r="T67">
            <v>25153.094245786542</v>
          </cell>
          <cell r="U67">
            <v>47723.375754213455</v>
          </cell>
          <cell r="V67">
            <v>2250493.4031861504</v>
          </cell>
        </row>
        <row r="68">
          <cell r="A68">
            <v>38139</v>
          </cell>
          <cell r="B68">
            <v>5804013.6007751673</v>
          </cell>
          <cell r="C68">
            <v>187948.13</v>
          </cell>
          <cell r="D68">
            <v>63543.488670898463</v>
          </cell>
          <cell r="E68">
            <v>124404.64132910153</v>
          </cell>
          <cell r="F68">
            <v>5679608.9594460651</v>
          </cell>
          <cell r="G68">
            <v>38139</v>
          </cell>
          <cell r="H68">
            <v>3418167.8249056907</v>
          </cell>
          <cell r="I68">
            <v>110688.62</v>
          </cell>
          <cell r="J68">
            <v>37422.777309809739</v>
          </cell>
          <cell r="K68">
            <v>73265.842690190257</v>
          </cell>
          <cell r="L68">
            <v>3344901.9822155004</v>
          </cell>
          <cell r="M68">
            <v>135352.37268332622</v>
          </cell>
          <cell r="N68">
            <v>4383.04</v>
          </cell>
          <cell r="O68">
            <v>1481.8645412367712</v>
          </cell>
          <cell r="P68">
            <v>2901.1754587632286</v>
          </cell>
          <cell r="Q68">
            <v>132451.19722456299</v>
          </cell>
          <cell r="R68">
            <v>2250493.4031861504</v>
          </cell>
          <cell r="S68">
            <v>72876.47</v>
          </cell>
          <cell r="T68">
            <v>24638.846819851955</v>
          </cell>
          <cell r="U68">
            <v>48237.623180148046</v>
          </cell>
          <cell r="V68">
            <v>2202255.7800060022</v>
          </cell>
        </row>
        <row r="69">
          <cell r="A69">
            <v>38169</v>
          </cell>
          <cell r="B69">
            <v>5679608.9594460651</v>
          </cell>
          <cell r="C69">
            <v>187948.13</v>
          </cell>
          <cell r="D69">
            <v>62202.955534531684</v>
          </cell>
          <cell r="E69">
            <v>125745.17446546833</v>
          </cell>
          <cell r="F69">
            <v>5553863.784980597</v>
          </cell>
          <cell r="G69">
            <v>1644</v>
          </cell>
          <cell r="H69">
            <v>3344901.9822155004</v>
          </cell>
          <cell r="I69">
            <v>110688.62</v>
          </cell>
          <cell r="J69">
            <v>36633.294788573119</v>
          </cell>
          <cell r="K69">
            <v>74055.325211426883</v>
          </cell>
          <cell r="L69">
            <v>3270846.6570040737</v>
          </cell>
          <cell r="M69">
            <v>132451.19722456299</v>
          </cell>
          <cell r="N69">
            <v>4383.04</v>
          </cell>
          <cell r="O69">
            <v>1450.6026703344</v>
          </cell>
          <cell r="P69">
            <v>2932.4373296655999</v>
          </cell>
          <cell r="Q69">
            <v>129518.75989489739</v>
          </cell>
          <cell r="R69">
            <v>2202255.7800060022</v>
          </cell>
          <cell r="S69">
            <v>72876.47</v>
          </cell>
          <cell r="T69">
            <v>24119.058075624162</v>
          </cell>
          <cell r="U69">
            <v>48757.41192437584</v>
          </cell>
          <cell r="V69">
            <v>2153498.3680816265</v>
          </cell>
        </row>
        <row r="70">
          <cell r="A70">
            <v>38200</v>
          </cell>
          <cell r="B70">
            <v>5553863.784980597</v>
          </cell>
          <cell r="C70">
            <v>187948.13</v>
          </cell>
          <cell r="D70">
            <v>60847.97736564443</v>
          </cell>
          <cell r="E70">
            <v>127100.15263435556</v>
          </cell>
          <cell r="F70">
            <v>5426763.6323462427</v>
          </cell>
          <cell r="G70">
            <v>1675</v>
          </cell>
          <cell r="H70">
            <v>3270846.6570040737</v>
          </cell>
          <cell r="I70">
            <v>110688.62</v>
          </cell>
          <cell r="J70">
            <v>35835.305129106033</v>
          </cell>
          <cell r="K70">
            <v>74853.314870893955</v>
          </cell>
          <cell r="L70">
            <v>3195993.3421331798</v>
          </cell>
          <cell r="M70">
            <v>129518.75989489739</v>
          </cell>
          <cell r="N70">
            <v>4383.04</v>
          </cell>
          <cell r="O70">
            <v>1419.0039343970773</v>
          </cell>
          <cell r="P70">
            <v>2964.0360656029225</v>
          </cell>
          <cell r="Q70">
            <v>126554.72382929447</v>
          </cell>
          <cell r="R70">
            <v>2153498.3680816265</v>
          </cell>
          <cell r="S70">
            <v>72876.47</v>
          </cell>
          <cell r="T70">
            <v>23593.668302141319</v>
          </cell>
          <cell r="U70">
            <v>49282.801697858682</v>
          </cell>
          <cell r="V70">
            <v>2104215.5663837679</v>
          </cell>
        </row>
        <row r="71">
          <cell r="A71">
            <v>38231</v>
          </cell>
          <cell r="B71">
            <v>5426763.6323462427</v>
          </cell>
          <cell r="C71">
            <v>187948.13</v>
          </cell>
          <cell r="D71">
            <v>59478.398510520383</v>
          </cell>
          <cell r="E71">
            <v>128469.7314894796</v>
          </cell>
          <cell r="F71">
            <v>5298293.9008567622</v>
          </cell>
          <cell r="G71">
            <v>1706</v>
          </cell>
          <cell r="H71">
            <v>3195993.3421331798</v>
          </cell>
          <cell r="I71">
            <v>110688.62</v>
          </cell>
          <cell r="J71">
            <v>35028.716661993458</v>
          </cell>
          <cell r="K71">
            <v>75659.903338006538</v>
          </cell>
          <cell r="L71">
            <v>3120333.4387951731</v>
          </cell>
          <cell r="M71">
            <v>126554.72382929447</v>
          </cell>
          <cell r="N71">
            <v>4383.04</v>
          </cell>
          <cell r="O71">
            <v>1387.0647035060392</v>
          </cell>
          <cell r="P71">
            <v>2995.9752964939607</v>
          </cell>
          <cell r="Q71">
            <v>123558.74853280051</v>
          </cell>
          <cell r="R71">
            <v>2104215.5663837679</v>
          </cell>
          <cell r="S71">
            <v>72876.47</v>
          </cell>
          <cell r="T71">
            <v>23062.617145020886</v>
          </cell>
          <cell r="U71">
            <v>49813.852854979115</v>
          </cell>
          <cell r="V71">
            <v>2054401.7135287886</v>
          </cell>
        </row>
        <row r="72">
          <cell r="A72">
            <v>38261</v>
          </cell>
          <cell r="B72">
            <v>5298293.9008567622</v>
          </cell>
          <cell r="C72">
            <v>187948.13</v>
          </cell>
          <cell r="D72">
            <v>58094.061638182946</v>
          </cell>
          <cell r="E72">
            <v>129854.06836181704</v>
          </cell>
          <cell r="F72">
            <v>5168439.8324949453</v>
          </cell>
          <cell r="G72">
            <v>1736</v>
          </cell>
          <cell r="H72">
            <v>3120333.4387951731</v>
          </cell>
          <cell r="I72">
            <v>110688.62</v>
          </cell>
          <cell r="J72">
            <v>34213.436730028581</v>
          </cell>
          <cell r="K72">
            <v>76475.183269971414</v>
          </cell>
          <cell r="L72">
            <v>3043858.2555252016</v>
          </cell>
          <cell r="M72">
            <v>123558.74853280051</v>
          </cell>
          <cell r="N72">
            <v>4383.04</v>
          </cell>
          <cell r="O72">
            <v>1354.7813086280144</v>
          </cell>
          <cell r="P72">
            <v>3028.2586913719856</v>
          </cell>
          <cell r="Q72">
            <v>120530.48984142853</v>
          </cell>
          <cell r="R72">
            <v>2054401.7135287886</v>
          </cell>
          <cell r="S72">
            <v>72876.47</v>
          </cell>
          <cell r="T72">
            <v>22525.84359952635</v>
          </cell>
          <cell r="U72">
            <v>50350.626400473651</v>
          </cell>
          <cell r="V72">
            <v>2004051.0871283149</v>
          </cell>
        </row>
        <row r="73">
          <cell r="A73">
            <v>38292</v>
          </cell>
          <cell r="B73">
            <v>5168439.8324949453</v>
          </cell>
          <cell r="C73">
            <v>187948.13</v>
          </cell>
          <cell r="D73">
            <v>56694.807722321748</v>
          </cell>
          <cell r="E73">
            <v>131253.32227767823</v>
          </cell>
          <cell r="F73">
            <v>5037186.5102172662</v>
          </cell>
          <cell r="G73">
            <v>1767</v>
          </cell>
          <cell r="H73">
            <v>3043858.2555252016</v>
          </cell>
          <cell r="I73">
            <v>110688.62</v>
          </cell>
          <cell r="J73">
            <v>33389.371677568699</v>
          </cell>
          <cell r="K73">
            <v>77299.248322431289</v>
          </cell>
          <cell r="L73">
            <v>2966559.0072027701</v>
          </cell>
          <cell r="M73">
            <v>120530.48984142853</v>
          </cell>
          <cell r="N73">
            <v>4383.04</v>
          </cell>
          <cell r="O73">
            <v>1322.1500411937407</v>
          </cell>
          <cell r="P73">
            <v>3060.8899588062595</v>
          </cell>
          <cell r="Q73">
            <v>117469.59988262226</v>
          </cell>
          <cell r="R73">
            <v>2004051.0871283149</v>
          </cell>
          <cell r="S73">
            <v>72876.47</v>
          </cell>
          <cell r="T73">
            <v>21983.286003559311</v>
          </cell>
          <cell r="U73">
            <v>50893.18399644069</v>
          </cell>
          <cell r="V73">
            <v>1953157.9031318743</v>
          </cell>
        </row>
        <row r="74">
          <cell r="A74">
            <v>38322</v>
          </cell>
          <cell r="B74">
            <v>5037186.5102172662</v>
          </cell>
          <cell r="C74">
            <v>187948.13</v>
          </cell>
          <cell r="D74">
            <v>55280.476023024486</v>
          </cell>
          <cell r="E74">
            <v>132667.65397697553</v>
          </cell>
          <cell r="F74">
            <v>4904518.8562402911</v>
          </cell>
          <cell r="G74">
            <v>1797</v>
          </cell>
          <cell r="H74">
            <v>2966559.0072027701</v>
          </cell>
          <cell r="I74">
            <v>110688.62</v>
          </cell>
          <cell r="J74">
            <v>32556.426839776515</v>
          </cell>
          <cell r="K74">
            <v>78132.193160223484</v>
          </cell>
          <cell r="L74">
            <v>2888426.8140425468</v>
          </cell>
          <cell r="M74">
            <v>117469.59988262226</v>
          </cell>
          <cell r="N74">
            <v>4383.04</v>
          </cell>
          <cell r="O74">
            <v>1289.1671526719417</v>
          </cell>
          <cell r="P74">
            <v>3093.872847328058</v>
          </cell>
          <cell r="Q74">
            <v>114375.7270352942</v>
          </cell>
          <cell r="R74">
            <v>1953157.9031318743</v>
          </cell>
          <cell r="S74">
            <v>72876.47</v>
          </cell>
          <cell r="T74">
            <v>21434.882030576027</v>
          </cell>
          <cell r="U74">
            <v>51441.58796942397</v>
          </cell>
          <cell r="V74">
            <v>1901716.3151624503</v>
          </cell>
        </row>
        <row r="75">
          <cell r="A75">
            <v>38353</v>
          </cell>
          <cell r="B75">
            <v>4904518.8562402911</v>
          </cell>
          <cell r="C75">
            <v>187948.13</v>
          </cell>
          <cell r="D75">
            <v>53850.904068311771</v>
          </cell>
          <cell r="E75">
            <v>134097.22593168821</v>
          </cell>
          <cell r="F75">
            <v>4770421.6303086029</v>
          </cell>
          <cell r="G75">
            <v>38353</v>
          </cell>
          <cell r="H75">
            <v>2888426.8140425468</v>
          </cell>
          <cell r="I75">
            <v>110688.62</v>
          </cell>
          <cell r="J75">
            <v>31714.506531745465</v>
          </cell>
          <cell r="K75">
            <v>78974.113468254538</v>
          </cell>
          <cell r="L75">
            <v>2809452.7005742923</v>
          </cell>
          <cell r="M75">
            <v>114375.7270352942</v>
          </cell>
          <cell r="N75">
            <v>4383.04</v>
          </cell>
          <cell r="O75">
            <v>1255.8288541387144</v>
          </cell>
          <cell r="P75">
            <v>3127.2111458612853</v>
          </cell>
          <cell r="Q75">
            <v>111248.51588943292</v>
          </cell>
          <cell r="R75">
            <v>1901716.3151624503</v>
          </cell>
          <cell r="S75">
            <v>72876.47</v>
          </cell>
          <cell r="T75">
            <v>20880.568682427591</v>
          </cell>
          <cell r="U75">
            <v>51995.90131757241</v>
          </cell>
          <cell r="V75">
            <v>1849720.4138448779</v>
          </cell>
        </row>
        <row r="76">
          <cell r="A76">
            <v>38384</v>
          </cell>
          <cell r="B76">
            <v>4770421.6303086029</v>
          </cell>
          <cell r="C76">
            <v>187948.13</v>
          </cell>
          <cell r="D76">
            <v>52405.927635473177</v>
          </cell>
          <cell r="E76">
            <v>135542.20236452681</v>
          </cell>
          <cell r="F76">
            <v>4634879.4279440762</v>
          </cell>
          <cell r="G76">
            <v>38384</v>
          </cell>
          <cell r="H76">
            <v>2809452.7005742923</v>
          </cell>
          <cell r="I76">
            <v>110688.62</v>
          </cell>
          <cell r="J76">
            <v>30863.514037507881</v>
          </cell>
          <cell r="K76">
            <v>79825.105962492118</v>
          </cell>
          <cell r="L76">
            <v>2729627.5946118003</v>
          </cell>
          <cell r="M76">
            <v>111248.51588943292</v>
          </cell>
          <cell r="N76">
            <v>4383.04</v>
          </cell>
          <cell r="O76">
            <v>1222.131315842272</v>
          </cell>
          <cell r="P76">
            <v>3160.9086841577282</v>
          </cell>
          <cell r="Q76">
            <v>108087.6072052752</v>
          </cell>
          <cell r="R76">
            <v>1849720.4138448779</v>
          </cell>
          <cell r="S76">
            <v>72876.47</v>
          </cell>
          <cell r="T76">
            <v>20320.282282123026</v>
          </cell>
          <cell r="U76">
            <v>52556.187717876979</v>
          </cell>
          <cell r="V76">
            <v>1797164.226127001</v>
          </cell>
        </row>
        <row r="77">
          <cell r="A77">
            <v>38412</v>
          </cell>
          <cell r="B77">
            <v>4634879.4279440762</v>
          </cell>
          <cell r="C77">
            <v>187948.13</v>
          </cell>
          <cell r="D77">
            <v>50945.380732202022</v>
          </cell>
          <cell r="E77">
            <v>137002.74926779798</v>
          </cell>
          <cell r="F77">
            <v>4497876.6786762793</v>
          </cell>
          <cell r="G77">
            <v>38412</v>
          </cell>
          <cell r="H77">
            <v>2729627.5946118003</v>
          </cell>
          <cell r="I77">
            <v>110688.62</v>
          </cell>
          <cell r="J77">
            <v>30003.351598924673</v>
          </cell>
          <cell r="K77">
            <v>80685.268401075329</v>
          </cell>
          <cell r="L77">
            <v>2648942.3262107251</v>
          </cell>
          <cell r="M77">
            <v>108087.6072052752</v>
          </cell>
          <cell r="N77">
            <v>4383.04</v>
          </cell>
          <cell r="O77">
            <v>1188.0706667630025</v>
          </cell>
          <cell r="P77">
            <v>3194.9693332369975</v>
          </cell>
          <cell r="Q77">
            <v>104892.63787203821</v>
          </cell>
          <cell r="R77">
            <v>1797164.226127001</v>
          </cell>
          <cell r="S77">
            <v>72876.47</v>
          </cell>
          <cell r="T77">
            <v>19753.958466514345</v>
          </cell>
          <cell r="U77">
            <v>53122.511533485653</v>
          </cell>
          <cell r="V77">
            <v>1744041.7145935153</v>
          </cell>
        </row>
        <row r="78">
          <cell r="A78">
            <v>38443</v>
          </cell>
          <cell r="B78">
            <v>4497876.6786762793</v>
          </cell>
          <cell r="C78">
            <v>187948.13</v>
          </cell>
          <cell r="D78">
            <v>49469.095577526925</v>
          </cell>
          <cell r="E78">
            <v>138479.03442247308</v>
          </cell>
          <cell r="F78">
            <v>4359397.6442538053</v>
          </cell>
          <cell r="G78">
            <v>38443</v>
          </cell>
          <cell r="H78">
            <v>2648942.3262107251</v>
          </cell>
          <cell r="I78">
            <v>110688.62</v>
          </cell>
          <cell r="J78">
            <v>29133.920404455348</v>
          </cell>
          <cell r="K78">
            <v>81554.699595544647</v>
          </cell>
          <cell r="L78">
            <v>2567387.6266151806</v>
          </cell>
          <cell r="M78">
            <v>104892.63787203821</v>
          </cell>
          <cell r="N78">
            <v>4383.04</v>
          </cell>
          <cell r="O78">
            <v>1153.6429941687809</v>
          </cell>
          <cell r="P78">
            <v>3229.3970058312188</v>
          </cell>
          <cell r="Q78">
            <v>101663.24086620699</v>
          </cell>
          <cell r="R78">
            <v>1744041.7145935153</v>
          </cell>
          <cell r="S78">
            <v>72876.47</v>
          </cell>
          <cell r="T78">
            <v>19181.532178902798</v>
          </cell>
          <cell r="U78">
            <v>53694.937821097206</v>
          </cell>
          <cell r="V78">
            <v>1690346.7767724181</v>
          </cell>
        </row>
        <row r="79">
          <cell r="A79">
            <v>38473</v>
          </cell>
          <cell r="B79">
            <v>4359397.6442538053</v>
          </cell>
          <cell r="C79">
            <v>187948.13</v>
          </cell>
          <cell r="D79">
            <v>47976.902582537958</v>
          </cell>
          <cell r="E79">
            <v>139971.22741746204</v>
          </cell>
          <cell r="F79">
            <v>4219426.4168363437</v>
          </cell>
          <cell r="G79">
            <v>38473</v>
          </cell>
          <cell r="H79">
            <v>2567387.6266151806</v>
          </cell>
          <cell r="I79">
            <v>110688.62</v>
          </cell>
          <cell r="J79">
            <v>28255.120577806989</v>
          </cell>
          <cell r="K79">
            <v>82433.49942219301</v>
          </cell>
          <cell r="L79">
            <v>2484954.1271929876</v>
          </cell>
          <cell r="M79">
            <v>101663.24086620699</v>
          </cell>
          <cell r="N79">
            <v>4383.04</v>
          </cell>
          <cell r="O79">
            <v>1118.8443431654948</v>
          </cell>
          <cell r="P79">
            <v>3264.1956568345049</v>
          </cell>
          <cell r="Q79">
            <v>98399.045209372489</v>
          </cell>
          <cell r="R79">
            <v>1690346.7767724181</v>
          </cell>
          <cell r="S79">
            <v>72876.47</v>
          </cell>
          <cell r="T79">
            <v>18602.937661565473</v>
          </cell>
          <cell r="U79">
            <v>54273.532338434525</v>
          </cell>
          <cell r="V79">
            <v>1636073.2444339835</v>
          </cell>
        </row>
        <row r="80">
          <cell r="A80">
            <v>38504</v>
          </cell>
          <cell r="B80">
            <v>4219426.4168363437</v>
          </cell>
          <cell r="C80">
            <v>187948.13</v>
          </cell>
          <cell r="D80">
            <v>46468.630330904976</v>
          </cell>
          <cell r="E80">
            <v>141479.49966909504</v>
          </cell>
          <cell r="F80">
            <v>4077946.9171672487</v>
          </cell>
          <cell r="G80">
            <v>38504</v>
          </cell>
          <cell r="H80">
            <v>2484954.1271929876</v>
          </cell>
          <cell r="I80">
            <v>110688.62</v>
          </cell>
          <cell r="J80">
            <v>27366.851166460914</v>
          </cell>
          <cell r="K80">
            <v>83321.768833539085</v>
          </cell>
          <cell r="L80">
            <v>2401632.3583594486</v>
          </cell>
          <cell r="M80">
            <v>98399.045209372489</v>
          </cell>
          <cell r="N80">
            <v>4383.04</v>
          </cell>
          <cell r="O80">
            <v>1083.6707162427222</v>
          </cell>
          <cell r="P80">
            <v>3299.369283757278</v>
          </cell>
          <cell r="Q80">
            <v>95099.675925615215</v>
          </cell>
          <cell r="R80">
            <v>1636073.2444339835</v>
          </cell>
          <cell r="S80">
            <v>72876.47</v>
          </cell>
          <cell r="T80">
            <v>18018.108448201339</v>
          </cell>
          <cell r="U80">
            <v>54858.361551798662</v>
          </cell>
          <cell r="V80">
            <v>1581214.8828821848</v>
          </cell>
        </row>
        <row r="81">
          <cell r="A81">
            <v>38534</v>
          </cell>
          <cell r="B81">
            <v>4077946.9171672487</v>
          </cell>
          <cell r="C81">
            <v>187948.13</v>
          </cell>
          <cell r="D81">
            <v>44944.105559186122</v>
          </cell>
          <cell r="E81">
            <v>143004.02444081387</v>
          </cell>
          <cell r="F81">
            <v>3934942.8927264344</v>
          </cell>
          <cell r="G81">
            <v>2009</v>
          </cell>
          <cell r="H81">
            <v>2401632.3583594486</v>
          </cell>
          <cell r="I81">
            <v>110688.62</v>
          </cell>
          <cell r="J81">
            <v>26469.010130075694</v>
          </cell>
          <cell r="K81">
            <v>84219.609869924301</v>
          </cell>
          <cell r="L81">
            <v>2317412.7484895242</v>
          </cell>
          <cell r="M81">
            <v>95099.675925615215</v>
          </cell>
          <cell r="N81">
            <v>4383.04</v>
          </cell>
          <cell r="O81">
            <v>1048.1180728145168</v>
          </cell>
          <cell r="P81">
            <v>3334.9219271854831</v>
          </cell>
          <cell r="Q81">
            <v>91764.753998429733</v>
          </cell>
          <cell r="R81">
            <v>1581214.8828821848</v>
          </cell>
          <cell r="S81">
            <v>72876.47</v>
          </cell>
          <cell r="T81">
            <v>17426.977356295913</v>
          </cell>
          <cell r="U81">
            <v>55449.492643704085</v>
          </cell>
          <cell r="V81">
            <v>1525765.3902384806</v>
          </cell>
        </row>
        <row r="82">
          <cell r="A82">
            <v>38565</v>
          </cell>
          <cell r="B82">
            <v>3934942.8927264344</v>
          </cell>
          <cell r="C82">
            <v>187948.13</v>
          </cell>
          <cell r="D82">
            <v>43403.15313692412</v>
          </cell>
          <cell r="E82">
            <v>144544.97686307586</v>
          </cell>
          <cell r="F82">
            <v>3790397.9158633584</v>
          </cell>
          <cell r="G82">
            <v>2040</v>
          </cell>
          <cell r="H82">
            <v>2317412.7484895242</v>
          </cell>
          <cell r="I82">
            <v>110688.62</v>
          </cell>
          <cell r="J82">
            <v>25561.494328765271</v>
          </cell>
          <cell r="K82">
            <v>85127.125671234724</v>
          </cell>
          <cell r="L82">
            <v>2232285.6228182893</v>
          </cell>
          <cell r="M82">
            <v>91764.753998429733</v>
          </cell>
          <cell r="N82">
            <v>4383.04</v>
          </cell>
          <cell r="O82">
            <v>1012.1823287552435</v>
          </cell>
          <cell r="P82">
            <v>3370.8576712447566</v>
          </cell>
          <cell r="Q82">
            <v>88393.896327184979</v>
          </cell>
          <cell r="R82">
            <v>1525765.3902384806</v>
          </cell>
          <cell r="S82">
            <v>72876.47</v>
          </cell>
          <cell r="T82">
            <v>16829.476479403605</v>
          </cell>
          <cell r="U82">
            <v>56046.993520596399</v>
          </cell>
          <cell r="V82">
            <v>1469718.3967178843</v>
          </cell>
        </row>
        <row r="83">
          <cell r="A83">
            <v>38596</v>
          </cell>
          <cell r="B83">
            <v>3790397.9158633584</v>
          </cell>
          <cell r="C83">
            <v>187948.13</v>
          </cell>
          <cell r="D83">
            <v>41845.596046528051</v>
          </cell>
          <cell r="E83">
            <v>146102.53395347192</v>
          </cell>
          <cell r="F83">
            <v>3644295.3819098864</v>
          </cell>
          <cell r="G83">
            <v>2071</v>
          </cell>
          <cell r="H83">
            <v>2232285.6228182893</v>
          </cell>
          <cell r="I83">
            <v>110688.62</v>
          </cell>
          <cell r="J83">
            <v>24644.199511250659</v>
          </cell>
          <cell r="K83">
            <v>86044.42048874934</v>
          </cell>
          <cell r="L83">
            <v>2146241.2023295402</v>
          </cell>
          <cell r="M83">
            <v>88393.896327184979</v>
          </cell>
          <cell r="N83">
            <v>4383.04</v>
          </cell>
          <cell r="O83">
            <v>975.85935593041313</v>
          </cell>
          <cell r="P83">
            <v>3407.1806440695868</v>
          </cell>
          <cell r="Q83">
            <v>84986.715683115399</v>
          </cell>
          <cell r="R83">
            <v>1469718.3967178843</v>
          </cell>
          <cell r="S83">
            <v>72876.47</v>
          </cell>
          <cell r="T83">
            <v>16225.537179346979</v>
          </cell>
          <cell r="U83">
            <v>56650.932820653019</v>
          </cell>
          <cell r="V83">
            <v>1413067.4638972313</v>
          </cell>
        </row>
        <row r="84">
          <cell r="A84">
            <v>38626</v>
          </cell>
          <cell r="B84">
            <v>3644295.3819098864</v>
          </cell>
          <cell r="C84">
            <v>187948.13</v>
          </cell>
          <cell r="D84">
            <v>40271.25536293842</v>
          </cell>
          <cell r="E84">
            <v>147676.87463706158</v>
          </cell>
          <cell r="F84">
            <v>3496618.5072728256</v>
          </cell>
          <cell r="G84">
            <v>2101</v>
          </cell>
          <cell r="H84">
            <v>2146241.2023295402</v>
          </cell>
          <cell r="I84">
            <v>110688.62</v>
          </cell>
          <cell r="J84">
            <v>23717.020302884081</v>
          </cell>
          <cell r="K84">
            <v>86971.599697115918</v>
          </cell>
          <cell r="L84">
            <v>2059269.6026324243</v>
          </cell>
          <cell r="M84">
            <v>84986.715683115399</v>
          </cell>
          <cell r="N84">
            <v>4383.04</v>
          </cell>
          <cell r="O84">
            <v>939.14498172246044</v>
          </cell>
          <cell r="P84">
            <v>3443.8950182775397</v>
          </cell>
          <cell r="Q84">
            <v>81542.820664837855</v>
          </cell>
          <cell r="R84">
            <v>1413067.4638972313</v>
          </cell>
          <cell r="S84">
            <v>72876.47</v>
          </cell>
          <cell r="T84">
            <v>15615.090078331878</v>
          </cell>
          <cell r="U84">
            <v>57261.379921668122</v>
          </cell>
          <cell r="V84">
            <v>1355806.0839755631</v>
          </cell>
        </row>
        <row r="85">
          <cell r="A85">
            <v>38657</v>
          </cell>
          <cell r="B85">
            <v>3496618.5072728256</v>
          </cell>
          <cell r="C85">
            <v>187948.13</v>
          </cell>
          <cell r="D85">
            <v>38679.950233073025</v>
          </cell>
          <cell r="E85">
            <v>149268.17976692697</v>
          </cell>
          <cell r="F85">
            <v>3347350.3275058982</v>
          </cell>
          <cell r="G85">
            <v>2132</v>
          </cell>
          <cell r="H85">
            <v>2059269.6026324243</v>
          </cell>
          <cell r="I85">
            <v>110688.62</v>
          </cell>
          <cell r="J85">
            <v>22779.850193543974</v>
          </cell>
          <cell r="K85">
            <v>87908.769806456025</v>
          </cell>
          <cell r="L85">
            <v>1971360.8328259683</v>
          </cell>
          <cell r="M85">
            <v>81542.820664837855</v>
          </cell>
          <cell r="N85">
            <v>4383.04</v>
          </cell>
          <cell r="O85">
            <v>902.03498855141345</v>
          </cell>
          <cell r="P85">
            <v>3481.0050114485866</v>
          </cell>
          <cell r="Q85">
            <v>78061.815653389262</v>
          </cell>
          <cell r="R85">
            <v>1355806.0839755631</v>
          </cell>
          <cell r="S85">
            <v>72876.47</v>
          </cell>
          <cell r="T85">
            <v>14998.065050977637</v>
          </cell>
          <cell r="U85">
            <v>57878.404949022362</v>
          </cell>
          <cell r="V85">
            <v>1297927.6790265406</v>
          </cell>
        </row>
        <row r="86">
          <cell r="A86">
            <v>38687</v>
          </cell>
          <cell r="B86">
            <v>3347350.3275058982</v>
          </cell>
          <cell r="C86">
            <v>187948.13</v>
          </cell>
          <cell r="D86">
            <v>37071.497855051421</v>
          </cell>
          <cell r="E86">
            <v>150876.63214494858</v>
          </cell>
          <cell r="F86">
            <v>3196473.6953609493</v>
          </cell>
          <cell r="G86">
            <v>2162</v>
          </cell>
          <cell r="H86">
            <v>1971360.8328259683</v>
          </cell>
          <cell r="I86">
            <v>110688.62</v>
          </cell>
          <cell r="J86">
            <v>21832.58152539963</v>
          </cell>
          <cell r="K86">
            <v>88856.038474600369</v>
          </cell>
          <cell r="L86">
            <v>1882504.794351368</v>
          </cell>
          <cell r="M86">
            <v>78061.815653389262</v>
          </cell>
          <cell r="N86">
            <v>4383.04</v>
          </cell>
          <cell r="O86">
            <v>864.52511339039688</v>
          </cell>
          <cell r="P86">
            <v>3518.5148866096033</v>
          </cell>
          <cell r="Q86">
            <v>74543.300766779663</v>
          </cell>
          <cell r="R86">
            <v>1297927.6790265406</v>
          </cell>
          <cell r="S86">
            <v>72876.47</v>
          </cell>
          <cell r="T86">
            <v>14374.391216261396</v>
          </cell>
          <cell r="U86">
            <v>58502.078783738601</v>
          </cell>
          <cell r="V86">
            <v>1239425.6002428019</v>
          </cell>
        </row>
        <row r="87">
          <cell r="A87">
            <v>38718</v>
          </cell>
          <cell r="B87">
            <v>3196473.6953609493</v>
          </cell>
          <cell r="C87">
            <v>187948.13</v>
          </cell>
          <cell r="D87">
            <v>35445.713457195423</v>
          </cell>
          <cell r="E87">
            <v>152502.41654280457</v>
          </cell>
          <cell r="F87">
            <v>3043971.2788181454</v>
          </cell>
          <cell r="G87">
            <v>38718</v>
          </cell>
          <cell r="H87">
            <v>1882504.794351368</v>
          </cell>
          <cell r="I87">
            <v>110688.62</v>
          </cell>
          <cell r="J87">
            <v>20875.105480543905</v>
          </cell>
          <cell r="K87">
            <v>89813.51451945609</v>
          </cell>
          <cell r="L87">
            <v>1792691.2798319119</v>
          </cell>
          <cell r="M87">
            <v>74543.300766779663</v>
          </cell>
          <cell r="N87">
            <v>4383.04</v>
          </cell>
          <cell r="O87">
            <v>826.61104727591498</v>
          </cell>
          <cell r="P87">
            <v>3556.4289527240849</v>
          </cell>
          <cell r="Q87">
            <v>70986.871814055572</v>
          </cell>
          <cell r="R87">
            <v>1239425.6002428019</v>
          </cell>
          <cell r="S87">
            <v>72876.47</v>
          </cell>
          <cell r="T87">
            <v>13743.996929375604</v>
          </cell>
          <cell r="U87">
            <v>59132.473070624401</v>
          </cell>
          <cell r="V87">
            <v>1180293.1271721777</v>
          </cell>
        </row>
        <row r="88">
          <cell r="A88">
            <v>38749</v>
          </cell>
          <cell r="B88">
            <v>3043971.2788181454</v>
          </cell>
          <cell r="C88">
            <v>187948.13</v>
          </cell>
          <cell r="D88">
            <v>33802.410276803435</v>
          </cell>
          <cell r="E88">
            <v>154145.71972319655</v>
          </cell>
          <cell r="F88">
            <v>2889825.5590949487</v>
          </cell>
          <cell r="G88">
            <v>38749</v>
          </cell>
          <cell r="H88">
            <v>1792691.2798319119</v>
          </cell>
          <cell r="I88">
            <v>110688.62</v>
          </cell>
          <cell r="J88">
            <v>19907.312068492767</v>
          </cell>
          <cell r="K88">
            <v>90781.307931507225</v>
          </cell>
          <cell r="L88">
            <v>1701909.9719004047</v>
          </cell>
          <cell r="M88">
            <v>70986.871814055572</v>
          </cell>
          <cell r="N88">
            <v>4383.04</v>
          </cell>
          <cell r="O88">
            <v>788.28843481285753</v>
          </cell>
          <cell r="P88">
            <v>3594.7515651871427</v>
          </cell>
          <cell r="Q88">
            <v>67392.120248868436</v>
          </cell>
          <cell r="R88">
            <v>1180293.1271721777</v>
          </cell>
          <cell r="S88">
            <v>72876.47</v>
          </cell>
          <cell r="T88">
            <v>13106.809773497807</v>
          </cell>
          <cell r="U88">
            <v>59769.660226502194</v>
          </cell>
          <cell r="V88">
            <v>1120523.4669456754</v>
          </cell>
        </row>
        <row r="89">
          <cell r="A89">
            <v>38777</v>
          </cell>
          <cell r="B89">
            <v>2889825.5590949487</v>
          </cell>
          <cell r="C89">
            <v>187948.13</v>
          </cell>
          <cell r="D89">
            <v>32141.399538695925</v>
          </cell>
          <cell r="E89">
            <v>155806.73046130408</v>
          </cell>
          <cell r="F89">
            <v>2734018.8286336446</v>
          </cell>
          <cell r="G89">
            <v>38777</v>
          </cell>
          <cell r="H89">
            <v>1701909.9719004047</v>
          </cell>
          <cell r="I89">
            <v>110688.62</v>
          </cell>
          <cell r="J89">
            <v>18929.09011355005</v>
          </cell>
          <cell r="K89">
            <v>91759.529886449949</v>
          </cell>
          <cell r="L89">
            <v>1610150.4420139547</v>
          </cell>
          <cell r="M89">
            <v>67392.120248868436</v>
          </cell>
          <cell r="N89">
            <v>4383.04</v>
          </cell>
          <cell r="O89">
            <v>749.55287367417179</v>
          </cell>
          <cell r="P89">
            <v>3633.4871263258283</v>
          </cell>
          <cell r="Q89">
            <v>63758.633122542611</v>
          </cell>
          <cell r="R89">
            <v>1120523.4669456754</v>
          </cell>
          <cell r="S89">
            <v>72876.47</v>
          </cell>
          <cell r="T89">
            <v>12462.756551471703</v>
          </cell>
          <cell r="U89">
            <v>60413.713448528302</v>
          </cell>
          <cell r="V89">
            <v>1060109.7534971472</v>
          </cell>
        </row>
        <row r="90">
          <cell r="A90">
            <v>38808</v>
          </cell>
          <cell r="B90">
            <v>2734018.8286336446</v>
          </cell>
          <cell r="C90">
            <v>187948.13</v>
          </cell>
          <cell r="D90">
            <v>30462.490433529878</v>
          </cell>
          <cell r="E90">
            <v>157485.63956647011</v>
          </cell>
          <cell r="F90">
            <v>2576533.1890671747</v>
          </cell>
          <cell r="G90">
            <v>38808</v>
          </cell>
          <cell r="H90">
            <v>1610150.4420139547</v>
          </cell>
          <cell r="I90">
            <v>110688.62</v>
          </cell>
          <cell r="J90">
            <v>17940.327242036114</v>
          </cell>
          <cell r="K90">
            <v>92748.292757963878</v>
          </cell>
          <cell r="L90">
            <v>1517402.149255991</v>
          </cell>
          <cell r="M90">
            <v>63758.633122542611</v>
          </cell>
          <cell r="N90">
            <v>4383.04</v>
          </cell>
          <cell r="O90">
            <v>710.39991409514323</v>
          </cell>
          <cell r="P90">
            <v>3672.6400859048567</v>
          </cell>
          <cell r="Q90">
            <v>60085.993036637752</v>
          </cell>
          <cell r="R90">
            <v>1060109.7534971472</v>
          </cell>
          <cell r="S90">
            <v>72876.47</v>
          </cell>
          <cell r="T90">
            <v>11811.763277398622</v>
          </cell>
          <cell r="U90">
            <v>61064.706722601375</v>
          </cell>
          <cell r="V90">
            <v>999045.04677454592</v>
          </cell>
        </row>
        <row r="91">
          <cell r="A91">
            <v>38838</v>
          </cell>
          <cell r="B91">
            <v>2576533.1890671747</v>
          </cell>
          <cell r="C91">
            <v>187948.13</v>
          </cell>
          <cell r="D91">
            <v>28765.490095879439</v>
          </cell>
          <cell r="E91">
            <v>159182.63990412059</v>
          </cell>
          <cell r="F91">
            <v>2417350.5491630537</v>
          </cell>
          <cell r="G91">
            <v>38838</v>
          </cell>
          <cell r="H91">
            <v>1517402.149255991</v>
          </cell>
          <cell r="I91">
            <v>110688.62</v>
          </cell>
          <cell r="J91">
            <v>16940.909869378873</v>
          </cell>
          <cell r="K91">
            <v>93747.710130621126</v>
          </cell>
          <cell r="L91">
            <v>1423654.4391253698</v>
          </cell>
          <cell r="M91">
            <v>60085.993036637752</v>
          </cell>
          <cell r="N91">
            <v>4383.04</v>
          </cell>
          <cell r="O91">
            <v>670.82505836222697</v>
          </cell>
          <cell r="P91">
            <v>3712.2149416377729</v>
          </cell>
          <cell r="Q91">
            <v>56373.77809499998</v>
          </cell>
          <cell r="R91">
            <v>999045.04677454592</v>
          </cell>
          <cell r="S91">
            <v>72876.47</v>
          </cell>
          <cell r="T91">
            <v>11153.755168138337</v>
          </cell>
          <cell r="U91">
            <v>61722.714831861667</v>
          </cell>
          <cell r="V91">
            <v>937322.33194268425</v>
          </cell>
        </row>
        <row r="92">
          <cell r="A92">
            <v>38869</v>
          </cell>
          <cell r="B92">
            <v>2417350.5491630537</v>
          </cell>
          <cell r="C92">
            <v>187948.13</v>
          </cell>
          <cell r="D92">
            <v>27050.203582080409</v>
          </cell>
          <cell r="E92">
            <v>160897.92641791957</v>
          </cell>
          <cell r="F92">
            <v>2256452.6227451344</v>
          </cell>
          <cell r="G92">
            <v>38869</v>
          </cell>
          <cell r="H92">
            <v>1423654.4391253698</v>
          </cell>
          <cell r="I92">
            <v>110688.62</v>
          </cell>
          <cell r="J92">
            <v>15930.723187065705</v>
          </cell>
          <cell r="K92">
            <v>94757.896812934283</v>
          </cell>
          <cell r="L92">
            <v>1328896.5423124356</v>
          </cell>
          <cell r="M92">
            <v>56373.77809499998</v>
          </cell>
          <cell r="N92">
            <v>4383.04</v>
          </cell>
          <cell r="O92">
            <v>630.82376029637112</v>
          </cell>
          <cell r="P92">
            <v>3752.2162397036291</v>
          </cell>
          <cell r="Q92">
            <v>52621.56185529635</v>
          </cell>
          <cell r="R92">
            <v>937322.33194268425</v>
          </cell>
          <cell r="S92">
            <v>72876.47</v>
          </cell>
          <cell r="T92">
            <v>10488.656634718331</v>
          </cell>
          <cell r="U92">
            <v>62387.813365281669</v>
          </cell>
          <cell r="V92">
            <v>874934.51857740257</v>
          </cell>
        </row>
        <row r="93">
          <cell r="A93">
            <v>38899</v>
          </cell>
          <cell r="B93">
            <v>2256452.6227451344</v>
          </cell>
          <cell r="C93">
            <v>187948.13</v>
          </cell>
          <cell r="D93">
            <v>25316.433847836022</v>
          </cell>
          <cell r="E93">
            <v>162631.69615216396</v>
          </cell>
          <cell r="F93">
            <v>2093820.9265929707</v>
          </cell>
          <cell r="G93">
            <v>2374</v>
          </cell>
          <cell r="H93">
            <v>1328896.5423124356</v>
          </cell>
          <cell r="I93">
            <v>110688.62</v>
          </cell>
          <cell r="J93">
            <v>14909.651149454778</v>
          </cell>
          <cell r="K93">
            <v>95778.968850545221</v>
          </cell>
          <cell r="L93">
            <v>1233117.5734618905</v>
          </cell>
          <cell r="M93">
            <v>52621.56185529635</v>
          </cell>
          <cell r="N93">
            <v>4383.04</v>
          </cell>
          <cell r="O93">
            <v>590.39142473077186</v>
          </cell>
          <cell r="P93">
            <v>3792.6485752692279</v>
          </cell>
          <cell r="Q93">
            <v>48828.913280027118</v>
          </cell>
          <cell r="R93">
            <v>874934.51857740257</v>
          </cell>
          <cell r="S93">
            <v>72876.47</v>
          </cell>
          <cell r="T93">
            <v>9816.3912736504717</v>
          </cell>
          <cell r="U93">
            <v>63060.078726349529</v>
          </cell>
          <cell r="V93">
            <v>811874.43985105306</v>
          </cell>
        </row>
        <row r="94">
          <cell r="A94">
            <v>38930</v>
          </cell>
          <cell r="B94">
            <v>2093820.9265929707</v>
          </cell>
          <cell r="C94">
            <v>187948.13</v>
          </cell>
          <cell r="D94">
            <v>23563.981725581405</v>
          </cell>
          <cell r="E94">
            <v>164384.14827441861</v>
          </cell>
          <cell r="F94">
            <v>1929436.7783185518</v>
          </cell>
          <cell r="G94">
            <v>2405</v>
          </cell>
          <cell r="H94">
            <v>1233117.5734618905</v>
          </cell>
          <cell r="I94">
            <v>110688.62</v>
          </cell>
          <cell r="J94">
            <v>13877.576460444267</v>
          </cell>
          <cell r="K94">
            <v>96811.043539555729</v>
          </cell>
          <cell r="L94">
            <v>1136306.5299223347</v>
          </cell>
          <cell r="M94">
            <v>48828.913280027118</v>
          </cell>
          <cell r="N94">
            <v>4383.04</v>
          </cell>
          <cell r="O94">
            <v>549.52340698300213</v>
          </cell>
          <cell r="P94">
            <v>3833.5165930169978</v>
          </cell>
          <cell r="Q94">
            <v>44995.396687010121</v>
          </cell>
          <cell r="R94">
            <v>811874.43985105306</v>
          </cell>
          <cell r="S94">
            <v>72876.47</v>
          </cell>
          <cell r="T94">
            <v>9136.8818581541345</v>
          </cell>
          <cell r="U94">
            <v>63739.588141845867</v>
          </cell>
          <cell r="V94">
            <v>748134.85170920717</v>
          </cell>
        </row>
        <row r="95">
          <cell r="A95">
            <v>38961</v>
          </cell>
          <cell r="B95">
            <v>1929436.7783185518</v>
          </cell>
          <cell r="C95">
            <v>187948.13</v>
          </cell>
          <cell r="D95">
            <v>21792.645901604083</v>
          </cell>
          <cell r="E95">
            <v>166155.48409839591</v>
          </cell>
          <cell r="F95">
            <v>1763281.294220156</v>
          </cell>
          <cell r="G95">
            <v>2436</v>
          </cell>
          <cell r="H95">
            <v>1136306.5299223347</v>
          </cell>
          <cell r="I95">
            <v>110688.62</v>
          </cell>
          <cell r="J95">
            <v>12834.380559997886</v>
          </cell>
          <cell r="K95">
            <v>97854.239440002115</v>
          </cell>
          <cell r="L95">
            <v>1038452.2904823326</v>
          </cell>
          <cell r="M95">
            <v>44995.396687010121</v>
          </cell>
          <cell r="N95">
            <v>4383.04</v>
          </cell>
          <cell r="O95">
            <v>508.2150123214517</v>
          </cell>
          <cell r="P95">
            <v>3874.8249876785485</v>
          </cell>
          <cell r="Q95">
            <v>41120.571699331573</v>
          </cell>
          <cell r="R95">
            <v>748134.85170920717</v>
          </cell>
          <cell r="S95">
            <v>72876.47</v>
          </cell>
          <cell r="T95">
            <v>8450.0503292847425</v>
          </cell>
          <cell r="U95">
            <v>64426.419670715259</v>
          </cell>
          <cell r="V95">
            <v>683708.43203849194</v>
          </cell>
        </row>
        <row r="96">
          <cell r="A96">
            <v>38991</v>
          </cell>
          <cell r="B96">
            <v>1763281.294220156</v>
          </cell>
          <cell r="C96">
            <v>187948.13</v>
          </cell>
          <cell r="D96">
            <v>20002.222892918006</v>
          </cell>
          <cell r="E96">
            <v>167945.90710708199</v>
          </cell>
          <cell r="F96">
            <v>1595335.3871130741</v>
          </cell>
          <cell r="G96">
            <v>2466</v>
          </cell>
          <cell r="H96">
            <v>1038452.2904823326</v>
          </cell>
          <cell r="I96">
            <v>110688.62</v>
          </cell>
          <cell r="J96">
            <v>11779.943610525283</v>
          </cell>
          <cell r="K96">
            <v>98908.676389474713</v>
          </cell>
          <cell r="L96">
            <v>939543.61409285781</v>
          </cell>
          <cell r="M96">
            <v>41120.571699331573</v>
          </cell>
          <cell r="N96">
            <v>4383.04</v>
          </cell>
          <cell r="O96">
            <v>466.46149542601756</v>
          </cell>
          <cell r="P96">
            <v>3916.5785045739822</v>
          </cell>
          <cell r="Q96">
            <v>37203.99319475759</v>
          </cell>
          <cell r="R96">
            <v>683708.43203849194</v>
          </cell>
          <cell r="S96">
            <v>72876.47</v>
          </cell>
          <cell r="T96">
            <v>7755.8177869667034</v>
          </cell>
          <cell r="U96">
            <v>65120.652213033296</v>
          </cell>
          <cell r="V96">
            <v>618587.77982545865</v>
          </cell>
        </row>
        <row r="97">
          <cell r="A97">
            <v>39022</v>
          </cell>
          <cell r="B97">
            <v>1595335.3871130741</v>
          </cell>
          <cell r="C97">
            <v>187948.13</v>
          </cell>
          <cell r="D97">
            <v>18192.507023888331</v>
          </cell>
          <cell r="E97">
            <v>169755.62297611166</v>
          </cell>
          <cell r="F97">
            <v>1425579.7641369624</v>
          </cell>
          <cell r="G97">
            <v>2497</v>
          </cell>
          <cell r="H97">
            <v>939543.61409285781</v>
          </cell>
          <cell r="I97">
            <v>110688.62</v>
          </cell>
          <cell r="J97">
            <v>10714.144483115615</v>
          </cell>
          <cell r="K97">
            <v>99974.475516884384</v>
          </cell>
          <cell r="L97">
            <v>839569.13857597345</v>
          </cell>
          <cell r="M97">
            <v>37203.99319475759</v>
          </cell>
          <cell r="N97">
            <v>4383.04</v>
          </cell>
          <cell r="O97">
            <v>424.25805984298296</v>
          </cell>
          <cell r="P97">
            <v>3958.7819401570168</v>
          </cell>
          <cell r="Q97">
            <v>33245.211254600574</v>
          </cell>
          <cell r="R97">
            <v>618587.77982545865</v>
          </cell>
          <cell r="S97">
            <v>72876.47</v>
          </cell>
          <cell r="T97">
            <v>7054.1044809297327</v>
          </cell>
          <cell r="U97">
            <v>65822.36551907027</v>
          </cell>
          <cell r="V97">
            <v>552765.41430638835</v>
          </cell>
        </row>
        <row r="98">
          <cell r="A98">
            <v>39052</v>
          </cell>
          <cell r="B98">
            <v>1425579.7641369624</v>
          </cell>
          <cell r="C98">
            <v>187948.13</v>
          </cell>
          <cell r="D98">
            <v>16363.290402604363</v>
          </cell>
          <cell r="E98">
            <v>171584.83959739562</v>
          </cell>
          <cell r="F98">
            <v>1253994.9245395667</v>
          </cell>
          <cell r="G98">
            <v>2527</v>
          </cell>
          <cell r="H98">
            <v>839569.13857597345</v>
          </cell>
          <cell r="I98">
            <v>110688.62</v>
          </cell>
          <cell r="J98">
            <v>9636.8607436228358</v>
          </cell>
          <cell r="K98">
            <v>101051.75925637716</v>
          </cell>
          <cell r="L98">
            <v>738517.37931959634</v>
          </cell>
          <cell r="M98">
            <v>33245.211254600574</v>
          </cell>
          <cell r="N98">
            <v>4383.04</v>
          </cell>
          <cell r="O98">
            <v>381.59985743402342</v>
          </cell>
          <cell r="P98">
            <v>4001.4401425659767</v>
          </cell>
          <cell r="Q98">
            <v>29243.771112034596</v>
          </cell>
          <cell r="R98">
            <v>552765.41430638835</v>
          </cell>
          <cell r="S98">
            <v>72876.47</v>
          </cell>
          <cell r="T98">
            <v>6344.8298015475048</v>
          </cell>
          <cell r="U98">
            <v>66531.6401984525</v>
          </cell>
          <cell r="V98">
            <v>486233.77410793584</v>
          </cell>
        </row>
        <row r="99">
          <cell r="A99">
            <v>39083</v>
          </cell>
          <cell r="B99">
            <v>1253994.9245395667</v>
          </cell>
          <cell r="C99">
            <v>187948.13</v>
          </cell>
          <cell r="D99">
            <v>14514.362896997867</v>
          </cell>
          <cell r="E99">
            <v>173433.76710300212</v>
          </cell>
          <cell r="F99">
            <v>1080561.1574365646</v>
          </cell>
          <cell r="G99">
            <v>39083</v>
          </cell>
          <cell r="H99">
            <v>738517.37931959634</v>
          </cell>
          <cell r="I99">
            <v>110688.62</v>
          </cell>
          <cell r="J99">
            <v>8547.9686386010035</v>
          </cell>
          <cell r="K99">
            <v>102140.651361399</v>
          </cell>
          <cell r="L99">
            <v>636376.72795819736</v>
          </cell>
          <cell r="M99">
            <v>29243.771112034596</v>
          </cell>
          <cell r="N99">
            <v>4383.04</v>
          </cell>
          <cell r="O99">
            <v>338.48198781927385</v>
          </cell>
          <cell r="P99">
            <v>4044.5580121807261</v>
          </cell>
          <cell r="Q99">
            <v>25199.213099853871</v>
          </cell>
          <cell r="R99">
            <v>486233.77410793584</v>
          </cell>
          <cell r="S99">
            <v>72876.47</v>
          </cell>
          <cell r="T99">
            <v>5627.9122705775899</v>
          </cell>
          <cell r="U99">
            <v>67248.557729422406</v>
          </cell>
          <cell r="V99">
            <v>418985.21637851343</v>
          </cell>
        </row>
        <row r="100">
          <cell r="A100">
            <v>39114</v>
          </cell>
          <cell r="B100">
            <v>1080561.1574365646</v>
          </cell>
          <cell r="C100">
            <v>187948.13</v>
          </cell>
          <cell r="D100">
            <v>12645.512110704047</v>
          </cell>
          <cell r="E100">
            <v>175302.61788929594</v>
          </cell>
          <cell r="F100">
            <v>905258.53954726877</v>
          </cell>
          <cell r="G100">
            <v>39114</v>
          </cell>
          <cell r="H100">
            <v>636376.72795819736</v>
          </cell>
          <cell r="I100">
            <v>110688.62</v>
          </cell>
          <cell r="J100">
            <v>7447.34308108805</v>
          </cell>
          <cell r="K100">
            <v>103241.27691891194</v>
          </cell>
          <cell r="L100">
            <v>533135.4510392854</v>
          </cell>
          <cell r="M100">
            <v>25199.213099853871</v>
          </cell>
          <cell r="N100">
            <v>4383.04</v>
          </cell>
          <cell r="O100">
            <v>294.89949781439589</v>
          </cell>
          <cell r="P100">
            <v>4088.140502185604</v>
          </cell>
          <cell r="Q100">
            <v>21111.072597668266</v>
          </cell>
          <cell r="R100">
            <v>418985.21637851343</v>
          </cell>
          <cell r="S100">
            <v>72876.47</v>
          </cell>
          <cell r="T100">
            <v>4903.2695318016004</v>
          </cell>
          <cell r="U100">
            <v>67973.200468198396</v>
          </cell>
          <cell r="V100">
            <v>351012.01591031504</v>
          </cell>
        </row>
        <row r="101">
          <cell r="A101">
            <v>39142</v>
          </cell>
          <cell r="B101">
            <v>905258.53954726877</v>
          </cell>
          <cell r="C101">
            <v>187948.13</v>
          </cell>
          <cell r="D101">
            <v>10756.523358662431</v>
          </cell>
          <cell r="E101">
            <v>177191.60664133757</v>
          </cell>
          <cell r="F101">
            <v>728066.93290593103</v>
          </cell>
          <cell r="G101">
            <v>39142</v>
          </cell>
          <cell r="H101">
            <v>533135.4510392854</v>
          </cell>
          <cell r="I101">
            <v>110688.62</v>
          </cell>
          <cell r="J101">
            <v>6334.8576362363647</v>
          </cell>
          <cell r="K101">
            <v>104353.76236376363</v>
          </cell>
          <cell r="L101">
            <v>428781.68867552176</v>
          </cell>
          <cell r="M101">
            <v>21111.072597668266</v>
          </cell>
          <cell r="N101">
            <v>4383.04</v>
          </cell>
          <cell r="O101">
            <v>250.84738086157824</v>
          </cell>
          <cell r="P101">
            <v>4132.1926191384218</v>
          </cell>
          <cell r="Q101">
            <v>16978.879978529843</v>
          </cell>
          <cell r="R101">
            <v>351012.01591031504</v>
          </cell>
          <cell r="S101">
            <v>72876.47</v>
          </cell>
          <cell r="T101">
            <v>4170.818341564488</v>
          </cell>
          <cell r="U101">
            <v>68705.651658435512</v>
          </cell>
          <cell r="V101">
            <v>282306.36425187951</v>
          </cell>
        </row>
        <row r="102">
          <cell r="A102">
            <v>39173</v>
          </cell>
          <cell r="B102">
            <v>728066.93290593103</v>
          </cell>
          <cell r="C102">
            <v>187948.13</v>
          </cell>
          <cell r="D102">
            <v>8847.179642454832</v>
          </cell>
          <cell r="E102">
            <v>179100.95035754517</v>
          </cell>
          <cell r="F102">
            <v>548965.98254838597</v>
          </cell>
          <cell r="G102">
            <v>39173</v>
          </cell>
          <cell r="H102">
            <v>428781.68867552176</v>
          </cell>
          <cell r="I102">
            <v>110688.62</v>
          </cell>
          <cell r="J102">
            <v>5210.3845067885386</v>
          </cell>
          <cell r="K102">
            <v>105478.23549321145</v>
          </cell>
          <cell r="L102">
            <v>323303.45318231033</v>
          </cell>
          <cell r="M102">
            <v>16978.879978529843</v>
          </cell>
          <cell r="N102">
            <v>4383.04</v>
          </cell>
          <cell r="O102">
            <v>206.32057645440642</v>
          </cell>
          <cell r="P102">
            <v>4176.7194235455936</v>
          </cell>
          <cell r="Q102">
            <v>12802.16055498425</v>
          </cell>
          <cell r="R102">
            <v>282306.36425187951</v>
          </cell>
          <cell r="S102">
            <v>72876.47</v>
          </cell>
          <cell r="T102">
            <v>3430.4745592118875</v>
          </cell>
          <cell r="U102">
            <v>69445.995440788116</v>
          </cell>
          <cell r="V102">
            <v>212860.36881109141</v>
          </cell>
        </row>
        <row r="103">
          <cell r="A103">
            <v>39203</v>
          </cell>
          <cell r="B103">
            <v>548965.98254838597</v>
          </cell>
          <cell r="C103">
            <v>187948.13</v>
          </cell>
          <cell r="D103">
            <v>6917.2616253775514</v>
          </cell>
          <cell r="E103">
            <v>181030.86837462243</v>
          </cell>
          <cell r="F103">
            <v>367935.11417376355</v>
          </cell>
          <cell r="G103">
            <v>39203</v>
          </cell>
          <cell r="H103">
            <v>323303.45318231033</v>
          </cell>
          <cell r="I103">
            <v>110688.62</v>
          </cell>
          <cell r="J103">
            <v>4073.7945183965908</v>
          </cell>
          <cell r="K103">
            <v>106614.8254816034</v>
          </cell>
          <cell r="L103">
            <v>216688.62770070694</v>
          </cell>
          <cell r="M103">
            <v>12802.16055498425</v>
          </cell>
          <cell r="N103">
            <v>4383.04</v>
          </cell>
          <cell r="O103">
            <v>161.31396955653469</v>
          </cell>
          <cell r="P103">
            <v>4221.7260304434649</v>
          </cell>
          <cell r="Q103">
            <v>8580.4345245407858</v>
          </cell>
          <cell r="R103">
            <v>212860.36881109141</v>
          </cell>
          <cell r="S103">
            <v>72876.47</v>
          </cell>
          <cell r="T103">
            <v>2682.1531374244259</v>
          </cell>
          <cell r="U103">
            <v>70194.316862575579</v>
          </cell>
          <cell r="V103">
            <v>142666.05194851581</v>
          </cell>
        </row>
        <row r="104">
          <cell r="A104">
            <v>39234</v>
          </cell>
          <cell r="B104">
            <v>367935.11417376355</v>
          </cell>
          <cell r="C104">
            <v>187948.13</v>
          </cell>
          <cell r="D104">
            <v>4966.5476072449765</v>
          </cell>
          <cell r="E104">
            <v>182981.58239275502</v>
          </cell>
          <cell r="F104">
            <v>184953.53178100853</v>
          </cell>
          <cell r="G104">
            <v>39234</v>
          </cell>
          <cell r="H104">
            <v>216688.62770070694</v>
          </cell>
          <cell r="I104">
            <v>110688.62</v>
          </cell>
          <cell r="J104">
            <v>2924.9571047830104</v>
          </cell>
          <cell r="K104">
            <v>107763.66289521698</v>
          </cell>
          <cell r="L104">
            <v>108924.96480548996</v>
          </cell>
          <cell r="M104">
            <v>8580.4345245407858</v>
          </cell>
          <cell r="N104">
            <v>4383.04</v>
          </cell>
          <cell r="O104">
            <v>115.82239001409394</v>
          </cell>
          <cell r="P104">
            <v>4267.2176099859062</v>
          </cell>
          <cell r="Q104">
            <v>4313.2169145548796</v>
          </cell>
          <cell r="R104">
            <v>142666.05194851581</v>
          </cell>
          <cell r="S104">
            <v>72876.47</v>
          </cell>
          <cell r="T104">
            <v>1925.7681124478725</v>
          </cell>
          <cell r="U104">
            <v>70950.701887552132</v>
          </cell>
          <cell r="V104">
            <v>71715.350060963683</v>
          </cell>
        </row>
        <row r="105">
          <cell r="A105">
            <v>39264</v>
          </cell>
          <cell r="B105">
            <v>184953.53178100853</v>
          </cell>
          <cell r="C105">
            <v>187948.13</v>
          </cell>
          <cell r="D105">
            <v>2994.8134989216824</v>
          </cell>
          <cell r="E105">
            <v>184953.31650107831</v>
          </cell>
          <cell r="F105">
            <v>0.21527993021391012</v>
          </cell>
          <cell r="G105">
            <v>2739</v>
          </cell>
          <cell r="H105">
            <v>108924.96480548996</v>
          </cell>
          <cell r="I105">
            <v>110688.62</v>
          </cell>
          <cell r="J105">
            <v>1763.7402927419</v>
          </cell>
          <cell r="K105">
            <v>108924.87970725809</v>
          </cell>
          <cell r="L105">
            <v>8.509823186614085E-2</v>
          </cell>
          <cell r="M105">
            <v>4313.2169145548796</v>
          </cell>
          <cell r="N105">
            <v>4383.04</v>
          </cell>
          <cell r="O105">
            <v>69.84061196176819</v>
          </cell>
          <cell r="P105">
            <v>4313.1993880382315</v>
          </cell>
          <cell r="Q105">
            <v>1.7526516648104007E-2</v>
          </cell>
          <cell r="R105">
            <v>71715.350060963683</v>
          </cell>
          <cell r="S105">
            <v>72876.47</v>
          </cell>
          <cell r="T105">
            <v>1161.2325942180139</v>
          </cell>
          <cell r="U105">
            <v>71715.237405781983</v>
          </cell>
          <cell r="V105">
            <v>0.11265518169966526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7">
          <cell r="F7">
            <v>1.3100000000000001E-2</v>
          </cell>
        </row>
        <row r="31">
          <cell r="E31">
            <v>0.40849999999999997</v>
          </cell>
        </row>
        <row r="35">
          <cell r="E35">
            <v>37834</v>
          </cell>
        </row>
        <row r="39">
          <cell r="E39">
            <v>1.0050188126959001</v>
          </cell>
        </row>
        <row r="42">
          <cell r="E42" t="str">
            <v>After Tax</v>
          </cell>
        </row>
        <row r="43">
          <cell r="E43" t="str">
            <v>No</v>
          </cell>
        </row>
        <row r="46">
          <cell r="E46" t="str">
            <v>Staff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4">
          <cell r="A14">
            <v>37803</v>
          </cell>
          <cell r="B14">
            <v>10811758.945076717</v>
          </cell>
          <cell r="F14">
            <v>10811758.945076717</v>
          </cell>
        </row>
        <row r="15">
          <cell r="A15">
            <v>37834</v>
          </cell>
          <cell r="B15">
            <v>10811758.945076717</v>
          </cell>
          <cell r="C15">
            <v>900979.91208972642</v>
          </cell>
          <cell r="D15">
            <v>0</v>
          </cell>
          <cell r="E15">
            <v>900979.91208972642</v>
          </cell>
          <cell r="F15">
            <v>9910779.0329869911</v>
          </cell>
        </row>
        <row r="16">
          <cell r="A16">
            <v>37865</v>
          </cell>
          <cell r="B16">
            <v>9910779.0329869911</v>
          </cell>
          <cell r="C16">
            <v>900979.91208972642</v>
          </cell>
          <cell r="D16">
            <v>0</v>
          </cell>
          <cell r="E16">
            <v>900979.91208972642</v>
          </cell>
          <cell r="F16">
            <v>9009799.1208972652</v>
          </cell>
        </row>
        <row r="17">
          <cell r="A17">
            <v>37895</v>
          </cell>
          <cell r="B17">
            <v>9009799.1208972652</v>
          </cell>
          <cell r="C17">
            <v>900979.91208972642</v>
          </cell>
          <cell r="D17">
            <v>0</v>
          </cell>
          <cell r="E17">
            <v>900979.91208972642</v>
          </cell>
          <cell r="F17">
            <v>8108819.2088075392</v>
          </cell>
        </row>
        <row r="18">
          <cell r="A18">
            <v>37926</v>
          </cell>
          <cell r="B18">
            <v>8108819.2088075392</v>
          </cell>
          <cell r="C18">
            <v>900979.91208972642</v>
          </cell>
          <cell r="D18">
            <v>0</v>
          </cell>
          <cell r="E18">
            <v>900979.91208972642</v>
          </cell>
          <cell r="F18">
            <v>7207839.2967178132</v>
          </cell>
        </row>
        <row r="19">
          <cell r="A19">
            <v>37956</v>
          </cell>
          <cell r="B19">
            <v>7207839.2967178132</v>
          </cell>
          <cell r="C19">
            <v>900979.91208972642</v>
          </cell>
          <cell r="D19">
            <v>0</v>
          </cell>
          <cell r="E19">
            <v>900979.91208972642</v>
          </cell>
          <cell r="F19">
            <v>6306859.3846280873</v>
          </cell>
        </row>
        <row r="20">
          <cell r="A20">
            <v>37987</v>
          </cell>
          <cell r="B20">
            <v>6306859.3846280873</v>
          </cell>
          <cell r="C20">
            <v>900979.91208972642</v>
          </cell>
          <cell r="D20">
            <v>0</v>
          </cell>
          <cell r="E20">
            <v>900979.91208972642</v>
          </cell>
          <cell r="F20">
            <v>5405879.4725383613</v>
          </cell>
        </row>
        <row r="21">
          <cell r="A21">
            <v>38018</v>
          </cell>
          <cell r="B21">
            <v>5405879.4725383613</v>
          </cell>
          <cell r="C21">
            <v>900979.91208972642</v>
          </cell>
          <cell r="D21">
            <v>0</v>
          </cell>
          <cell r="E21">
            <v>900979.91208972642</v>
          </cell>
          <cell r="F21">
            <v>4504899.5604486354</v>
          </cell>
        </row>
        <row r="22">
          <cell r="A22">
            <v>38047</v>
          </cell>
          <cell r="B22">
            <v>4504899.5604486354</v>
          </cell>
          <cell r="C22">
            <v>900979.91208972642</v>
          </cell>
          <cell r="D22">
            <v>0</v>
          </cell>
          <cell r="E22">
            <v>900979.91208972642</v>
          </cell>
          <cell r="F22">
            <v>3603919.6483589089</v>
          </cell>
        </row>
        <row r="23">
          <cell r="A23">
            <v>38078</v>
          </cell>
          <cell r="B23">
            <v>3603919.6483589089</v>
          </cell>
          <cell r="C23">
            <v>900979.91208972642</v>
          </cell>
          <cell r="D23">
            <v>0</v>
          </cell>
          <cell r="E23">
            <v>900979.91208972642</v>
          </cell>
          <cell r="F23">
            <v>2702939.7362691825</v>
          </cell>
        </row>
        <row r="24">
          <cell r="A24">
            <v>38108</v>
          </cell>
          <cell r="B24">
            <v>2702939.7362691825</v>
          </cell>
          <cell r="C24">
            <v>900979.91208972642</v>
          </cell>
          <cell r="D24">
            <v>0</v>
          </cell>
          <cell r="E24">
            <v>900979.91208972642</v>
          </cell>
          <cell r="F24">
            <v>1801959.8241794561</v>
          </cell>
        </row>
        <row r="25">
          <cell r="A25">
            <v>38139</v>
          </cell>
          <cell r="B25">
            <v>1801959.8241794561</v>
          </cell>
          <cell r="C25">
            <v>900979.91208972642</v>
          </cell>
          <cell r="D25">
            <v>0</v>
          </cell>
          <cell r="E25">
            <v>900979.91208972642</v>
          </cell>
          <cell r="F25">
            <v>900979.91208972968</v>
          </cell>
        </row>
        <row r="26">
          <cell r="A26">
            <v>38169</v>
          </cell>
          <cell r="B26">
            <v>900979.91208972968</v>
          </cell>
          <cell r="C26">
            <v>900979.91208972642</v>
          </cell>
          <cell r="D26">
            <v>0</v>
          </cell>
          <cell r="E26">
            <v>900979.91208972642</v>
          </cell>
          <cell r="F26">
            <v>3.2596290111541748E-9</v>
          </cell>
        </row>
        <row r="27">
          <cell r="A27">
            <v>38200</v>
          </cell>
          <cell r="B27">
            <v>3.2596290111541748E-9</v>
          </cell>
          <cell r="C27">
            <v>0</v>
          </cell>
          <cell r="D27">
            <v>0</v>
          </cell>
          <cell r="E27">
            <v>0</v>
          </cell>
          <cell r="F27">
            <v>3.2596290111541748E-9</v>
          </cell>
        </row>
        <row r="28">
          <cell r="A28">
            <v>38231</v>
          </cell>
          <cell r="B28">
            <v>3.2596290111541748E-9</v>
          </cell>
          <cell r="C28">
            <v>0</v>
          </cell>
          <cell r="D28">
            <v>0</v>
          </cell>
          <cell r="E28">
            <v>0</v>
          </cell>
          <cell r="F28">
            <v>3.2596290111541748E-9</v>
          </cell>
        </row>
        <row r="29">
          <cell r="A29">
            <v>38261</v>
          </cell>
          <cell r="B29">
            <v>3.2596290111541748E-9</v>
          </cell>
          <cell r="C29">
            <v>0</v>
          </cell>
          <cell r="D29">
            <v>0</v>
          </cell>
          <cell r="E29">
            <v>0</v>
          </cell>
          <cell r="F29">
            <v>3.2596290111541748E-9</v>
          </cell>
        </row>
        <row r="30">
          <cell r="A30">
            <v>38292</v>
          </cell>
          <cell r="B30">
            <v>3.2596290111541748E-9</v>
          </cell>
          <cell r="C30">
            <v>0</v>
          </cell>
          <cell r="D30">
            <v>0</v>
          </cell>
          <cell r="E30">
            <v>0</v>
          </cell>
          <cell r="F30">
            <v>3.2596290111541748E-9</v>
          </cell>
        </row>
        <row r="31">
          <cell r="A31">
            <v>38322</v>
          </cell>
          <cell r="B31">
            <v>3.2596290111541748E-9</v>
          </cell>
          <cell r="C31">
            <v>0</v>
          </cell>
          <cell r="D31">
            <v>0</v>
          </cell>
          <cell r="E31">
            <v>0</v>
          </cell>
          <cell r="F31">
            <v>3.2596290111541748E-9</v>
          </cell>
        </row>
        <row r="32">
          <cell r="A32">
            <v>38353</v>
          </cell>
          <cell r="B32">
            <v>3.2596290111541748E-9</v>
          </cell>
          <cell r="C32">
            <v>0</v>
          </cell>
          <cell r="D32">
            <v>0</v>
          </cell>
          <cell r="E32">
            <v>0</v>
          </cell>
          <cell r="F32">
            <v>3.2596290111541748E-9</v>
          </cell>
        </row>
        <row r="33">
          <cell r="A33">
            <v>38384</v>
          </cell>
          <cell r="B33">
            <v>3.2596290111541748E-9</v>
          </cell>
          <cell r="C33">
            <v>0</v>
          </cell>
          <cell r="D33">
            <v>0</v>
          </cell>
          <cell r="E33">
            <v>0</v>
          </cell>
          <cell r="F33">
            <v>3.2596290111541748E-9</v>
          </cell>
        </row>
        <row r="34">
          <cell r="A34">
            <v>38412</v>
          </cell>
          <cell r="B34">
            <v>3.2596290111541748E-9</v>
          </cell>
          <cell r="C34">
            <v>0</v>
          </cell>
          <cell r="D34">
            <v>0</v>
          </cell>
          <cell r="E34">
            <v>0</v>
          </cell>
          <cell r="F34">
            <v>3.2596290111541748E-9</v>
          </cell>
        </row>
        <row r="35">
          <cell r="A35">
            <v>38443</v>
          </cell>
          <cell r="B35">
            <v>3.2596290111541748E-9</v>
          </cell>
          <cell r="C35">
            <v>0</v>
          </cell>
          <cell r="D35">
            <v>0</v>
          </cell>
          <cell r="E35">
            <v>0</v>
          </cell>
          <cell r="F35">
            <v>3.2596290111541748E-9</v>
          </cell>
        </row>
        <row r="36">
          <cell r="A36">
            <v>38473</v>
          </cell>
          <cell r="B36">
            <v>3.2596290111541748E-9</v>
          </cell>
          <cell r="C36">
            <v>0</v>
          </cell>
          <cell r="D36">
            <v>0</v>
          </cell>
          <cell r="E36">
            <v>0</v>
          </cell>
          <cell r="F36">
            <v>3.2596290111541748E-9</v>
          </cell>
        </row>
        <row r="37">
          <cell r="A37">
            <v>38504</v>
          </cell>
          <cell r="B37">
            <v>3.2596290111541748E-9</v>
          </cell>
          <cell r="C37">
            <v>0</v>
          </cell>
          <cell r="D37">
            <v>0</v>
          </cell>
          <cell r="E37">
            <v>0</v>
          </cell>
          <cell r="F37">
            <v>3.2596290111541748E-9</v>
          </cell>
        </row>
        <row r="38">
          <cell r="A38">
            <v>38534</v>
          </cell>
          <cell r="B38">
            <v>3.2596290111541748E-9</v>
          </cell>
          <cell r="C38">
            <v>0</v>
          </cell>
          <cell r="D38">
            <v>0</v>
          </cell>
          <cell r="E38">
            <v>0</v>
          </cell>
          <cell r="F38">
            <v>3.2596290111541748E-9</v>
          </cell>
        </row>
        <row r="39">
          <cell r="A39">
            <v>38565</v>
          </cell>
          <cell r="B39">
            <v>3.2596290111541748E-9</v>
          </cell>
          <cell r="C39">
            <v>0</v>
          </cell>
          <cell r="D39">
            <v>0</v>
          </cell>
          <cell r="E39">
            <v>0</v>
          </cell>
          <cell r="F39">
            <v>3.2596290111541748E-9</v>
          </cell>
        </row>
        <row r="40">
          <cell r="A40">
            <v>38596</v>
          </cell>
          <cell r="B40">
            <v>3.2596290111541748E-9</v>
          </cell>
          <cell r="C40">
            <v>0</v>
          </cell>
          <cell r="D40">
            <v>0</v>
          </cell>
          <cell r="E40">
            <v>0</v>
          </cell>
          <cell r="F40">
            <v>3.2596290111541748E-9</v>
          </cell>
        </row>
        <row r="41">
          <cell r="A41">
            <v>38626</v>
          </cell>
          <cell r="B41">
            <v>3.2596290111541748E-9</v>
          </cell>
          <cell r="C41">
            <v>0</v>
          </cell>
          <cell r="D41">
            <v>0</v>
          </cell>
          <cell r="E41">
            <v>0</v>
          </cell>
          <cell r="F41">
            <v>3.2596290111541748E-9</v>
          </cell>
        </row>
        <row r="42">
          <cell r="A42">
            <v>38657</v>
          </cell>
          <cell r="B42">
            <v>3.2596290111541748E-9</v>
          </cell>
          <cell r="C42">
            <v>0</v>
          </cell>
          <cell r="D42">
            <v>0</v>
          </cell>
          <cell r="E42">
            <v>0</v>
          </cell>
          <cell r="F42">
            <v>3.2596290111541748E-9</v>
          </cell>
        </row>
        <row r="43">
          <cell r="A43">
            <v>38687</v>
          </cell>
          <cell r="B43">
            <v>3.2596290111541748E-9</v>
          </cell>
          <cell r="C43">
            <v>0</v>
          </cell>
          <cell r="D43">
            <v>0</v>
          </cell>
          <cell r="E43">
            <v>0</v>
          </cell>
          <cell r="F43">
            <v>3.2596290111541748E-9</v>
          </cell>
        </row>
        <row r="44">
          <cell r="A44">
            <v>38718</v>
          </cell>
          <cell r="B44">
            <v>3.2596290111541748E-9</v>
          </cell>
          <cell r="C44">
            <v>0</v>
          </cell>
          <cell r="D44">
            <v>0</v>
          </cell>
          <cell r="E44">
            <v>0</v>
          </cell>
          <cell r="F44">
            <v>3.2596290111541748E-9</v>
          </cell>
        </row>
        <row r="45">
          <cell r="A45">
            <v>38749</v>
          </cell>
          <cell r="B45">
            <v>3.2596290111541748E-9</v>
          </cell>
          <cell r="C45">
            <v>0</v>
          </cell>
          <cell r="D45">
            <v>0</v>
          </cell>
          <cell r="E45">
            <v>0</v>
          </cell>
          <cell r="F45">
            <v>3.2596290111541748E-9</v>
          </cell>
        </row>
        <row r="46">
          <cell r="A46">
            <v>38777</v>
          </cell>
          <cell r="B46">
            <v>3.2596290111541748E-9</v>
          </cell>
          <cell r="C46">
            <v>0</v>
          </cell>
          <cell r="D46">
            <v>0</v>
          </cell>
          <cell r="E46">
            <v>0</v>
          </cell>
          <cell r="F46">
            <v>3.2596290111541748E-9</v>
          </cell>
        </row>
        <row r="47">
          <cell r="A47">
            <v>38808</v>
          </cell>
          <cell r="B47">
            <v>3.2596290111541748E-9</v>
          </cell>
          <cell r="C47">
            <v>0</v>
          </cell>
          <cell r="D47">
            <v>0</v>
          </cell>
          <cell r="E47">
            <v>0</v>
          </cell>
          <cell r="F47">
            <v>3.2596290111541748E-9</v>
          </cell>
        </row>
        <row r="48">
          <cell r="A48">
            <v>38838</v>
          </cell>
          <cell r="B48">
            <v>3.2596290111541748E-9</v>
          </cell>
          <cell r="C48">
            <v>0</v>
          </cell>
          <cell r="D48">
            <v>0</v>
          </cell>
          <cell r="E48">
            <v>0</v>
          </cell>
          <cell r="F48">
            <v>3.2596290111541748E-9</v>
          </cell>
        </row>
        <row r="49">
          <cell r="A49">
            <v>38869</v>
          </cell>
          <cell r="B49">
            <v>3.2596290111541748E-9</v>
          </cell>
          <cell r="C49">
            <v>0</v>
          </cell>
          <cell r="D49">
            <v>0</v>
          </cell>
          <cell r="E49">
            <v>0</v>
          </cell>
          <cell r="F49">
            <v>3.2596290111541748E-9</v>
          </cell>
        </row>
        <row r="50">
          <cell r="A50">
            <v>38899</v>
          </cell>
          <cell r="B50">
            <v>3.2596290111541748E-9</v>
          </cell>
          <cell r="C50">
            <v>0</v>
          </cell>
          <cell r="D50">
            <v>0</v>
          </cell>
          <cell r="E50">
            <v>0</v>
          </cell>
          <cell r="F50">
            <v>3.2596290111541748E-9</v>
          </cell>
        </row>
        <row r="51">
          <cell r="A51">
            <v>38930</v>
          </cell>
          <cell r="B51">
            <v>3.2596290111541748E-9</v>
          </cell>
          <cell r="C51">
            <v>0</v>
          </cell>
          <cell r="D51">
            <v>0</v>
          </cell>
          <cell r="E51">
            <v>0</v>
          </cell>
          <cell r="F51">
            <v>3.2596290111541748E-9</v>
          </cell>
        </row>
        <row r="52">
          <cell r="A52">
            <v>38961</v>
          </cell>
          <cell r="B52">
            <v>3.2596290111541748E-9</v>
          </cell>
          <cell r="C52">
            <v>0</v>
          </cell>
          <cell r="D52">
            <v>0</v>
          </cell>
          <cell r="E52">
            <v>0</v>
          </cell>
          <cell r="F52">
            <v>3.2596290111541748E-9</v>
          </cell>
        </row>
        <row r="53">
          <cell r="A53">
            <v>38991</v>
          </cell>
          <cell r="B53">
            <v>3.2596290111541748E-9</v>
          </cell>
          <cell r="C53">
            <v>0</v>
          </cell>
          <cell r="D53">
            <v>0</v>
          </cell>
          <cell r="E53">
            <v>0</v>
          </cell>
          <cell r="F53">
            <v>3.2596290111541748E-9</v>
          </cell>
        </row>
        <row r="54">
          <cell r="A54">
            <v>39022</v>
          </cell>
          <cell r="B54">
            <v>3.2596290111541748E-9</v>
          </cell>
          <cell r="C54">
            <v>0</v>
          </cell>
          <cell r="D54">
            <v>0</v>
          </cell>
          <cell r="E54">
            <v>0</v>
          </cell>
          <cell r="F54">
            <v>3.2596290111541748E-9</v>
          </cell>
        </row>
        <row r="55">
          <cell r="A55">
            <v>39052</v>
          </cell>
          <cell r="B55">
            <v>3.2596290111541748E-9</v>
          </cell>
          <cell r="C55">
            <v>0</v>
          </cell>
          <cell r="D55">
            <v>0</v>
          </cell>
          <cell r="E55">
            <v>0</v>
          </cell>
          <cell r="F55">
            <v>3.2596290111541748E-9</v>
          </cell>
        </row>
        <row r="56">
          <cell r="A56">
            <v>39083</v>
          </cell>
          <cell r="B56">
            <v>3.2596290111541748E-9</v>
          </cell>
          <cell r="C56">
            <v>0</v>
          </cell>
          <cell r="D56">
            <v>0</v>
          </cell>
          <cell r="E56">
            <v>0</v>
          </cell>
          <cell r="F56">
            <v>3.2596290111541748E-9</v>
          </cell>
        </row>
        <row r="57">
          <cell r="A57">
            <v>39114</v>
          </cell>
          <cell r="B57">
            <v>3.2596290111541748E-9</v>
          </cell>
          <cell r="C57">
            <v>0</v>
          </cell>
          <cell r="D57">
            <v>0</v>
          </cell>
          <cell r="E57">
            <v>0</v>
          </cell>
          <cell r="F57">
            <v>3.2596290111541748E-9</v>
          </cell>
        </row>
        <row r="58">
          <cell r="A58">
            <v>39142</v>
          </cell>
          <cell r="B58">
            <v>3.2596290111541748E-9</v>
          </cell>
          <cell r="C58">
            <v>0</v>
          </cell>
          <cell r="D58">
            <v>0</v>
          </cell>
          <cell r="E58">
            <v>0</v>
          </cell>
          <cell r="F58">
            <v>3.2596290111541748E-9</v>
          </cell>
        </row>
        <row r="59">
          <cell r="A59">
            <v>39173</v>
          </cell>
          <cell r="B59">
            <v>3.2596290111541748E-9</v>
          </cell>
          <cell r="C59">
            <v>0</v>
          </cell>
          <cell r="D59">
            <v>0</v>
          </cell>
          <cell r="E59">
            <v>0</v>
          </cell>
          <cell r="F59">
            <v>3.2596290111541748E-9</v>
          </cell>
        </row>
        <row r="60">
          <cell r="A60">
            <v>39203</v>
          </cell>
          <cell r="B60">
            <v>3.2596290111541748E-9</v>
          </cell>
          <cell r="C60">
            <v>0</v>
          </cell>
          <cell r="D60">
            <v>0</v>
          </cell>
          <cell r="E60">
            <v>0</v>
          </cell>
          <cell r="F60">
            <v>3.2596290111541748E-9</v>
          </cell>
        </row>
        <row r="61">
          <cell r="A61">
            <v>39234</v>
          </cell>
          <cell r="B61">
            <v>3.2596290111541748E-9</v>
          </cell>
          <cell r="C61">
            <v>0</v>
          </cell>
          <cell r="D61">
            <v>0</v>
          </cell>
          <cell r="E61">
            <v>0</v>
          </cell>
          <cell r="F61">
            <v>3.2596290111541748E-9</v>
          </cell>
        </row>
        <row r="62">
          <cell r="A62">
            <v>39264</v>
          </cell>
          <cell r="B62">
            <v>3.2596290111541748E-9</v>
          </cell>
          <cell r="C62">
            <v>0</v>
          </cell>
          <cell r="D62">
            <v>0</v>
          </cell>
          <cell r="E62">
            <v>0</v>
          </cell>
          <cell r="F62">
            <v>3.2596290111541748E-9</v>
          </cell>
        </row>
        <row r="63">
          <cell r="A63">
            <v>39295</v>
          </cell>
          <cell r="B63">
            <v>3.2596290111541748E-9</v>
          </cell>
          <cell r="C63">
            <v>0</v>
          </cell>
          <cell r="D63">
            <v>0</v>
          </cell>
          <cell r="E63">
            <v>0</v>
          </cell>
          <cell r="F63">
            <v>3.2596290111541748E-9</v>
          </cell>
        </row>
        <row r="64">
          <cell r="A64">
            <v>39326</v>
          </cell>
          <cell r="B64">
            <v>3.2596290111541748E-9</v>
          </cell>
          <cell r="C64">
            <v>0</v>
          </cell>
          <cell r="D64">
            <v>0</v>
          </cell>
          <cell r="E64">
            <v>0</v>
          </cell>
          <cell r="F64">
            <v>3.2596290111541748E-9</v>
          </cell>
        </row>
        <row r="65">
          <cell r="A65">
            <v>39356</v>
          </cell>
          <cell r="B65">
            <v>3.2596290111541748E-9</v>
          </cell>
          <cell r="C65">
            <v>0</v>
          </cell>
          <cell r="D65">
            <v>0</v>
          </cell>
          <cell r="E65">
            <v>0</v>
          </cell>
          <cell r="F65">
            <v>3.2596290111541748E-9</v>
          </cell>
        </row>
        <row r="66">
          <cell r="A66">
            <v>39387</v>
          </cell>
          <cell r="B66">
            <v>3.2596290111541748E-9</v>
          </cell>
          <cell r="C66">
            <v>0</v>
          </cell>
          <cell r="D66">
            <v>0</v>
          </cell>
          <cell r="E66">
            <v>0</v>
          </cell>
          <cell r="F66">
            <v>3.2596290111541748E-9</v>
          </cell>
        </row>
        <row r="67">
          <cell r="A67">
            <v>39417</v>
          </cell>
          <cell r="B67">
            <v>3.2596290111541748E-9</v>
          </cell>
          <cell r="C67">
            <v>0</v>
          </cell>
          <cell r="D67">
            <v>0</v>
          </cell>
          <cell r="E67">
            <v>0</v>
          </cell>
          <cell r="F67">
            <v>3.2596290111541748E-9</v>
          </cell>
        </row>
      </sheetData>
      <sheetData sheetId="14"/>
      <sheetData sheetId="15"/>
      <sheetData sheetId="16" refreshError="1">
        <row r="7">
          <cell r="AD7">
            <v>37622</v>
          </cell>
          <cell r="AE7">
            <v>37653</v>
          </cell>
          <cell r="AF7">
            <v>37681</v>
          </cell>
          <cell r="AG7">
            <v>37712</v>
          </cell>
          <cell r="AH7">
            <v>37742</v>
          </cell>
          <cell r="AI7">
            <v>37773</v>
          </cell>
          <cell r="AJ7">
            <v>37803</v>
          </cell>
          <cell r="AK7">
            <v>37834</v>
          </cell>
          <cell r="AL7">
            <v>37865</v>
          </cell>
          <cell r="AM7">
            <v>37895</v>
          </cell>
          <cell r="AN7">
            <v>37926</v>
          </cell>
          <cell r="AO7">
            <v>37956</v>
          </cell>
          <cell r="AP7">
            <v>37987</v>
          </cell>
          <cell r="AQ7">
            <v>38018</v>
          </cell>
          <cell r="AR7">
            <v>38047</v>
          </cell>
          <cell r="AS7">
            <v>38078</v>
          </cell>
          <cell r="AT7">
            <v>38108</v>
          </cell>
          <cell r="AU7">
            <v>38139</v>
          </cell>
          <cell r="AV7">
            <v>38169</v>
          </cell>
          <cell r="AW7">
            <v>38200</v>
          </cell>
          <cell r="AX7">
            <v>38231</v>
          </cell>
          <cell r="AY7">
            <v>38261</v>
          </cell>
          <cell r="AZ7">
            <v>38292</v>
          </cell>
          <cell r="BA7">
            <v>38322</v>
          </cell>
          <cell r="BB7">
            <v>38353</v>
          </cell>
          <cell r="BC7">
            <v>38384</v>
          </cell>
          <cell r="BD7">
            <v>38412</v>
          </cell>
          <cell r="BE7">
            <v>38443</v>
          </cell>
          <cell r="BF7">
            <v>38473</v>
          </cell>
          <cell r="BG7">
            <v>38504</v>
          </cell>
          <cell r="BH7">
            <v>38534</v>
          </cell>
          <cell r="BI7">
            <v>38565</v>
          </cell>
          <cell r="BJ7">
            <v>38596</v>
          </cell>
          <cell r="BK7">
            <v>38626</v>
          </cell>
          <cell r="BL7">
            <v>38657</v>
          </cell>
          <cell r="BM7">
            <v>38687</v>
          </cell>
          <cell r="BN7">
            <v>38718</v>
          </cell>
          <cell r="BO7">
            <v>38749</v>
          </cell>
          <cell r="BP7">
            <v>38777</v>
          </cell>
          <cell r="BQ7">
            <v>38808</v>
          </cell>
          <cell r="BR7">
            <v>38838</v>
          </cell>
          <cell r="BS7">
            <v>38869</v>
          </cell>
          <cell r="BT7">
            <v>38899</v>
          </cell>
          <cell r="BU7">
            <v>38930</v>
          </cell>
          <cell r="BV7">
            <v>38961</v>
          </cell>
          <cell r="BW7">
            <v>38991</v>
          </cell>
          <cell r="BX7">
            <v>39022</v>
          </cell>
          <cell r="BY7">
            <v>39052</v>
          </cell>
          <cell r="BZ7">
            <v>39083</v>
          </cell>
          <cell r="CA7">
            <v>39114</v>
          </cell>
          <cell r="CB7">
            <v>39142</v>
          </cell>
          <cell r="CC7">
            <v>39173</v>
          </cell>
          <cell r="CD7">
            <v>39203</v>
          </cell>
          <cell r="CE7">
            <v>39234</v>
          </cell>
          <cell r="CF7">
            <v>39264</v>
          </cell>
          <cell r="CG7">
            <v>39295</v>
          </cell>
          <cell r="CH7">
            <v>39326</v>
          </cell>
          <cell r="CI7">
            <v>39356</v>
          </cell>
          <cell r="CJ7">
            <v>39387</v>
          </cell>
          <cell r="CK7">
            <v>39417</v>
          </cell>
          <cell r="CL7">
            <v>39448</v>
          </cell>
          <cell r="CM7">
            <v>39479</v>
          </cell>
          <cell r="CN7">
            <v>39508</v>
          </cell>
          <cell r="CO7">
            <v>39539</v>
          </cell>
          <cell r="CP7">
            <v>39569</v>
          </cell>
          <cell r="CQ7">
            <v>39600</v>
          </cell>
          <cell r="CR7">
            <v>39630</v>
          </cell>
          <cell r="CS7">
            <v>39661</v>
          </cell>
          <cell r="CT7">
            <v>39692</v>
          </cell>
          <cell r="CU7">
            <v>39722</v>
          </cell>
          <cell r="CV7">
            <v>39753</v>
          </cell>
          <cell r="CW7">
            <v>39783</v>
          </cell>
        </row>
        <row r="9">
          <cell r="AD9">
            <v>58858520</v>
          </cell>
          <cell r="AE9">
            <v>52629110</v>
          </cell>
          <cell r="AF9">
            <v>19455780</v>
          </cell>
          <cell r="AG9">
            <v>54040990</v>
          </cell>
          <cell r="AH9">
            <v>51580990</v>
          </cell>
          <cell r="AI9">
            <v>70447800</v>
          </cell>
          <cell r="AJ9">
            <v>80510460</v>
          </cell>
          <cell r="AK9">
            <v>84583910</v>
          </cell>
          <cell r="AL9">
            <v>55457240</v>
          </cell>
          <cell r="AM9">
            <v>64066700</v>
          </cell>
          <cell r="AN9">
            <v>54879750</v>
          </cell>
          <cell r="AO9">
            <v>51193820</v>
          </cell>
          <cell r="AP9">
            <v>57475490</v>
          </cell>
          <cell r="AQ9">
            <v>50279270</v>
          </cell>
          <cell r="AR9">
            <v>18555600</v>
          </cell>
          <cell r="AS9">
            <v>52564600</v>
          </cell>
          <cell r="AT9">
            <v>50922360</v>
          </cell>
          <cell r="AU9">
            <v>65668210</v>
          </cell>
          <cell r="AV9">
            <v>72290870</v>
          </cell>
          <cell r="AW9">
            <v>82396870</v>
          </cell>
          <cell r="AX9">
            <v>54589880</v>
          </cell>
          <cell r="AY9">
            <v>63109440</v>
          </cell>
          <cell r="AZ9">
            <v>54306710</v>
          </cell>
          <cell r="BA9">
            <v>49434920</v>
          </cell>
          <cell r="BB9">
            <v>56227180</v>
          </cell>
          <cell r="BC9">
            <v>49943090</v>
          </cell>
          <cell r="BD9">
            <v>18710490</v>
          </cell>
          <cell r="BE9">
            <v>52684640</v>
          </cell>
          <cell r="BF9">
            <v>50922360</v>
          </cell>
          <cell r="BG9">
            <v>61852800</v>
          </cell>
          <cell r="BH9">
            <v>72022480</v>
          </cell>
          <cell r="BI9">
            <v>81898190</v>
          </cell>
          <cell r="BJ9">
            <v>54589880</v>
          </cell>
          <cell r="BK9">
            <v>58700970</v>
          </cell>
          <cell r="BL9">
            <v>52812390</v>
          </cell>
          <cell r="BM9">
            <v>48858970</v>
          </cell>
          <cell r="BN9">
            <v>53123710</v>
          </cell>
          <cell r="BO9">
            <v>47186470</v>
          </cell>
          <cell r="BP9">
            <v>5303330</v>
          </cell>
          <cell r="BQ9">
            <v>26885390</v>
          </cell>
          <cell r="BR9">
            <v>48111680</v>
          </cell>
          <cell r="BS9">
            <v>58022470</v>
          </cell>
          <cell r="BT9">
            <v>68047200</v>
          </cell>
          <cell r="BU9">
            <v>77377830</v>
          </cell>
          <cell r="BV9">
            <v>51576780</v>
          </cell>
          <cell r="BW9">
            <v>55460950</v>
          </cell>
          <cell r="BX9">
            <v>49897390</v>
          </cell>
          <cell r="BY9">
            <v>46162180</v>
          </cell>
          <cell r="BZ9">
            <v>53123710</v>
          </cell>
          <cell r="CA9">
            <v>47186470</v>
          </cell>
          <cell r="CB9">
            <v>5303330</v>
          </cell>
          <cell r="CC9">
            <v>26885390</v>
          </cell>
          <cell r="CD9">
            <v>48111680</v>
          </cell>
          <cell r="CE9">
            <v>58022470</v>
          </cell>
          <cell r="CF9">
            <v>68047200</v>
          </cell>
          <cell r="CG9">
            <v>77377830</v>
          </cell>
          <cell r="CH9">
            <v>51576780</v>
          </cell>
          <cell r="CI9">
            <v>55460950</v>
          </cell>
          <cell r="CJ9">
            <v>49897390</v>
          </cell>
          <cell r="CK9">
            <v>46162180</v>
          </cell>
          <cell r="CL9">
            <v>53123710</v>
          </cell>
          <cell r="CM9">
            <v>47186470</v>
          </cell>
          <cell r="CN9">
            <v>5303330</v>
          </cell>
          <cell r="CO9">
            <v>26885390</v>
          </cell>
          <cell r="CP9">
            <v>48111680</v>
          </cell>
          <cell r="CQ9">
            <v>58022470</v>
          </cell>
          <cell r="CR9">
            <v>68047200</v>
          </cell>
          <cell r="CS9">
            <v>77377830</v>
          </cell>
          <cell r="CT9">
            <v>51576780</v>
          </cell>
          <cell r="CU9">
            <v>55460950</v>
          </cell>
          <cell r="CV9">
            <v>49897390</v>
          </cell>
          <cell r="CW9">
            <v>46162180</v>
          </cell>
        </row>
        <row r="10">
          <cell r="AD10">
            <v>106219100</v>
          </cell>
          <cell r="AE10">
            <v>111582700</v>
          </cell>
          <cell r="AF10">
            <v>95619510</v>
          </cell>
          <cell r="AG10">
            <v>18138380</v>
          </cell>
          <cell r="AH10">
            <v>115999100</v>
          </cell>
          <cell r="AI10">
            <v>108971700</v>
          </cell>
          <cell r="AJ10">
            <v>107692900</v>
          </cell>
          <cell r="AK10">
            <v>120000000</v>
          </cell>
          <cell r="AL10">
            <v>108996600</v>
          </cell>
          <cell r="AM10">
            <v>108380100</v>
          </cell>
          <cell r="AN10">
            <v>99619160</v>
          </cell>
          <cell r="AO10">
            <v>96274900</v>
          </cell>
          <cell r="AP10">
            <v>86995840</v>
          </cell>
          <cell r="AQ10">
            <v>105367100</v>
          </cell>
          <cell r="AR10">
            <v>80594040</v>
          </cell>
          <cell r="AS10">
            <v>12339420</v>
          </cell>
          <cell r="AT10">
            <v>40190390</v>
          </cell>
          <cell r="AU10">
            <v>92730330</v>
          </cell>
          <cell r="AV10">
            <v>101381900</v>
          </cell>
          <cell r="AW10">
            <v>106359200</v>
          </cell>
          <cell r="AX10">
            <v>95752410</v>
          </cell>
          <cell r="AY10">
            <v>93919400</v>
          </cell>
          <cell r="AZ10">
            <v>90593200</v>
          </cell>
          <cell r="BA10">
            <v>86089630</v>
          </cell>
          <cell r="BB10">
            <v>81622550</v>
          </cell>
          <cell r="BC10">
            <v>97699740</v>
          </cell>
          <cell r="BD10">
            <v>78269910</v>
          </cell>
          <cell r="BE10">
            <v>14041800</v>
          </cell>
          <cell r="BF10">
            <v>106819300</v>
          </cell>
          <cell r="BG10">
            <v>86904320</v>
          </cell>
          <cell r="BH10">
            <v>95120040</v>
          </cell>
          <cell r="BI10">
            <v>98527430</v>
          </cell>
          <cell r="BJ10">
            <v>91822150</v>
          </cell>
          <cell r="BK10">
            <v>87551650</v>
          </cell>
          <cell r="BL10">
            <v>83271490</v>
          </cell>
          <cell r="BM10">
            <v>80772310</v>
          </cell>
          <cell r="BN10">
            <v>90489790</v>
          </cell>
          <cell r="BO10">
            <v>98200210</v>
          </cell>
          <cell r="BP10">
            <v>83291730</v>
          </cell>
          <cell r="BQ10">
            <v>14761640</v>
          </cell>
          <cell r="BR10">
            <v>116744000</v>
          </cell>
          <cell r="BS10">
            <v>96451740</v>
          </cell>
          <cell r="BT10">
            <v>105677700</v>
          </cell>
          <cell r="BU10">
            <v>108866500</v>
          </cell>
          <cell r="BV10">
            <v>100002400</v>
          </cell>
          <cell r="BW10">
            <v>94678200</v>
          </cell>
          <cell r="BX10">
            <v>88884640</v>
          </cell>
          <cell r="BY10">
            <v>86534260</v>
          </cell>
          <cell r="BZ10">
            <v>90489790</v>
          </cell>
          <cell r="CA10">
            <v>98200210</v>
          </cell>
          <cell r="CB10">
            <v>83291730</v>
          </cell>
          <cell r="CC10">
            <v>14761640</v>
          </cell>
          <cell r="CD10">
            <v>116744000</v>
          </cell>
          <cell r="CE10">
            <v>96451740</v>
          </cell>
          <cell r="CF10">
            <v>105677700</v>
          </cell>
          <cell r="CG10">
            <v>108866500</v>
          </cell>
          <cell r="CH10">
            <v>100002400</v>
          </cell>
          <cell r="CI10">
            <v>94678200</v>
          </cell>
          <cell r="CJ10">
            <v>88884640</v>
          </cell>
          <cell r="CK10">
            <v>86534260</v>
          </cell>
          <cell r="CL10">
            <v>90489790</v>
          </cell>
          <cell r="CM10">
            <v>98200210</v>
          </cell>
          <cell r="CN10">
            <v>83291730</v>
          </cell>
          <cell r="CO10">
            <v>14761640</v>
          </cell>
          <cell r="CP10">
            <v>116744000</v>
          </cell>
          <cell r="CQ10">
            <v>96451740</v>
          </cell>
          <cell r="CR10">
            <v>105677700</v>
          </cell>
          <cell r="CS10">
            <v>108866500</v>
          </cell>
          <cell r="CT10">
            <v>100002400</v>
          </cell>
          <cell r="CU10">
            <v>94678200</v>
          </cell>
          <cell r="CV10">
            <v>88884640</v>
          </cell>
          <cell r="CW10">
            <v>86534260</v>
          </cell>
        </row>
        <row r="11">
          <cell r="AD11">
            <v>51209970</v>
          </cell>
          <cell r="AE11">
            <v>46254160</v>
          </cell>
          <cell r="AF11">
            <v>51209970</v>
          </cell>
          <cell r="AG11">
            <v>49558030</v>
          </cell>
          <cell r="AH11">
            <v>51209970</v>
          </cell>
          <cell r="AI11">
            <v>49558030</v>
          </cell>
          <cell r="AJ11">
            <v>51209970</v>
          </cell>
          <cell r="AK11">
            <v>51209970</v>
          </cell>
          <cell r="AL11">
            <v>49558030</v>
          </cell>
          <cell r="AM11">
            <v>51209970</v>
          </cell>
          <cell r="AN11">
            <v>49558030</v>
          </cell>
          <cell r="AO11">
            <v>51209970</v>
          </cell>
          <cell r="AP11">
            <v>51084010</v>
          </cell>
          <cell r="AQ11">
            <v>46140390</v>
          </cell>
          <cell r="AR11">
            <v>51084010</v>
          </cell>
          <cell r="AS11">
            <v>49436140</v>
          </cell>
          <cell r="AT11">
            <v>51084010</v>
          </cell>
          <cell r="AU11">
            <v>49436140</v>
          </cell>
          <cell r="AV11">
            <v>51084010</v>
          </cell>
          <cell r="AW11">
            <v>51084010</v>
          </cell>
          <cell r="AX11">
            <v>49436140</v>
          </cell>
          <cell r="AY11">
            <v>51084010</v>
          </cell>
          <cell r="AZ11">
            <v>49436140</v>
          </cell>
          <cell r="BA11">
            <v>51084010</v>
          </cell>
          <cell r="BB11">
            <v>50958050</v>
          </cell>
          <cell r="BC11">
            <v>46026620</v>
          </cell>
          <cell r="BD11">
            <v>50958050</v>
          </cell>
          <cell r="BE11">
            <v>49314240</v>
          </cell>
          <cell r="BF11">
            <v>50958050</v>
          </cell>
          <cell r="BG11">
            <v>49314240</v>
          </cell>
          <cell r="BH11">
            <v>50958050</v>
          </cell>
          <cell r="BI11">
            <v>50958050</v>
          </cell>
          <cell r="BJ11">
            <v>49314240</v>
          </cell>
          <cell r="BK11">
            <v>50958050</v>
          </cell>
          <cell r="BL11">
            <v>49314240</v>
          </cell>
          <cell r="BM11">
            <v>50958050</v>
          </cell>
          <cell r="BN11">
            <v>50832090</v>
          </cell>
          <cell r="BO11">
            <v>45912850</v>
          </cell>
          <cell r="BP11">
            <v>50832090</v>
          </cell>
          <cell r="BQ11">
            <v>49192340</v>
          </cell>
          <cell r="BR11">
            <v>50832090</v>
          </cell>
          <cell r="BS11">
            <v>49192340</v>
          </cell>
          <cell r="BT11">
            <v>50832090</v>
          </cell>
          <cell r="BU11">
            <v>50832090</v>
          </cell>
          <cell r="BV11">
            <v>49192340</v>
          </cell>
          <cell r="BW11">
            <v>50832090</v>
          </cell>
          <cell r="BX11">
            <v>49192340</v>
          </cell>
          <cell r="BY11">
            <v>50832090</v>
          </cell>
          <cell r="BZ11">
            <v>50832090</v>
          </cell>
          <cell r="CA11">
            <v>45912850</v>
          </cell>
          <cell r="CB11">
            <v>50832090</v>
          </cell>
          <cell r="CC11">
            <v>49192340</v>
          </cell>
          <cell r="CD11">
            <v>50832090</v>
          </cell>
          <cell r="CE11">
            <v>49192340</v>
          </cell>
          <cell r="CF11">
            <v>50832090</v>
          </cell>
          <cell r="CG11">
            <v>50832090</v>
          </cell>
          <cell r="CH11">
            <v>49192340</v>
          </cell>
          <cell r="CI11">
            <v>50832090</v>
          </cell>
          <cell r="CJ11">
            <v>49192340</v>
          </cell>
          <cell r="CK11">
            <v>50832090</v>
          </cell>
          <cell r="CL11">
            <v>50832090</v>
          </cell>
          <cell r="CM11">
            <v>45912850</v>
          </cell>
          <cell r="CN11">
            <v>50832090</v>
          </cell>
          <cell r="CO11">
            <v>49192340</v>
          </cell>
          <cell r="CP11">
            <v>50832090</v>
          </cell>
          <cell r="CQ11">
            <v>49192340</v>
          </cell>
          <cell r="CR11">
            <v>50832090</v>
          </cell>
          <cell r="CS11">
            <v>50832090</v>
          </cell>
          <cell r="CT11">
            <v>49192340</v>
          </cell>
          <cell r="CU11">
            <v>50832090</v>
          </cell>
          <cell r="CV11">
            <v>49192340</v>
          </cell>
          <cell r="CW11">
            <v>50832090</v>
          </cell>
        </row>
        <row r="12">
          <cell r="AD12">
            <v>216287590</v>
          </cell>
          <cell r="AE12">
            <v>210465970</v>
          </cell>
          <cell r="AF12">
            <v>166285260</v>
          </cell>
          <cell r="AG12">
            <v>121737400</v>
          </cell>
          <cell r="AH12">
            <v>218790060</v>
          </cell>
          <cell r="AI12">
            <v>228977530</v>
          </cell>
          <cell r="AJ12">
            <v>239413330</v>
          </cell>
          <cell r="AK12">
            <v>255793880</v>
          </cell>
          <cell r="AL12">
            <v>214011870</v>
          </cell>
          <cell r="AM12">
            <v>223656770</v>
          </cell>
          <cell r="AN12">
            <v>204056940</v>
          </cell>
          <cell r="AO12">
            <v>198678690</v>
          </cell>
          <cell r="AP12">
            <v>195555340</v>
          </cell>
          <cell r="AQ12">
            <v>201786760</v>
          </cell>
          <cell r="AR12">
            <v>150233650</v>
          </cell>
          <cell r="AS12">
            <v>114340160</v>
          </cell>
          <cell r="AT12">
            <v>142196760</v>
          </cell>
          <cell r="AU12">
            <v>207834680</v>
          </cell>
          <cell r="AV12">
            <v>224756780</v>
          </cell>
          <cell r="AW12">
            <v>239840080</v>
          </cell>
          <cell r="AX12">
            <v>199778430</v>
          </cell>
          <cell r="AY12">
            <v>208112850</v>
          </cell>
          <cell r="AZ12">
            <v>194336050</v>
          </cell>
          <cell r="BA12">
            <v>186608560</v>
          </cell>
          <cell r="BB12">
            <v>188807780</v>
          </cell>
          <cell r="BC12">
            <v>193669450</v>
          </cell>
          <cell r="BD12">
            <v>147938450</v>
          </cell>
          <cell r="BE12">
            <v>116040680</v>
          </cell>
          <cell r="BF12">
            <v>208699710</v>
          </cell>
          <cell r="BG12">
            <v>198071360</v>
          </cell>
          <cell r="BH12">
            <v>218100570</v>
          </cell>
          <cell r="BI12">
            <v>231383670</v>
          </cell>
          <cell r="BJ12">
            <v>195726270</v>
          </cell>
          <cell r="BK12">
            <v>197210670</v>
          </cell>
          <cell r="BL12">
            <v>185398120</v>
          </cell>
          <cell r="BM12">
            <v>180589330</v>
          </cell>
          <cell r="BN12">
            <v>194445590</v>
          </cell>
          <cell r="BO12">
            <v>191299530</v>
          </cell>
          <cell r="BP12">
            <v>139427150</v>
          </cell>
          <cell r="BQ12">
            <v>90839370</v>
          </cell>
          <cell r="BR12">
            <v>215687770</v>
          </cell>
          <cell r="BS12">
            <v>203666550</v>
          </cell>
          <cell r="BT12">
            <v>224556990</v>
          </cell>
          <cell r="BU12">
            <v>237076420</v>
          </cell>
          <cell r="BV12">
            <v>200771520</v>
          </cell>
          <cell r="BW12">
            <v>200971240</v>
          </cell>
          <cell r="BX12">
            <v>187974370</v>
          </cell>
          <cell r="BY12">
            <v>183528530</v>
          </cell>
          <cell r="BZ12">
            <v>194445590</v>
          </cell>
          <cell r="CA12">
            <v>191299530</v>
          </cell>
          <cell r="CB12">
            <v>139427150</v>
          </cell>
          <cell r="CC12">
            <v>90839370</v>
          </cell>
          <cell r="CD12">
            <v>215687770</v>
          </cell>
          <cell r="CE12">
            <v>203666550</v>
          </cell>
          <cell r="CF12">
            <v>224556990</v>
          </cell>
          <cell r="CG12">
            <v>237076420</v>
          </cell>
          <cell r="CH12">
            <v>200771520</v>
          </cell>
          <cell r="CI12">
            <v>200971240</v>
          </cell>
          <cell r="CJ12">
            <v>187974370</v>
          </cell>
          <cell r="CK12">
            <v>183528530</v>
          </cell>
          <cell r="CL12">
            <v>194445590</v>
          </cell>
          <cell r="CM12">
            <v>191299530</v>
          </cell>
          <cell r="CN12">
            <v>139427150</v>
          </cell>
          <cell r="CO12">
            <v>90839370</v>
          </cell>
          <cell r="CP12">
            <v>215687770</v>
          </cell>
          <cell r="CQ12">
            <v>203666550</v>
          </cell>
          <cell r="CR12">
            <v>224556990</v>
          </cell>
          <cell r="CS12">
            <v>237076420</v>
          </cell>
          <cell r="CT12">
            <v>200771520</v>
          </cell>
          <cell r="CU12">
            <v>200971240</v>
          </cell>
          <cell r="CV12">
            <v>187974370</v>
          </cell>
          <cell r="CW12">
            <v>183528530</v>
          </cell>
        </row>
        <row r="16">
          <cell r="AD16">
            <v>4844720</v>
          </cell>
          <cell r="AE16">
            <v>4844720</v>
          </cell>
          <cell r="AF16">
            <v>4844720</v>
          </cell>
          <cell r="AG16">
            <v>4844720</v>
          </cell>
          <cell r="AH16">
            <v>4844720</v>
          </cell>
          <cell r="AI16">
            <v>4844720</v>
          </cell>
          <cell r="AJ16">
            <v>4844720</v>
          </cell>
          <cell r="AK16">
            <v>4844720</v>
          </cell>
          <cell r="AL16">
            <v>4844720</v>
          </cell>
          <cell r="AM16">
            <v>4844720</v>
          </cell>
          <cell r="AN16">
            <v>4844720</v>
          </cell>
          <cell r="AO16">
            <v>4844720</v>
          </cell>
          <cell r="AP16">
            <v>4844720</v>
          </cell>
          <cell r="AQ16">
            <v>4844720</v>
          </cell>
          <cell r="AR16">
            <v>4844720</v>
          </cell>
          <cell r="AS16">
            <v>4844720</v>
          </cell>
          <cell r="AT16">
            <v>4844720</v>
          </cell>
          <cell r="AU16">
            <v>4844720</v>
          </cell>
          <cell r="AV16">
            <v>4844720</v>
          </cell>
          <cell r="AW16">
            <v>4844720</v>
          </cell>
          <cell r="AX16">
            <v>4844720</v>
          </cell>
          <cell r="AY16">
            <v>4844720</v>
          </cell>
          <cell r="AZ16">
            <v>4844720</v>
          </cell>
          <cell r="BA16">
            <v>4844720</v>
          </cell>
          <cell r="BB16">
            <v>4844720</v>
          </cell>
          <cell r="BC16">
            <v>4844720</v>
          </cell>
          <cell r="BD16">
            <v>4844720</v>
          </cell>
          <cell r="BE16">
            <v>4844720</v>
          </cell>
          <cell r="BF16">
            <v>4844720</v>
          </cell>
          <cell r="BG16">
            <v>4844720</v>
          </cell>
          <cell r="BH16">
            <v>4844720</v>
          </cell>
          <cell r="BI16">
            <v>4844720</v>
          </cell>
          <cell r="BJ16">
            <v>4844720</v>
          </cell>
          <cell r="BK16">
            <v>4844720</v>
          </cell>
          <cell r="BL16">
            <v>4844720</v>
          </cell>
          <cell r="BM16">
            <v>4844720</v>
          </cell>
          <cell r="BN16">
            <v>4343542.07</v>
          </cell>
          <cell r="BO16">
            <v>4343542.07</v>
          </cell>
          <cell r="BP16">
            <v>4343542.07</v>
          </cell>
          <cell r="BQ16">
            <v>4343542.07</v>
          </cell>
          <cell r="BR16">
            <v>4343542.07</v>
          </cell>
          <cell r="BS16">
            <v>4343542.07</v>
          </cell>
          <cell r="BT16">
            <v>4343542.07</v>
          </cell>
          <cell r="BU16">
            <v>4343542.07</v>
          </cell>
          <cell r="BV16">
            <v>4343542.07</v>
          </cell>
          <cell r="BW16">
            <v>4343542.07</v>
          </cell>
          <cell r="BX16">
            <v>4343542.07</v>
          </cell>
          <cell r="BY16">
            <v>4343542.07</v>
          </cell>
          <cell r="BZ16">
            <v>4343542.07</v>
          </cell>
          <cell r="CA16">
            <v>4343542.07</v>
          </cell>
          <cell r="CB16">
            <v>4343542.07</v>
          </cell>
          <cell r="CC16">
            <v>4343542.07</v>
          </cell>
          <cell r="CD16">
            <v>4343542.07</v>
          </cell>
          <cell r="CE16">
            <v>4343542.07</v>
          </cell>
          <cell r="CF16">
            <v>4343542.07</v>
          </cell>
          <cell r="CG16">
            <v>4343542.07</v>
          </cell>
          <cell r="CH16">
            <v>4343542.07</v>
          </cell>
          <cell r="CI16">
            <v>4343542.07</v>
          </cell>
          <cell r="CJ16">
            <v>4343542.07</v>
          </cell>
          <cell r="CK16">
            <v>4343542.07</v>
          </cell>
          <cell r="CL16">
            <v>4343542.07</v>
          </cell>
          <cell r="CM16">
            <v>4343542.07</v>
          </cell>
          <cell r="CN16">
            <v>4343542.07</v>
          </cell>
          <cell r="CO16">
            <v>4343542.07</v>
          </cell>
          <cell r="CP16">
            <v>4343542.07</v>
          </cell>
          <cell r="CQ16">
            <v>4343542.07</v>
          </cell>
          <cell r="CR16">
            <v>4343542.07</v>
          </cell>
          <cell r="CS16">
            <v>4343542.07</v>
          </cell>
          <cell r="CT16">
            <v>4343542.07</v>
          </cell>
          <cell r="CU16">
            <v>4343542.07</v>
          </cell>
          <cell r="CV16">
            <v>4343542.07</v>
          </cell>
          <cell r="CW16">
            <v>4343542.07</v>
          </cell>
        </row>
        <row r="17">
          <cell r="AD17">
            <v>6282439</v>
          </cell>
          <cell r="AE17">
            <v>6282439</v>
          </cell>
          <cell r="AF17">
            <v>6282439</v>
          </cell>
          <cell r="AG17">
            <v>6282439</v>
          </cell>
          <cell r="AH17">
            <v>6282439</v>
          </cell>
          <cell r="AI17">
            <v>6282439</v>
          </cell>
          <cell r="AJ17">
            <v>6282439</v>
          </cell>
          <cell r="AK17">
            <v>6282439</v>
          </cell>
          <cell r="AL17">
            <v>6282439</v>
          </cell>
          <cell r="AM17">
            <v>6282439</v>
          </cell>
          <cell r="AN17">
            <v>6282439</v>
          </cell>
          <cell r="AO17">
            <v>6282439</v>
          </cell>
          <cell r="AP17">
            <v>5904014</v>
          </cell>
          <cell r="AQ17">
            <v>5904014</v>
          </cell>
          <cell r="AR17">
            <v>5904014</v>
          </cell>
          <cell r="AS17">
            <v>5904014</v>
          </cell>
          <cell r="AT17">
            <v>5904014</v>
          </cell>
          <cell r="AU17">
            <v>5904014</v>
          </cell>
          <cell r="AV17">
            <v>5904014</v>
          </cell>
          <cell r="AW17">
            <v>5904014</v>
          </cell>
          <cell r="AX17">
            <v>5904014</v>
          </cell>
          <cell r="AY17">
            <v>5904014</v>
          </cell>
          <cell r="AZ17">
            <v>5904014</v>
          </cell>
          <cell r="BA17">
            <v>5904014</v>
          </cell>
          <cell r="BB17">
            <v>8460692</v>
          </cell>
          <cell r="BC17">
            <v>8460692</v>
          </cell>
          <cell r="BD17">
            <v>8460692</v>
          </cell>
          <cell r="BE17">
            <v>8460692</v>
          </cell>
          <cell r="BF17">
            <v>8460692</v>
          </cell>
          <cell r="BG17">
            <v>8460692</v>
          </cell>
          <cell r="BH17">
            <v>8460692</v>
          </cell>
          <cell r="BI17">
            <v>8460692</v>
          </cell>
          <cell r="BJ17">
            <v>8460692</v>
          </cell>
          <cell r="BK17">
            <v>8460692</v>
          </cell>
          <cell r="BL17">
            <v>8460692</v>
          </cell>
          <cell r="BM17">
            <v>8460692</v>
          </cell>
          <cell r="BN17">
            <v>8724843</v>
          </cell>
          <cell r="BO17">
            <v>8724843</v>
          </cell>
          <cell r="BP17">
            <v>8724843</v>
          </cell>
          <cell r="BQ17">
            <v>8724843</v>
          </cell>
          <cell r="BR17">
            <v>8724843</v>
          </cell>
          <cell r="BS17">
            <v>8724843</v>
          </cell>
          <cell r="BT17">
            <v>8724843</v>
          </cell>
          <cell r="BU17">
            <v>8724843</v>
          </cell>
          <cell r="BV17">
            <v>8724843</v>
          </cell>
          <cell r="BW17">
            <v>8724843</v>
          </cell>
          <cell r="BX17">
            <v>8724843</v>
          </cell>
          <cell r="BY17">
            <v>8724843</v>
          </cell>
          <cell r="BZ17">
            <v>8724843</v>
          </cell>
          <cell r="CA17">
            <v>8724843</v>
          </cell>
          <cell r="CB17">
            <v>8724843</v>
          </cell>
          <cell r="CC17">
            <v>8724843</v>
          </cell>
          <cell r="CD17">
            <v>8724843</v>
          </cell>
          <cell r="CE17">
            <v>8724843</v>
          </cell>
          <cell r="CF17">
            <v>8724843</v>
          </cell>
          <cell r="CG17">
            <v>8724843</v>
          </cell>
          <cell r="CH17">
            <v>8724843</v>
          </cell>
          <cell r="CI17">
            <v>8724843</v>
          </cell>
          <cell r="CJ17">
            <v>8724843</v>
          </cell>
          <cell r="CK17">
            <v>8724843</v>
          </cell>
          <cell r="CL17">
            <v>8724843</v>
          </cell>
          <cell r="CM17">
            <v>8724843</v>
          </cell>
          <cell r="CN17">
            <v>8724843</v>
          </cell>
          <cell r="CO17">
            <v>8724843</v>
          </cell>
          <cell r="CP17">
            <v>8724843</v>
          </cell>
          <cell r="CQ17">
            <v>8724843</v>
          </cell>
          <cell r="CR17">
            <v>8724843</v>
          </cell>
          <cell r="CS17">
            <v>8724843</v>
          </cell>
          <cell r="CT17">
            <v>8724843</v>
          </cell>
          <cell r="CU17">
            <v>8724843</v>
          </cell>
          <cell r="CV17">
            <v>8724843</v>
          </cell>
          <cell r="CW17">
            <v>8724843</v>
          </cell>
        </row>
        <row r="18">
          <cell r="AD18">
            <v>1209323.3600000001</v>
          </cell>
          <cell r="AE18">
            <v>1092292.06</v>
          </cell>
          <cell r="AF18">
            <v>0</v>
          </cell>
          <cell r="AG18">
            <v>0</v>
          </cell>
          <cell r="AH18">
            <v>0</v>
          </cell>
          <cell r="AI18">
            <v>1170312.93</v>
          </cell>
          <cell r="AJ18">
            <v>1209323.3600000001</v>
          </cell>
          <cell r="AK18">
            <v>1209323.3600000001</v>
          </cell>
          <cell r="AL18">
            <v>1170312.93</v>
          </cell>
          <cell r="AM18">
            <v>0</v>
          </cell>
          <cell r="AN18">
            <v>0</v>
          </cell>
          <cell r="AO18">
            <v>1209323.3600000001</v>
          </cell>
          <cell r="AP18">
            <v>1206348.83</v>
          </cell>
          <cell r="AQ18">
            <v>1089605.3899999999</v>
          </cell>
          <cell r="AR18">
            <v>0</v>
          </cell>
          <cell r="AS18">
            <v>0</v>
          </cell>
          <cell r="AT18">
            <v>0</v>
          </cell>
          <cell r="AU18">
            <v>1167434.3500000001</v>
          </cell>
          <cell r="AV18">
            <v>1206348.83</v>
          </cell>
          <cell r="AW18">
            <v>1206348.83</v>
          </cell>
          <cell r="AX18">
            <v>1167434.3500000001</v>
          </cell>
          <cell r="AY18">
            <v>0</v>
          </cell>
          <cell r="AZ18">
            <v>0</v>
          </cell>
          <cell r="BA18">
            <v>1206348.83</v>
          </cell>
          <cell r="BB18">
            <v>1203374.3</v>
          </cell>
          <cell r="BC18">
            <v>1086918.73</v>
          </cell>
          <cell r="BD18">
            <v>0</v>
          </cell>
          <cell r="BE18">
            <v>0</v>
          </cell>
          <cell r="BF18">
            <v>0</v>
          </cell>
          <cell r="BG18">
            <v>1164555.78</v>
          </cell>
          <cell r="BH18">
            <v>1203374.3</v>
          </cell>
          <cell r="BI18">
            <v>1203374.3</v>
          </cell>
          <cell r="BJ18">
            <v>1164555.78</v>
          </cell>
          <cell r="BK18">
            <v>0</v>
          </cell>
          <cell r="BL18">
            <v>0</v>
          </cell>
          <cell r="BM18">
            <v>1203374.3</v>
          </cell>
          <cell r="BN18">
            <v>1200399.78</v>
          </cell>
          <cell r="BO18">
            <v>1084232.06</v>
          </cell>
          <cell r="BP18">
            <v>0</v>
          </cell>
          <cell r="BQ18">
            <v>0</v>
          </cell>
          <cell r="BR18">
            <v>0</v>
          </cell>
          <cell r="BS18">
            <v>1161677.2</v>
          </cell>
          <cell r="BT18">
            <v>1200399.78</v>
          </cell>
          <cell r="BU18">
            <v>1200399.78</v>
          </cell>
          <cell r="BV18">
            <v>1161677.2</v>
          </cell>
          <cell r="BW18">
            <v>0</v>
          </cell>
          <cell r="BX18">
            <v>0</v>
          </cell>
          <cell r="BY18">
            <v>1200399.78</v>
          </cell>
          <cell r="BZ18">
            <v>1200399.78</v>
          </cell>
          <cell r="CA18">
            <v>1084232.06</v>
          </cell>
          <cell r="CB18">
            <v>0</v>
          </cell>
          <cell r="CC18">
            <v>0</v>
          </cell>
          <cell r="CD18">
            <v>0</v>
          </cell>
          <cell r="CE18">
            <v>1161677.2</v>
          </cell>
          <cell r="CF18">
            <v>1200399.78</v>
          </cell>
          <cell r="CG18">
            <v>1200399.78</v>
          </cell>
          <cell r="CH18">
            <v>1161677.2</v>
          </cell>
          <cell r="CI18">
            <v>0</v>
          </cell>
          <cell r="CJ18">
            <v>0</v>
          </cell>
          <cell r="CK18">
            <v>1200399.78</v>
          </cell>
          <cell r="CL18">
            <v>1200399.78</v>
          </cell>
          <cell r="CM18">
            <v>1084232.06</v>
          </cell>
          <cell r="CN18">
            <v>0</v>
          </cell>
          <cell r="CO18">
            <v>0</v>
          </cell>
          <cell r="CP18">
            <v>0</v>
          </cell>
          <cell r="CQ18">
            <v>1161677.2</v>
          </cell>
          <cell r="CR18">
            <v>1200399.78</v>
          </cell>
          <cell r="CS18">
            <v>1200399.78</v>
          </cell>
          <cell r="CT18">
            <v>1161677.2</v>
          </cell>
          <cell r="CU18">
            <v>0</v>
          </cell>
          <cell r="CV18">
            <v>0</v>
          </cell>
          <cell r="CW18">
            <v>1200399.78</v>
          </cell>
        </row>
        <row r="19">
          <cell r="AD19">
            <v>12336482.359999999</v>
          </cell>
          <cell r="AE19">
            <v>12219451.060000001</v>
          </cell>
          <cell r="AF19">
            <v>11127159</v>
          </cell>
          <cell r="AG19">
            <v>11127159</v>
          </cell>
          <cell r="AH19">
            <v>11127159</v>
          </cell>
          <cell r="AI19">
            <v>12297471.93</v>
          </cell>
          <cell r="AJ19">
            <v>12336482.359999999</v>
          </cell>
          <cell r="AK19">
            <v>12336482.359999999</v>
          </cell>
          <cell r="AL19">
            <v>12297471.93</v>
          </cell>
          <cell r="AM19">
            <v>11127159</v>
          </cell>
          <cell r="AN19">
            <v>11127159</v>
          </cell>
          <cell r="AO19">
            <v>12336482.359999999</v>
          </cell>
          <cell r="AP19">
            <v>11955082.83</v>
          </cell>
          <cell r="AQ19">
            <v>11838339.390000001</v>
          </cell>
          <cell r="AR19">
            <v>10748734</v>
          </cell>
          <cell r="AS19">
            <v>10748734</v>
          </cell>
          <cell r="AT19">
            <v>10748734</v>
          </cell>
          <cell r="AU19">
            <v>11916168.35</v>
          </cell>
          <cell r="AV19">
            <v>11955082.83</v>
          </cell>
          <cell r="AW19">
            <v>11955082.83</v>
          </cell>
          <cell r="AX19">
            <v>11916168.35</v>
          </cell>
          <cell r="AY19">
            <v>10748734</v>
          </cell>
          <cell r="AZ19">
            <v>10748734</v>
          </cell>
          <cell r="BA19">
            <v>11955082.83</v>
          </cell>
          <cell r="BB19">
            <v>14508786.300000001</v>
          </cell>
          <cell r="BC19">
            <v>14392330.73</v>
          </cell>
          <cell r="BD19">
            <v>13305412</v>
          </cell>
          <cell r="BE19">
            <v>13305412</v>
          </cell>
          <cell r="BF19">
            <v>13305412</v>
          </cell>
          <cell r="BG19">
            <v>14469967.779999999</v>
          </cell>
          <cell r="BH19">
            <v>14508786.300000001</v>
          </cell>
          <cell r="BI19">
            <v>14508786.300000001</v>
          </cell>
          <cell r="BJ19">
            <v>14469967.779999999</v>
          </cell>
          <cell r="BK19">
            <v>13305412</v>
          </cell>
          <cell r="BL19">
            <v>13305412</v>
          </cell>
          <cell r="BM19">
            <v>14508786.300000001</v>
          </cell>
          <cell r="BN19">
            <v>14268784.85</v>
          </cell>
          <cell r="BO19">
            <v>14152617.130000001</v>
          </cell>
          <cell r="BP19">
            <v>13068385.07</v>
          </cell>
          <cell r="BQ19">
            <v>13068385.07</v>
          </cell>
          <cell r="BR19">
            <v>13068385.07</v>
          </cell>
          <cell r="BS19">
            <v>14230062.27</v>
          </cell>
          <cell r="BT19">
            <v>14268784.85</v>
          </cell>
          <cell r="BU19">
            <v>14268784.85</v>
          </cell>
          <cell r="BV19">
            <v>14230062.27</v>
          </cell>
          <cell r="BW19">
            <v>13068385.07</v>
          </cell>
          <cell r="BX19">
            <v>13068385.07</v>
          </cell>
          <cell r="BY19">
            <v>14268784.85</v>
          </cell>
          <cell r="BZ19">
            <v>14268784.85</v>
          </cell>
          <cell r="CA19">
            <v>14152617.130000001</v>
          </cell>
          <cell r="CB19">
            <v>13068385.07</v>
          </cell>
          <cell r="CC19">
            <v>13068385.07</v>
          </cell>
          <cell r="CD19">
            <v>13068385.07</v>
          </cell>
          <cell r="CE19">
            <v>14230062.27</v>
          </cell>
          <cell r="CF19">
            <v>14268784.85</v>
          </cell>
          <cell r="CG19">
            <v>14268784.85</v>
          </cell>
          <cell r="CH19">
            <v>14230062.27</v>
          </cell>
          <cell r="CI19">
            <v>13068385.07</v>
          </cell>
          <cell r="CJ19">
            <v>13068385.07</v>
          </cell>
          <cell r="CK19">
            <v>14268784.85</v>
          </cell>
          <cell r="CL19">
            <v>14268784.85</v>
          </cell>
          <cell r="CM19">
            <v>14152617.130000001</v>
          </cell>
          <cell r="CN19">
            <v>13068385.07</v>
          </cell>
          <cell r="CO19">
            <v>13068385.07</v>
          </cell>
          <cell r="CP19">
            <v>13068385.07</v>
          </cell>
          <cell r="CQ19">
            <v>14230062.27</v>
          </cell>
          <cell r="CR19">
            <v>14268784.85</v>
          </cell>
          <cell r="CS19">
            <v>14268784.85</v>
          </cell>
          <cell r="CT19">
            <v>14230062.27</v>
          </cell>
          <cell r="CU19">
            <v>13068385.07</v>
          </cell>
          <cell r="CV19">
            <v>13068385.07</v>
          </cell>
          <cell r="CW19">
            <v>14268784.85</v>
          </cell>
        </row>
        <row r="22">
          <cell r="AD22">
            <v>1996407.83</v>
          </cell>
          <cell r="AE22">
            <v>1785114.07</v>
          </cell>
          <cell r="AF22">
            <v>659915.98</v>
          </cell>
          <cell r="AG22">
            <v>1833003.5</v>
          </cell>
          <cell r="AH22">
            <v>1749563.19</v>
          </cell>
          <cell r="AI22">
            <v>2389501.98</v>
          </cell>
          <cell r="AJ22">
            <v>2730814.95</v>
          </cell>
          <cell r="AK22">
            <v>2868981.24</v>
          </cell>
          <cell r="AL22">
            <v>1881040.74</v>
          </cell>
          <cell r="AM22">
            <v>2173062.89</v>
          </cell>
          <cell r="AN22">
            <v>1861453.06</v>
          </cell>
          <cell r="AO22">
            <v>1736430.94</v>
          </cell>
          <cell r="AP22">
            <v>1977085.47</v>
          </cell>
          <cell r="AQ22">
            <v>1729544.59</v>
          </cell>
          <cell r="AR22">
            <v>638289.81000000006</v>
          </cell>
          <cell r="AS22">
            <v>1808156.87</v>
          </cell>
          <cell r="AT22">
            <v>1751665.99</v>
          </cell>
          <cell r="AU22">
            <v>2258904.87</v>
          </cell>
          <cell r="AV22">
            <v>2486716.17</v>
          </cell>
          <cell r="AW22">
            <v>2834349.97</v>
          </cell>
          <cell r="AX22">
            <v>1877824.06</v>
          </cell>
          <cell r="AY22">
            <v>2170886.38</v>
          </cell>
          <cell r="AZ22">
            <v>1868083.37</v>
          </cell>
          <cell r="BA22">
            <v>1700499.75</v>
          </cell>
          <cell r="BB22">
            <v>1950978.77</v>
          </cell>
          <cell r="BC22">
            <v>1732932.55</v>
          </cell>
          <cell r="BD22">
            <v>649219.5</v>
          </cell>
          <cell r="BE22">
            <v>1828059</v>
          </cell>
          <cell r="BF22">
            <v>1766911.26</v>
          </cell>
          <cell r="BG22">
            <v>2146177.21</v>
          </cell>
          <cell r="BH22">
            <v>2499046.2799999998</v>
          </cell>
          <cell r="BI22">
            <v>2841715.04</v>
          </cell>
          <cell r="BJ22">
            <v>1894167.32</v>
          </cell>
          <cell r="BK22">
            <v>2036814.39</v>
          </cell>
          <cell r="BL22">
            <v>1832491.7</v>
          </cell>
          <cell r="BM22">
            <v>1695315.41</v>
          </cell>
          <cell r="BN22">
            <v>1868091.9</v>
          </cell>
          <cell r="BO22">
            <v>1659309.3</v>
          </cell>
          <cell r="BP22">
            <v>186491.38</v>
          </cell>
          <cell r="BQ22">
            <v>945423.37</v>
          </cell>
          <cell r="BR22">
            <v>1691844.25</v>
          </cell>
          <cell r="BS22">
            <v>2040356.57</v>
          </cell>
          <cell r="BT22">
            <v>2392875.44</v>
          </cell>
          <cell r="BU22">
            <v>2720986.3</v>
          </cell>
          <cell r="BV22">
            <v>1813694.06</v>
          </cell>
          <cell r="BW22">
            <v>1950280.9</v>
          </cell>
          <cell r="BX22">
            <v>1754638.62</v>
          </cell>
          <cell r="BY22">
            <v>1623290.03</v>
          </cell>
          <cell r="BZ22">
            <v>1868091.9</v>
          </cell>
          <cell r="CA22">
            <v>1659309.3</v>
          </cell>
          <cell r="CB22">
            <v>186491.38</v>
          </cell>
          <cell r="CC22">
            <v>945423.37</v>
          </cell>
          <cell r="CD22">
            <v>1691844.25</v>
          </cell>
          <cell r="CE22">
            <v>2040356.57</v>
          </cell>
          <cell r="CF22">
            <v>2392875.44</v>
          </cell>
          <cell r="CG22">
            <v>2720986.3</v>
          </cell>
          <cell r="CH22">
            <v>1813694.06</v>
          </cell>
          <cell r="CI22">
            <v>1950280.9</v>
          </cell>
          <cell r="CJ22">
            <v>1754638.62</v>
          </cell>
          <cell r="CK22">
            <v>1623290.03</v>
          </cell>
          <cell r="CL22">
            <v>1868091.9</v>
          </cell>
          <cell r="CM22">
            <v>1659309.3</v>
          </cell>
          <cell r="CN22">
            <v>186491.38</v>
          </cell>
          <cell r="CO22">
            <v>945423.37</v>
          </cell>
          <cell r="CP22">
            <v>1691844.25</v>
          </cell>
          <cell r="CQ22">
            <v>2040356.57</v>
          </cell>
          <cell r="CR22">
            <v>2392875.44</v>
          </cell>
          <cell r="CS22">
            <v>2720986.3</v>
          </cell>
          <cell r="CT22">
            <v>1813694.06</v>
          </cell>
          <cell r="CU22">
            <v>1950280.9</v>
          </cell>
          <cell r="CV22">
            <v>1754638.62</v>
          </cell>
          <cell r="CW22">
            <v>1623290.03</v>
          </cell>
        </row>
        <row r="24">
          <cell r="AD24">
            <v>2096467.49</v>
          </cell>
          <cell r="AE24">
            <v>2154066.92</v>
          </cell>
          <cell r="AF24">
            <v>1919963.81</v>
          </cell>
          <cell r="AG24">
            <v>356693.65</v>
          </cell>
          <cell r="AH24">
            <v>2270115.5</v>
          </cell>
          <cell r="AI24">
            <v>2142400.8199999998</v>
          </cell>
          <cell r="AJ24">
            <v>2152845.15</v>
          </cell>
          <cell r="AK24">
            <v>2360865.83</v>
          </cell>
          <cell r="AL24">
            <v>2164156.09</v>
          </cell>
          <cell r="AM24">
            <v>2175130.23</v>
          </cell>
          <cell r="AN24">
            <v>2015548.94</v>
          </cell>
          <cell r="AO24">
            <v>1969528.9</v>
          </cell>
          <cell r="AP24">
            <v>1837078.93</v>
          </cell>
          <cell r="AQ24">
            <v>2123313.13</v>
          </cell>
          <cell r="AR24">
            <v>1726197.53</v>
          </cell>
          <cell r="AS24">
            <v>257906.54</v>
          </cell>
          <cell r="AT24">
            <v>818098.55</v>
          </cell>
          <cell r="AU24">
            <v>1936857.7</v>
          </cell>
          <cell r="AV24">
            <v>2098636.2400000002</v>
          </cell>
          <cell r="AW24">
            <v>2185356.11</v>
          </cell>
          <cell r="AX24">
            <v>1989835.59</v>
          </cell>
          <cell r="AY24">
            <v>1968616.22</v>
          </cell>
          <cell r="AZ24">
            <v>1899945.94</v>
          </cell>
          <cell r="BA24">
            <v>1832196.89</v>
          </cell>
          <cell r="BB24">
            <v>1771600.37</v>
          </cell>
          <cell r="BC24">
            <v>2026992.13</v>
          </cell>
          <cell r="BD24">
            <v>1711914.88</v>
          </cell>
          <cell r="BE24">
            <v>301373.59000000003</v>
          </cell>
          <cell r="BF24">
            <v>2219669.96</v>
          </cell>
          <cell r="BG24">
            <v>1855354.93</v>
          </cell>
          <cell r="BH24">
            <v>2011890.36</v>
          </cell>
          <cell r="BI24">
            <v>2072550.52</v>
          </cell>
          <cell r="BJ24">
            <v>1942905.13</v>
          </cell>
          <cell r="BK24">
            <v>1877153.66</v>
          </cell>
          <cell r="BL24">
            <v>1790681.29</v>
          </cell>
          <cell r="BM24">
            <v>1756463.99</v>
          </cell>
          <cell r="BN24">
            <v>2028496.94</v>
          </cell>
          <cell r="BO24">
            <v>2134782.67</v>
          </cell>
          <cell r="BP24">
            <v>1896231.92</v>
          </cell>
          <cell r="BQ24">
            <v>330260.49</v>
          </cell>
          <cell r="BR24">
            <v>2510350.61</v>
          </cell>
          <cell r="BS24">
            <v>2126250.5</v>
          </cell>
          <cell r="BT24">
            <v>2307576.79</v>
          </cell>
          <cell r="BU24">
            <v>2366171.0499999998</v>
          </cell>
          <cell r="BV24">
            <v>2191494.23</v>
          </cell>
          <cell r="BW24">
            <v>2105459.5099999998</v>
          </cell>
          <cell r="BX24">
            <v>1987204.34</v>
          </cell>
          <cell r="BY24">
            <v>1955813.72</v>
          </cell>
          <cell r="BZ24">
            <v>2028496.94</v>
          </cell>
          <cell r="CA24">
            <v>2134782.67</v>
          </cell>
          <cell r="CB24">
            <v>1896231.92</v>
          </cell>
          <cell r="CC24">
            <v>330260.49</v>
          </cell>
          <cell r="CD24">
            <v>2510350.61</v>
          </cell>
          <cell r="CE24">
            <v>2126250.5</v>
          </cell>
          <cell r="CF24">
            <v>2307576.79</v>
          </cell>
          <cell r="CG24">
            <v>2366171.0499999998</v>
          </cell>
          <cell r="CH24">
            <v>2191494.23</v>
          </cell>
          <cell r="CI24">
            <v>2105459.5099999998</v>
          </cell>
          <cell r="CJ24">
            <v>1987204.34</v>
          </cell>
          <cell r="CK24">
            <v>1955813.72</v>
          </cell>
          <cell r="CL24">
            <v>2028496.94</v>
          </cell>
          <cell r="CM24">
            <v>2134782.67</v>
          </cell>
          <cell r="CN24">
            <v>1896231.92</v>
          </cell>
          <cell r="CO24">
            <v>330260.49</v>
          </cell>
          <cell r="CP24">
            <v>2510350.61</v>
          </cell>
          <cell r="CQ24">
            <v>2126250.5</v>
          </cell>
          <cell r="CR24">
            <v>2307576.79</v>
          </cell>
          <cell r="CS24">
            <v>2366171.0499999998</v>
          </cell>
          <cell r="CT24">
            <v>2191494.23</v>
          </cell>
          <cell r="CU24">
            <v>2105459.5099999998</v>
          </cell>
          <cell r="CV24">
            <v>1987204.34</v>
          </cell>
          <cell r="CW24">
            <v>1955813.72</v>
          </cell>
        </row>
        <row r="26">
          <cell r="AD26">
            <v>2243275.46</v>
          </cell>
          <cell r="AE26">
            <v>2026184.28</v>
          </cell>
          <cell r="AF26">
            <v>2243275.46</v>
          </cell>
          <cell r="AG26">
            <v>2170911.73</v>
          </cell>
          <cell r="AH26">
            <v>2243275.46</v>
          </cell>
          <cell r="AI26">
            <v>2170911.73</v>
          </cell>
          <cell r="AJ26">
            <v>2243275.46</v>
          </cell>
          <cell r="AK26">
            <v>2243275.46</v>
          </cell>
          <cell r="AL26">
            <v>2170911.73</v>
          </cell>
          <cell r="AM26">
            <v>2243275.46</v>
          </cell>
          <cell r="AN26">
            <v>2170911.73</v>
          </cell>
          <cell r="AO26">
            <v>2243275.46</v>
          </cell>
          <cell r="AP26">
            <v>2274546.59</v>
          </cell>
          <cell r="AQ26">
            <v>2054429.18</v>
          </cell>
          <cell r="AR26">
            <v>2274546.59</v>
          </cell>
          <cell r="AS26">
            <v>2201174.12</v>
          </cell>
          <cell r="AT26">
            <v>2274546.59</v>
          </cell>
          <cell r="AU26">
            <v>2201174.12</v>
          </cell>
          <cell r="AV26">
            <v>2274546.59</v>
          </cell>
          <cell r="AW26">
            <v>2274546.59</v>
          </cell>
          <cell r="AX26">
            <v>2201174.12</v>
          </cell>
          <cell r="AY26">
            <v>2274546.59</v>
          </cell>
          <cell r="AZ26">
            <v>2201174.12</v>
          </cell>
          <cell r="BA26">
            <v>2274546.59</v>
          </cell>
          <cell r="BB26">
            <v>2306737.25</v>
          </cell>
          <cell r="BC26">
            <v>2083504.62</v>
          </cell>
          <cell r="BD26">
            <v>2306737.25</v>
          </cell>
          <cell r="BE26">
            <v>2232326.37</v>
          </cell>
          <cell r="BF26">
            <v>2306737.25</v>
          </cell>
          <cell r="BG26">
            <v>2232326.37</v>
          </cell>
          <cell r="BH26">
            <v>2306737.25</v>
          </cell>
          <cell r="BI26">
            <v>2306737.25</v>
          </cell>
          <cell r="BJ26">
            <v>2232326.37</v>
          </cell>
          <cell r="BK26">
            <v>2306737.25</v>
          </cell>
          <cell r="BL26">
            <v>2232326.37</v>
          </cell>
          <cell r="BM26">
            <v>2306737.25</v>
          </cell>
          <cell r="BN26">
            <v>2339872.2200000002</v>
          </cell>
          <cell r="BO26">
            <v>2113432.9700000002</v>
          </cell>
          <cell r="BP26">
            <v>2339872.2200000002</v>
          </cell>
          <cell r="BQ26">
            <v>2264392.4700000002</v>
          </cell>
          <cell r="BR26">
            <v>2339872.2200000002</v>
          </cell>
          <cell r="BS26">
            <v>2264392.4700000002</v>
          </cell>
          <cell r="BT26">
            <v>2339872.2200000002</v>
          </cell>
          <cell r="BU26">
            <v>2339872.2200000002</v>
          </cell>
          <cell r="BV26">
            <v>2264392.4700000002</v>
          </cell>
          <cell r="BW26">
            <v>2339872.2200000002</v>
          </cell>
          <cell r="BX26">
            <v>2264392.4700000002</v>
          </cell>
          <cell r="BY26">
            <v>2339872.2200000002</v>
          </cell>
          <cell r="BZ26">
            <v>2339872.2200000002</v>
          </cell>
          <cell r="CA26">
            <v>2113432.9700000002</v>
          </cell>
          <cell r="CB26">
            <v>2339872.2200000002</v>
          </cell>
          <cell r="CC26">
            <v>2264392.4700000002</v>
          </cell>
          <cell r="CD26">
            <v>2339872.2200000002</v>
          </cell>
          <cell r="CE26">
            <v>2264392.4700000002</v>
          </cell>
          <cell r="CF26">
            <v>2339872.2200000002</v>
          </cell>
          <cell r="CG26">
            <v>2339872.2200000002</v>
          </cell>
          <cell r="CH26">
            <v>2264392.4700000002</v>
          </cell>
          <cell r="CI26">
            <v>2339872.2200000002</v>
          </cell>
          <cell r="CJ26">
            <v>2264392.4700000002</v>
          </cell>
          <cell r="CK26">
            <v>2339872.2200000002</v>
          </cell>
          <cell r="CL26">
            <v>2339872.2200000002</v>
          </cell>
          <cell r="CM26">
            <v>2113432.9700000002</v>
          </cell>
          <cell r="CN26">
            <v>2339872.2200000002</v>
          </cell>
          <cell r="CO26">
            <v>2264392.4700000002</v>
          </cell>
          <cell r="CP26">
            <v>2339872.2200000002</v>
          </cell>
          <cell r="CQ26">
            <v>2264392.4700000002</v>
          </cell>
          <cell r="CR26">
            <v>2339872.2200000002</v>
          </cell>
          <cell r="CS26">
            <v>2339872.2200000002</v>
          </cell>
          <cell r="CT26">
            <v>2264392.4700000002</v>
          </cell>
          <cell r="CU26">
            <v>2339872.2200000002</v>
          </cell>
          <cell r="CV26">
            <v>2264392.4700000002</v>
          </cell>
          <cell r="CW26">
            <v>2339872.2200000002</v>
          </cell>
        </row>
        <row r="27">
          <cell r="AD27">
            <v>6336150.7800000003</v>
          </cell>
          <cell r="AE27">
            <v>5965365.2700000005</v>
          </cell>
          <cell r="AF27">
            <v>4823155.25</v>
          </cell>
          <cell r="AG27">
            <v>4360608.88</v>
          </cell>
          <cell r="AH27">
            <v>6262954.1500000004</v>
          </cell>
          <cell r="AI27">
            <v>6702814.5299999993</v>
          </cell>
          <cell r="AJ27">
            <v>7126935.5599999996</v>
          </cell>
          <cell r="AK27">
            <v>7473122.5300000003</v>
          </cell>
          <cell r="AL27">
            <v>6216108.5600000005</v>
          </cell>
          <cell r="AM27">
            <v>6591468.5800000001</v>
          </cell>
          <cell r="AN27">
            <v>6047913.7300000004</v>
          </cell>
          <cell r="AO27">
            <v>5949235.2999999998</v>
          </cell>
          <cell r="AP27">
            <v>6088710.9900000002</v>
          </cell>
          <cell r="AQ27">
            <v>5907286.8999999994</v>
          </cell>
          <cell r="AR27">
            <v>4639033.93</v>
          </cell>
          <cell r="AS27">
            <v>4267237.53</v>
          </cell>
          <cell r="AT27">
            <v>4844311.13</v>
          </cell>
          <cell r="AU27">
            <v>6396936.6900000004</v>
          </cell>
          <cell r="AV27">
            <v>6859899</v>
          </cell>
          <cell r="AW27">
            <v>7294252.6699999999</v>
          </cell>
          <cell r="AX27">
            <v>6068833.7700000005</v>
          </cell>
          <cell r="AY27">
            <v>6414049.1899999995</v>
          </cell>
          <cell r="AZ27">
            <v>5969203.4299999997</v>
          </cell>
          <cell r="BA27">
            <v>5807243.2299999995</v>
          </cell>
          <cell r="BB27">
            <v>6029316.3900000006</v>
          </cell>
          <cell r="BC27">
            <v>5843429.2999999998</v>
          </cell>
          <cell r="BD27">
            <v>4667871.63</v>
          </cell>
          <cell r="BE27">
            <v>4361758.96</v>
          </cell>
          <cell r="BF27">
            <v>6293318.4699999997</v>
          </cell>
          <cell r="BG27">
            <v>6233858.5099999998</v>
          </cell>
          <cell r="BH27">
            <v>6817673.8899999997</v>
          </cell>
          <cell r="BI27">
            <v>7221002.8100000005</v>
          </cell>
          <cell r="BJ27">
            <v>6069398.8200000003</v>
          </cell>
          <cell r="BK27">
            <v>6220705.2999999998</v>
          </cell>
          <cell r="BL27">
            <v>5855499.3600000003</v>
          </cell>
          <cell r="BM27">
            <v>5758516.6500000004</v>
          </cell>
          <cell r="BN27">
            <v>6236461.0600000005</v>
          </cell>
          <cell r="BO27">
            <v>5907524.9399999995</v>
          </cell>
          <cell r="BP27">
            <v>4422595.5199999996</v>
          </cell>
          <cell r="BQ27">
            <v>3540076.33</v>
          </cell>
          <cell r="BR27">
            <v>6542067.0800000001</v>
          </cell>
          <cell r="BS27">
            <v>6430999.540000001</v>
          </cell>
          <cell r="BT27">
            <v>7040324.4500000011</v>
          </cell>
          <cell r="BU27">
            <v>7427029.5700000003</v>
          </cell>
          <cell r="BV27">
            <v>6269580.7599999998</v>
          </cell>
          <cell r="BW27">
            <v>6395612.6299999999</v>
          </cell>
          <cell r="BX27">
            <v>6006235.4299999997</v>
          </cell>
          <cell r="BY27">
            <v>5918975.9700000007</v>
          </cell>
          <cell r="BZ27">
            <v>6236461.0600000005</v>
          </cell>
          <cell r="CA27">
            <v>5907524.9399999995</v>
          </cell>
          <cell r="CB27">
            <v>4422595.5199999996</v>
          </cell>
          <cell r="CC27">
            <v>3540076.33</v>
          </cell>
          <cell r="CD27">
            <v>6542067.0800000001</v>
          </cell>
          <cell r="CE27">
            <v>6430999.540000001</v>
          </cell>
          <cell r="CF27">
            <v>7040324.4500000011</v>
          </cell>
          <cell r="CG27">
            <v>7427029.5700000003</v>
          </cell>
          <cell r="CH27">
            <v>6269580.7599999998</v>
          </cell>
          <cell r="CI27">
            <v>6395612.6299999999</v>
          </cell>
          <cell r="CJ27">
            <v>6006235.4299999997</v>
          </cell>
          <cell r="CK27">
            <v>5918975.9700000007</v>
          </cell>
          <cell r="CL27">
            <v>6236461.0600000005</v>
          </cell>
          <cell r="CM27">
            <v>5907524.9399999995</v>
          </cell>
          <cell r="CN27">
            <v>4422595.5199999996</v>
          </cell>
          <cell r="CO27">
            <v>3540076.33</v>
          </cell>
          <cell r="CP27">
            <v>6542067.0800000001</v>
          </cell>
          <cell r="CQ27">
            <v>6430999.540000001</v>
          </cell>
          <cell r="CR27">
            <v>7040324.4500000011</v>
          </cell>
          <cell r="CS27">
            <v>7427029.5700000003</v>
          </cell>
          <cell r="CT27">
            <v>6269580.7599999998</v>
          </cell>
          <cell r="CU27">
            <v>6395612.6299999999</v>
          </cell>
          <cell r="CV27">
            <v>6006235.4299999997</v>
          </cell>
          <cell r="CW27">
            <v>5918975.9700000007</v>
          </cell>
        </row>
        <row r="30">
          <cell r="AD30">
            <v>166462.75</v>
          </cell>
          <cell r="AE30">
            <v>166462.75</v>
          </cell>
          <cell r="AF30">
            <v>166462.75</v>
          </cell>
          <cell r="AG30">
            <v>166462.75</v>
          </cell>
          <cell r="AH30">
            <v>166462.75</v>
          </cell>
          <cell r="AI30">
            <v>166462.75</v>
          </cell>
          <cell r="AJ30">
            <v>166462.75</v>
          </cell>
          <cell r="AK30">
            <v>166462.75</v>
          </cell>
          <cell r="AL30">
            <v>166462.75</v>
          </cell>
          <cell r="AM30">
            <v>166462.75</v>
          </cell>
          <cell r="AN30">
            <v>166462.75</v>
          </cell>
          <cell r="AO30">
            <v>166462.75</v>
          </cell>
          <cell r="AP30">
            <v>166462.75</v>
          </cell>
          <cell r="AQ30">
            <v>166463.75</v>
          </cell>
          <cell r="AR30">
            <v>166464.75</v>
          </cell>
          <cell r="AS30">
            <v>166465.75</v>
          </cell>
          <cell r="AT30">
            <v>166466.75</v>
          </cell>
          <cell r="AU30">
            <v>166467.75</v>
          </cell>
          <cell r="AV30">
            <v>166468.75</v>
          </cell>
          <cell r="AW30">
            <v>166469.75</v>
          </cell>
          <cell r="AX30">
            <v>166470.75</v>
          </cell>
          <cell r="AY30">
            <v>166471.75</v>
          </cell>
          <cell r="AZ30">
            <v>166472.75</v>
          </cell>
          <cell r="BA30">
            <v>166473.75</v>
          </cell>
          <cell r="BB30">
            <v>166473.75</v>
          </cell>
          <cell r="BC30">
            <v>166474.75</v>
          </cell>
          <cell r="BD30">
            <v>166475.75</v>
          </cell>
          <cell r="BE30">
            <v>166476.75</v>
          </cell>
          <cell r="BF30">
            <v>166477.75</v>
          </cell>
          <cell r="BG30">
            <v>166478.75</v>
          </cell>
          <cell r="BH30">
            <v>166479.75</v>
          </cell>
          <cell r="BI30">
            <v>166480.75</v>
          </cell>
          <cell r="BJ30">
            <v>166481.75</v>
          </cell>
          <cell r="BK30">
            <v>166482.75</v>
          </cell>
          <cell r="BL30">
            <v>166483.75</v>
          </cell>
          <cell r="BM30">
            <v>166484.75</v>
          </cell>
          <cell r="BN30">
            <v>166473.75</v>
          </cell>
          <cell r="BO30">
            <v>166474.75</v>
          </cell>
          <cell r="BP30">
            <v>166475.75</v>
          </cell>
          <cell r="BQ30">
            <v>166476.75</v>
          </cell>
          <cell r="BR30">
            <v>166477.75</v>
          </cell>
          <cell r="BS30">
            <v>166478.75</v>
          </cell>
          <cell r="BT30">
            <v>166479.75</v>
          </cell>
          <cell r="BU30">
            <v>166480.75</v>
          </cell>
          <cell r="BV30">
            <v>166481.75</v>
          </cell>
          <cell r="BW30">
            <v>166482.75</v>
          </cell>
          <cell r="BX30">
            <v>166483.75</v>
          </cell>
          <cell r="BY30">
            <v>166484.75</v>
          </cell>
          <cell r="BZ30">
            <v>166473.75</v>
          </cell>
          <cell r="CA30">
            <v>166474.75</v>
          </cell>
          <cell r="CB30">
            <v>166475.75</v>
          </cell>
          <cell r="CC30">
            <v>166476.75</v>
          </cell>
          <cell r="CD30">
            <v>166477.75</v>
          </cell>
          <cell r="CE30">
            <v>166478.75</v>
          </cell>
          <cell r="CF30">
            <v>166479.75</v>
          </cell>
          <cell r="CG30">
            <v>166480.75</v>
          </cell>
          <cell r="CH30">
            <v>166481.75</v>
          </cell>
          <cell r="CI30">
            <v>166482.75</v>
          </cell>
          <cell r="CJ30">
            <v>166483.75</v>
          </cell>
          <cell r="CK30">
            <v>166484.75</v>
          </cell>
          <cell r="CL30">
            <v>166473.75</v>
          </cell>
          <cell r="CM30">
            <v>166474.75</v>
          </cell>
          <cell r="CN30">
            <v>166475.75</v>
          </cell>
          <cell r="CO30">
            <v>166476.75</v>
          </cell>
          <cell r="CP30">
            <v>166477.75</v>
          </cell>
          <cell r="CQ30">
            <v>166478.75</v>
          </cell>
          <cell r="CR30">
            <v>166479.75</v>
          </cell>
          <cell r="CS30">
            <v>166480.75</v>
          </cell>
          <cell r="CT30">
            <v>166481.75</v>
          </cell>
          <cell r="CU30">
            <v>166482.75</v>
          </cell>
          <cell r="CV30">
            <v>166483.75</v>
          </cell>
          <cell r="CW30">
            <v>166484.75</v>
          </cell>
        </row>
        <row r="31">
          <cell r="AD31">
            <v>-1300</v>
          </cell>
          <cell r="AE31">
            <v>-1300</v>
          </cell>
          <cell r="AF31">
            <v>-1300</v>
          </cell>
          <cell r="AG31">
            <v>-1300</v>
          </cell>
          <cell r="AH31">
            <v>-1300</v>
          </cell>
          <cell r="AI31">
            <v>-1300</v>
          </cell>
          <cell r="AJ31">
            <v>-1300</v>
          </cell>
          <cell r="AK31">
            <v>-1300</v>
          </cell>
          <cell r="AL31">
            <v>-1300</v>
          </cell>
          <cell r="AM31">
            <v>-1300</v>
          </cell>
          <cell r="AN31">
            <v>-1300</v>
          </cell>
          <cell r="AO31">
            <v>-1300</v>
          </cell>
        </row>
        <row r="34">
          <cell r="AD34">
            <v>2364857.67</v>
          </cell>
          <cell r="AE34">
            <v>2044266.19</v>
          </cell>
          <cell r="AF34">
            <v>712655.32</v>
          </cell>
          <cell r="AG34">
            <v>1867523.93</v>
          </cell>
          <cell r="AH34">
            <v>2003361.57</v>
          </cell>
          <cell r="AI34">
            <v>3371735.52</v>
          </cell>
          <cell r="AJ34">
            <v>6029939.1500000004</v>
          </cell>
          <cell r="AK34">
            <v>5669889.0700000003</v>
          </cell>
          <cell r="AL34">
            <v>2108805.02</v>
          </cell>
          <cell r="AM34">
            <v>2180071.1800000002</v>
          </cell>
          <cell r="AN34">
            <v>1752016.69</v>
          </cell>
          <cell r="AO34">
            <v>1635836.37</v>
          </cell>
          <cell r="AP34">
            <v>2231603.2200000002</v>
          </cell>
          <cell r="AQ34">
            <v>1888435.95</v>
          </cell>
          <cell r="AR34">
            <v>654747.88</v>
          </cell>
          <cell r="AS34">
            <v>1751492.34</v>
          </cell>
          <cell r="AT34">
            <v>1897849.95</v>
          </cell>
          <cell r="AU34">
            <v>3006639.31</v>
          </cell>
          <cell r="AV34">
            <v>5093503.03</v>
          </cell>
          <cell r="AW34">
            <v>5013225.9400000004</v>
          </cell>
          <cell r="AX34">
            <v>1836637.26</v>
          </cell>
          <cell r="AY34">
            <v>2135284.87</v>
          </cell>
          <cell r="AZ34">
            <v>1723752.9</v>
          </cell>
          <cell r="BA34">
            <v>1560226.85</v>
          </cell>
          <cell r="BB34">
            <v>2183593.9900000002</v>
          </cell>
          <cell r="BC34">
            <v>1877270.72</v>
          </cell>
          <cell r="BD34">
            <v>674029.32</v>
          </cell>
          <cell r="BE34">
            <v>1793765.96</v>
          </cell>
          <cell r="BF34">
            <v>1909562.11</v>
          </cell>
          <cell r="BG34">
            <v>2634012.27</v>
          </cell>
          <cell r="BH34">
            <v>4702866.66</v>
          </cell>
          <cell r="BI34">
            <v>4645246.5599999996</v>
          </cell>
          <cell r="BJ34">
            <v>1902581.2</v>
          </cell>
          <cell r="BK34">
            <v>1947594.62</v>
          </cell>
          <cell r="BL34">
            <v>1653928.2</v>
          </cell>
          <cell r="BM34">
            <v>1530338.26</v>
          </cell>
          <cell r="BN34">
            <v>2089279.77</v>
          </cell>
          <cell r="BO34">
            <v>1796269.49</v>
          </cell>
          <cell r="BP34">
            <v>197245.78</v>
          </cell>
          <cell r="BQ34">
            <v>958266.38</v>
          </cell>
          <cell r="BR34">
            <v>1827158.26</v>
          </cell>
          <cell r="BS34">
            <v>2508100.23</v>
          </cell>
          <cell r="BT34">
            <v>4498466.17</v>
          </cell>
          <cell r="BU34">
            <v>4444623.2300000004</v>
          </cell>
          <cell r="BV34">
            <v>1820534.92</v>
          </cell>
          <cell r="BW34">
            <v>1863659.78</v>
          </cell>
          <cell r="BX34">
            <v>1582612.82</v>
          </cell>
          <cell r="BY34">
            <v>1464281.86</v>
          </cell>
          <cell r="BZ34">
            <v>2131065.3654</v>
          </cell>
          <cell r="CA34">
            <v>1832194.8798</v>
          </cell>
          <cell r="CB34">
            <v>201190.69560000001</v>
          </cell>
          <cell r="CC34">
            <v>977431.70759999997</v>
          </cell>
          <cell r="CD34">
            <v>1863701.4251999999</v>
          </cell>
          <cell r="CE34">
            <v>2558262.2346000001</v>
          </cell>
          <cell r="CF34">
            <v>4588435.4934</v>
          </cell>
          <cell r="CG34">
            <v>4533515.694600001</v>
          </cell>
          <cell r="CH34">
            <v>1856945.6184</v>
          </cell>
          <cell r="CI34">
            <v>1900932.9756</v>
          </cell>
          <cell r="CJ34">
            <v>1614265.0764000001</v>
          </cell>
          <cell r="CK34">
            <v>1493567.4972000001</v>
          </cell>
          <cell r="CL34">
            <v>2173686.6727080001</v>
          </cell>
          <cell r="CM34">
            <v>1868838.777396</v>
          </cell>
          <cell r="CN34">
            <v>205214.50951200002</v>
          </cell>
          <cell r="CO34">
            <v>996980.34175200004</v>
          </cell>
          <cell r="CP34">
            <v>1900975.453704</v>
          </cell>
          <cell r="CQ34">
            <v>2609427.4792920002</v>
          </cell>
          <cell r="CR34">
            <v>4680204.2032679999</v>
          </cell>
          <cell r="CS34">
            <v>4624186.0084920013</v>
          </cell>
          <cell r="CT34">
            <v>1894084.5307680001</v>
          </cell>
          <cell r="CU34">
            <v>1938951.6351119999</v>
          </cell>
          <cell r="CV34">
            <v>1646550.3779280002</v>
          </cell>
          <cell r="CW34">
            <v>1523438.8471440002</v>
          </cell>
        </row>
        <row r="35">
          <cell r="AD35">
            <v>3692843.38</v>
          </cell>
          <cell r="AE35">
            <v>3588031.8</v>
          </cell>
          <cell r="AF35">
            <v>3021206.07</v>
          </cell>
          <cell r="AG35">
            <v>542378.76</v>
          </cell>
          <cell r="AH35">
            <v>3670661.26</v>
          </cell>
          <cell r="AI35">
            <v>4385513.09</v>
          </cell>
          <cell r="AJ35">
            <v>7047649.1400000006</v>
          </cell>
          <cell r="AK35">
            <v>6758673.9399999995</v>
          </cell>
          <cell r="AL35">
            <v>3341229.68</v>
          </cell>
          <cell r="AM35">
            <v>3199998</v>
          </cell>
          <cell r="AN35">
            <v>2911049.84</v>
          </cell>
          <cell r="AO35">
            <v>2878145.3</v>
          </cell>
          <cell r="AP35">
            <v>3170670.66</v>
          </cell>
          <cell r="AQ35">
            <v>3309114.75</v>
          </cell>
          <cell r="AR35">
            <v>2604955.52</v>
          </cell>
          <cell r="AS35">
            <v>377847.5</v>
          </cell>
          <cell r="AT35">
            <v>1242706.3</v>
          </cell>
          <cell r="AU35">
            <v>3760400.44</v>
          </cell>
          <cell r="AV35">
            <v>6125578.0099999998</v>
          </cell>
          <cell r="AW35">
            <v>5742355.7700000005</v>
          </cell>
          <cell r="AX35">
            <v>2754136.39</v>
          </cell>
          <cell r="AY35">
            <v>2873791.77</v>
          </cell>
          <cell r="AZ35">
            <v>2685480.76</v>
          </cell>
          <cell r="BA35">
            <v>2635398.91</v>
          </cell>
          <cell r="BB35">
            <v>2983294.85</v>
          </cell>
          <cell r="BC35">
            <v>3096151.91</v>
          </cell>
          <cell r="BD35">
            <v>2548890.1800000002</v>
          </cell>
          <cell r="BE35">
            <v>443823.42</v>
          </cell>
          <cell r="BF35">
            <v>3293092.58</v>
          </cell>
          <cell r="BG35">
            <v>3286122.62</v>
          </cell>
          <cell r="BH35">
            <v>5380214.2599999998</v>
          </cell>
          <cell r="BI35">
            <v>5020768.5999999996</v>
          </cell>
          <cell r="BJ35">
            <v>2712762.9</v>
          </cell>
          <cell r="BK35">
            <v>2666283.2000000002</v>
          </cell>
          <cell r="BL35">
            <v>2468256.35</v>
          </cell>
          <cell r="BM35">
            <v>2457793.09</v>
          </cell>
          <cell r="BN35">
            <v>3353291.91</v>
          </cell>
          <cell r="BO35">
            <v>3294611</v>
          </cell>
          <cell r="BP35">
            <v>2796366.45</v>
          </cell>
          <cell r="BQ35">
            <v>483600.63</v>
          </cell>
          <cell r="BR35">
            <v>3670824.48</v>
          </cell>
          <cell r="BS35">
            <v>3696933.07</v>
          </cell>
          <cell r="BT35">
            <v>6056963.9699999997</v>
          </cell>
          <cell r="BU35">
            <v>5641798.6099999994</v>
          </cell>
          <cell r="BV35">
            <v>3010430.66</v>
          </cell>
          <cell r="BW35">
            <v>2948205.78</v>
          </cell>
          <cell r="BX35">
            <v>2703473.17</v>
          </cell>
          <cell r="BY35">
            <v>2699535.61</v>
          </cell>
          <cell r="BZ35">
            <v>3420357.7482000003</v>
          </cell>
          <cell r="CA35">
            <v>3360503.22</v>
          </cell>
          <cell r="CB35">
            <v>2852293.7790000001</v>
          </cell>
          <cell r="CC35">
            <v>493272.64260000002</v>
          </cell>
          <cell r="CD35">
            <v>3744240.9696</v>
          </cell>
          <cell r="CE35">
            <v>3770871.7313999999</v>
          </cell>
          <cell r="CF35">
            <v>6178103.2494000001</v>
          </cell>
          <cell r="CG35">
            <v>5754634.5821999991</v>
          </cell>
          <cell r="CH35">
            <v>3070639.2732000002</v>
          </cell>
          <cell r="CI35">
            <v>3007169.8955999999</v>
          </cell>
          <cell r="CJ35">
            <v>2757542.6334000002</v>
          </cell>
          <cell r="CK35">
            <v>2753526.3221999998</v>
          </cell>
          <cell r="CL35">
            <v>3488764.9031640003</v>
          </cell>
          <cell r="CM35">
            <v>3427713.2844000002</v>
          </cell>
          <cell r="CN35">
            <v>2909339.6545800003</v>
          </cell>
          <cell r="CO35">
            <v>503138.09545200004</v>
          </cell>
          <cell r="CP35">
            <v>3819125.7889919998</v>
          </cell>
          <cell r="CQ35">
            <v>3846289.1660279999</v>
          </cell>
          <cell r="CR35">
            <v>6301665.3143880004</v>
          </cell>
          <cell r="CS35">
            <v>5869727.273843999</v>
          </cell>
          <cell r="CT35">
            <v>3132052.0586640001</v>
          </cell>
          <cell r="CU35">
            <v>3067313.2935119998</v>
          </cell>
          <cell r="CV35">
            <v>2812693.4860680001</v>
          </cell>
          <cell r="CW35">
            <v>2808596.848644</v>
          </cell>
        </row>
        <row r="36">
          <cell r="AD36">
            <v>346757.45</v>
          </cell>
          <cell r="AE36">
            <v>315321.27</v>
          </cell>
          <cell r="AF36">
            <v>1389070.44</v>
          </cell>
          <cell r="AG36">
            <v>1340544.75</v>
          </cell>
          <cell r="AH36">
            <v>1490515.88</v>
          </cell>
          <cell r="AI36">
            <v>598702.30000000005</v>
          </cell>
          <cell r="AJ36">
            <v>1544740.52</v>
          </cell>
          <cell r="AK36">
            <v>1374811.47</v>
          </cell>
          <cell r="AL36">
            <v>226259.88</v>
          </cell>
          <cell r="AM36">
            <v>1369082.15</v>
          </cell>
          <cell r="AN36">
            <v>1307423.43</v>
          </cell>
          <cell r="AO36">
            <v>118887.17</v>
          </cell>
          <cell r="AP36">
            <v>299530.86</v>
          </cell>
          <cell r="AQ36">
            <v>272607.03000000003</v>
          </cell>
          <cell r="AR36">
            <v>1345725.03</v>
          </cell>
          <cell r="AS36">
            <v>1298504.06</v>
          </cell>
          <cell r="AT36">
            <v>1455801.52</v>
          </cell>
          <cell r="AU36">
            <v>491952.73</v>
          </cell>
          <cell r="AV36">
            <v>1297891.8400000001</v>
          </cell>
          <cell r="AW36">
            <v>1138678.46</v>
          </cell>
          <cell r="AX36">
            <v>111693.88</v>
          </cell>
          <cell r="AY36">
            <v>1355426.2</v>
          </cell>
          <cell r="AZ36">
            <v>1292721.78</v>
          </cell>
          <cell r="BA36">
            <v>103814.97</v>
          </cell>
          <cell r="BB36">
            <v>307870.02</v>
          </cell>
          <cell r="BC36">
            <v>280067.90999999997</v>
          </cell>
          <cell r="BD36">
            <v>1372156.46</v>
          </cell>
          <cell r="BE36">
            <v>1323939</v>
          </cell>
          <cell r="BF36">
            <v>1466509.48</v>
          </cell>
          <cell r="BG36">
            <v>396200.8</v>
          </cell>
          <cell r="BH36">
            <v>1151966.8899999999</v>
          </cell>
          <cell r="BI36">
            <v>1002849.8</v>
          </cell>
          <cell r="BJ36">
            <v>153571.32</v>
          </cell>
          <cell r="BK36">
            <v>1347745.65</v>
          </cell>
          <cell r="BL36">
            <v>1286503.96</v>
          </cell>
          <cell r="BM36">
            <v>102006.25</v>
          </cell>
          <cell r="BN36">
            <v>326214.98</v>
          </cell>
          <cell r="BO36">
            <v>296660.36</v>
          </cell>
          <cell r="BP36">
            <v>1386170.76</v>
          </cell>
          <cell r="BQ36">
            <v>1337454.79</v>
          </cell>
          <cell r="BR36">
            <v>1481450.74</v>
          </cell>
          <cell r="BS36">
            <v>415006.35</v>
          </cell>
          <cell r="BT36">
            <v>1178902.76</v>
          </cell>
          <cell r="BU36">
            <v>1028325.87</v>
          </cell>
          <cell r="BV36">
            <v>169856.64000000001</v>
          </cell>
          <cell r="BW36">
            <v>1361548.8</v>
          </cell>
          <cell r="BX36">
            <v>1299651.72</v>
          </cell>
          <cell r="BY36">
            <v>118283.07</v>
          </cell>
          <cell r="BZ36">
            <v>332739.27960000001</v>
          </cell>
          <cell r="CA36">
            <v>302593.56719999999</v>
          </cell>
          <cell r="CB36">
            <v>1413894.1751999999</v>
          </cell>
          <cell r="CC36">
            <v>1364203.8858</v>
          </cell>
          <cell r="CD36">
            <v>1511079.7548</v>
          </cell>
          <cell r="CE36">
            <v>423306.47699999996</v>
          </cell>
          <cell r="CF36">
            <v>1202480.8152000001</v>
          </cell>
          <cell r="CG36">
            <v>1048892.3874000001</v>
          </cell>
          <cell r="CH36">
            <v>173253.77280000001</v>
          </cell>
          <cell r="CI36">
            <v>1388779.7760000001</v>
          </cell>
          <cell r="CJ36">
            <v>1325644.7544</v>
          </cell>
          <cell r="CK36">
            <v>120648.7314</v>
          </cell>
          <cell r="CL36">
            <v>339394.06519200001</v>
          </cell>
          <cell r="CM36">
            <v>308645.43854399998</v>
          </cell>
          <cell r="CN36">
            <v>1442172.058704</v>
          </cell>
          <cell r="CO36">
            <v>1391487.963516</v>
          </cell>
          <cell r="CP36">
            <v>1541301.349896</v>
          </cell>
          <cell r="CQ36">
            <v>431772.60653999995</v>
          </cell>
          <cell r="CR36">
            <v>1226530.431504</v>
          </cell>
          <cell r="CS36">
            <v>1069870.2351480001</v>
          </cell>
          <cell r="CT36">
            <v>176718.848256</v>
          </cell>
          <cell r="CU36">
            <v>1416555.37152</v>
          </cell>
          <cell r="CV36">
            <v>1352157.649488</v>
          </cell>
          <cell r="CW36">
            <v>123061.706028</v>
          </cell>
        </row>
        <row r="37">
          <cell r="AD37">
            <v>6404458.5</v>
          </cell>
          <cell r="AE37">
            <v>5947619.2599999998</v>
          </cell>
          <cell r="AF37">
            <v>5122931.83</v>
          </cell>
          <cell r="AG37">
            <v>3750447.44</v>
          </cell>
          <cell r="AH37">
            <v>7164538.71</v>
          </cell>
          <cell r="AI37">
            <v>8355950.9099999992</v>
          </cell>
          <cell r="AJ37">
            <v>14622328.810000001</v>
          </cell>
          <cell r="AK37">
            <v>13803374.48</v>
          </cell>
          <cell r="AL37">
            <v>5676294.5800000001</v>
          </cell>
          <cell r="AM37">
            <v>6749151.3300000001</v>
          </cell>
          <cell r="AN37">
            <v>5970489.959999999</v>
          </cell>
          <cell r="AO37">
            <v>4632868.84</v>
          </cell>
          <cell r="AP37">
            <v>5701804.7400000012</v>
          </cell>
          <cell r="AQ37">
            <v>5470157.7300000004</v>
          </cell>
          <cell r="AR37">
            <v>4605428.43</v>
          </cell>
          <cell r="AS37">
            <v>3427843.9</v>
          </cell>
          <cell r="AT37">
            <v>4596357.7699999996</v>
          </cell>
          <cell r="AU37">
            <v>7258992.4800000004</v>
          </cell>
          <cell r="AV37">
            <v>12516972.879999999</v>
          </cell>
          <cell r="AW37">
            <v>11894260.170000002</v>
          </cell>
          <cell r="AX37">
            <v>4702467.53</v>
          </cell>
          <cell r="AY37">
            <v>6364502.8400000008</v>
          </cell>
          <cell r="AZ37">
            <v>5701955.4400000004</v>
          </cell>
          <cell r="BA37">
            <v>4299440.7299999995</v>
          </cell>
          <cell r="BB37">
            <v>5474758.8599999994</v>
          </cell>
          <cell r="BC37">
            <v>5253490.54</v>
          </cell>
          <cell r="BD37">
            <v>4595075.96</v>
          </cell>
          <cell r="BE37">
            <v>3561528.38</v>
          </cell>
          <cell r="BF37">
            <v>6669164.1699999999</v>
          </cell>
          <cell r="BG37">
            <v>6316335.6900000004</v>
          </cell>
          <cell r="BH37">
            <v>11235047.810000001</v>
          </cell>
          <cell r="BI37">
            <v>10668864.960000001</v>
          </cell>
          <cell r="BJ37">
            <v>4768915.42</v>
          </cell>
          <cell r="BK37">
            <v>5961623.4700000007</v>
          </cell>
          <cell r="BL37">
            <v>5408688.5099999998</v>
          </cell>
          <cell r="BM37">
            <v>4090137.5999999996</v>
          </cell>
          <cell r="BN37">
            <v>5768786.6600000001</v>
          </cell>
          <cell r="BO37">
            <v>5387540.8500000006</v>
          </cell>
          <cell r="BP37">
            <v>4379782.99</v>
          </cell>
          <cell r="BQ37">
            <v>2779321.8</v>
          </cell>
          <cell r="BR37">
            <v>6979433.4800000004</v>
          </cell>
          <cell r="BS37">
            <v>6620039.6499999994</v>
          </cell>
          <cell r="BT37">
            <v>11734332.9</v>
          </cell>
          <cell r="BU37">
            <v>11114747.709999999</v>
          </cell>
          <cell r="BV37">
            <v>5000822.22</v>
          </cell>
          <cell r="BW37">
            <v>6173414.3599999994</v>
          </cell>
          <cell r="BX37">
            <v>5585737.71</v>
          </cell>
          <cell r="BY37">
            <v>4282100.54</v>
          </cell>
          <cell r="BZ37">
            <v>5884162.3932000007</v>
          </cell>
          <cell r="CA37">
            <v>5495291.6670000004</v>
          </cell>
          <cell r="CB37">
            <v>4467378.6498000007</v>
          </cell>
          <cell r="CC37">
            <v>2834908.236</v>
          </cell>
          <cell r="CD37">
            <v>7119022.1496000001</v>
          </cell>
          <cell r="CE37">
            <v>6752440.443</v>
          </cell>
          <cell r="CF37">
            <v>11969019.558000002</v>
          </cell>
          <cell r="CG37">
            <v>11337042.664199999</v>
          </cell>
          <cell r="CH37">
            <v>5100838.6644000001</v>
          </cell>
          <cell r="CI37">
            <v>6296882.6471999995</v>
          </cell>
          <cell r="CJ37">
            <v>5697452.4642000003</v>
          </cell>
          <cell r="CK37">
            <v>4367742.5507999994</v>
          </cell>
          <cell r="CL37">
            <v>6001845.6410640003</v>
          </cell>
          <cell r="CM37">
            <v>5605197.5003399998</v>
          </cell>
          <cell r="CN37">
            <v>4556726.2227960005</v>
          </cell>
          <cell r="CO37">
            <v>2891606.4007200003</v>
          </cell>
          <cell r="CP37">
            <v>7261402.592592</v>
          </cell>
          <cell r="CQ37">
            <v>6887489.2518600002</v>
          </cell>
          <cell r="CR37">
            <v>12208399.94916</v>
          </cell>
          <cell r="CS37">
            <v>11563783.517484</v>
          </cell>
          <cell r="CT37">
            <v>5202855.4376880005</v>
          </cell>
          <cell r="CU37">
            <v>6422820.300144</v>
          </cell>
          <cell r="CV37">
            <v>5811401.5134840002</v>
          </cell>
          <cell r="CW37">
            <v>4455097.4018160002</v>
          </cell>
        </row>
        <row r="39">
          <cell r="AD39">
            <v>140137.20000000001</v>
          </cell>
          <cell r="AE39">
            <v>125764.15</v>
          </cell>
          <cell r="AF39">
            <v>140137.20000000001</v>
          </cell>
          <cell r="AG39">
            <v>134747.31</v>
          </cell>
          <cell r="AH39">
            <v>140137.20000000001</v>
          </cell>
          <cell r="AI39">
            <v>269494.62</v>
          </cell>
          <cell r="AJ39">
            <v>278477.77</v>
          </cell>
          <cell r="AK39">
            <v>278477.77</v>
          </cell>
          <cell r="AL39">
            <v>269494.62</v>
          </cell>
          <cell r="AM39">
            <v>77255.12</v>
          </cell>
          <cell r="AN39">
            <v>75458.490000000005</v>
          </cell>
          <cell r="AO39">
            <v>77255.12</v>
          </cell>
          <cell r="AP39">
            <v>135118.18</v>
          </cell>
          <cell r="AQ39">
            <v>122673.08</v>
          </cell>
          <cell r="AR39">
            <v>135118.18</v>
          </cell>
          <cell r="AS39">
            <v>131562.44</v>
          </cell>
          <cell r="AT39">
            <v>135118.18</v>
          </cell>
          <cell r="AU39">
            <v>261347</v>
          </cell>
          <cell r="AV39">
            <v>270236.36</v>
          </cell>
          <cell r="AW39">
            <v>270236.36</v>
          </cell>
          <cell r="AX39">
            <v>261347</v>
          </cell>
          <cell r="AY39">
            <v>76448.44</v>
          </cell>
          <cell r="AZ39">
            <v>72892.7</v>
          </cell>
          <cell r="BA39">
            <v>76448.44</v>
          </cell>
          <cell r="BB39">
            <v>135118.18</v>
          </cell>
          <cell r="BC39">
            <v>122673.08</v>
          </cell>
          <cell r="BD39">
            <v>135118.18</v>
          </cell>
          <cell r="BE39">
            <v>129784.57</v>
          </cell>
          <cell r="BF39">
            <v>135118.18</v>
          </cell>
          <cell r="BG39">
            <v>261347</v>
          </cell>
          <cell r="BH39">
            <v>270236.36</v>
          </cell>
          <cell r="BI39">
            <v>270236.36</v>
          </cell>
          <cell r="BJ39">
            <v>261347</v>
          </cell>
          <cell r="BK39">
            <v>74670.570000000007</v>
          </cell>
          <cell r="BL39">
            <v>72892.7</v>
          </cell>
          <cell r="BM39">
            <v>74670.570000000007</v>
          </cell>
          <cell r="BN39">
            <v>127660.36</v>
          </cell>
          <cell r="BO39">
            <v>115902.17</v>
          </cell>
          <cell r="BP39">
            <v>127660.36</v>
          </cell>
          <cell r="BQ39">
            <v>124300.87</v>
          </cell>
          <cell r="BR39">
            <v>127660.36</v>
          </cell>
          <cell r="BS39">
            <v>282196.58</v>
          </cell>
          <cell r="BT39">
            <v>292275.03000000003</v>
          </cell>
          <cell r="BU39">
            <v>292275.03000000003</v>
          </cell>
          <cell r="BV39">
            <v>282196.58</v>
          </cell>
          <cell r="BW39">
            <v>63830.18</v>
          </cell>
          <cell r="BX39">
            <v>62150.44</v>
          </cell>
          <cell r="BY39">
            <v>63830.18</v>
          </cell>
          <cell r="BZ39">
            <v>127660.36</v>
          </cell>
          <cell r="CA39">
            <v>115902.17</v>
          </cell>
          <cell r="CB39">
            <v>127660.36</v>
          </cell>
          <cell r="CC39">
            <v>124300.87</v>
          </cell>
          <cell r="CD39">
            <v>127660.36</v>
          </cell>
          <cell r="CE39">
            <v>282196.58</v>
          </cell>
          <cell r="CF39">
            <v>292275.03000000003</v>
          </cell>
          <cell r="CG39">
            <v>292275.03000000003</v>
          </cell>
          <cell r="CH39">
            <v>282196.58</v>
          </cell>
          <cell r="CI39">
            <v>63830.18</v>
          </cell>
          <cell r="CJ39">
            <v>62150.44</v>
          </cell>
          <cell r="CK39">
            <v>63830.18</v>
          </cell>
          <cell r="CL39">
            <v>127660.36</v>
          </cell>
          <cell r="CM39">
            <v>115902.17</v>
          </cell>
          <cell r="CN39">
            <v>127660.36</v>
          </cell>
          <cell r="CO39">
            <v>124300.87</v>
          </cell>
          <cell r="CP39">
            <v>127660.36</v>
          </cell>
          <cell r="CQ39">
            <v>282196.58</v>
          </cell>
          <cell r="CR39">
            <v>292275.03000000003</v>
          </cell>
          <cell r="CS39">
            <v>292275.03000000003</v>
          </cell>
          <cell r="CT39">
            <v>282196.58</v>
          </cell>
          <cell r="CU39">
            <v>63830.18</v>
          </cell>
          <cell r="CV39">
            <v>62150.44</v>
          </cell>
          <cell r="CW39">
            <v>63830.18</v>
          </cell>
        </row>
        <row r="40">
          <cell r="AD40">
            <v>2096467.49</v>
          </cell>
          <cell r="AE40">
            <v>2154066.92</v>
          </cell>
          <cell r="AF40">
            <v>1919963.81</v>
          </cell>
          <cell r="AG40">
            <v>356693.65</v>
          </cell>
          <cell r="AH40">
            <v>2270115.5</v>
          </cell>
          <cell r="AI40">
            <v>2142400.8199999998</v>
          </cell>
          <cell r="AJ40">
            <v>2152845.15</v>
          </cell>
          <cell r="AK40">
            <v>2360865.83</v>
          </cell>
          <cell r="AL40">
            <v>2164156.09</v>
          </cell>
          <cell r="AM40">
            <v>2175130.23</v>
          </cell>
          <cell r="AN40">
            <v>2015548.94</v>
          </cell>
          <cell r="AO40">
            <v>1969528.9</v>
          </cell>
          <cell r="AP40">
            <v>1837078.93</v>
          </cell>
          <cell r="AQ40">
            <v>2123313.13</v>
          </cell>
          <cell r="AR40">
            <v>1726197.53</v>
          </cell>
          <cell r="AS40">
            <v>257906.54</v>
          </cell>
          <cell r="AT40">
            <v>818098.55</v>
          </cell>
          <cell r="AU40">
            <v>1936857.7</v>
          </cell>
          <cell r="AV40">
            <v>2098636.2400000002</v>
          </cell>
          <cell r="AW40">
            <v>2185356.11</v>
          </cell>
          <cell r="AX40">
            <v>1989835.59</v>
          </cell>
          <cell r="AY40">
            <v>1968616.22</v>
          </cell>
          <cell r="AZ40">
            <v>1899945.94</v>
          </cell>
          <cell r="BA40">
            <v>1832196.89</v>
          </cell>
          <cell r="BB40">
            <v>1771600.37</v>
          </cell>
          <cell r="BC40">
            <v>2026992.13</v>
          </cell>
          <cell r="BD40">
            <v>1711914.88</v>
          </cell>
          <cell r="BE40">
            <v>301373.59000000003</v>
          </cell>
          <cell r="BF40">
            <v>2219669.96</v>
          </cell>
          <cell r="BG40">
            <v>1855354.93</v>
          </cell>
          <cell r="BH40">
            <v>2011890.36</v>
          </cell>
          <cell r="BI40">
            <v>2072550.52</v>
          </cell>
          <cell r="BJ40">
            <v>1942905.13</v>
          </cell>
          <cell r="BK40">
            <v>1877153.66</v>
          </cell>
          <cell r="BL40">
            <v>1790681.29</v>
          </cell>
          <cell r="BM40">
            <v>1756463.99</v>
          </cell>
          <cell r="BN40">
            <v>2028496.94</v>
          </cell>
          <cell r="BO40">
            <v>2134782.67</v>
          </cell>
          <cell r="BP40">
            <v>1896231.92</v>
          </cell>
          <cell r="BQ40">
            <v>330260.49</v>
          </cell>
          <cell r="BR40">
            <v>2510350.61</v>
          </cell>
          <cell r="BS40">
            <v>2126250.5</v>
          </cell>
          <cell r="BT40">
            <v>2307576.79</v>
          </cell>
          <cell r="BU40">
            <v>2366171.0499999998</v>
          </cell>
          <cell r="BV40">
            <v>2191494.23</v>
          </cell>
          <cell r="BW40">
            <v>2105459.5099999998</v>
          </cell>
          <cell r="BX40">
            <v>1987204.34</v>
          </cell>
          <cell r="BY40">
            <v>1955813.72</v>
          </cell>
          <cell r="BZ40">
            <v>2028496.94</v>
          </cell>
          <cell r="CA40">
            <v>2134782.67</v>
          </cell>
          <cell r="CB40">
            <v>1896231.92</v>
          </cell>
          <cell r="CC40">
            <v>330260.49</v>
          </cell>
          <cell r="CD40">
            <v>2510350.61</v>
          </cell>
          <cell r="CE40">
            <v>2126250.5</v>
          </cell>
          <cell r="CF40">
            <v>2307576.79</v>
          </cell>
          <cell r="CG40">
            <v>2366171.0499999998</v>
          </cell>
          <cell r="CH40">
            <v>2191494.23</v>
          </cell>
          <cell r="CI40">
            <v>2105459.5099999998</v>
          </cell>
          <cell r="CJ40">
            <v>1987204.34</v>
          </cell>
          <cell r="CK40">
            <v>1955813.72</v>
          </cell>
          <cell r="CL40">
            <v>2028496.94</v>
          </cell>
          <cell r="CM40">
            <v>2134782.67</v>
          </cell>
          <cell r="CN40">
            <v>1896231.92</v>
          </cell>
          <cell r="CO40">
            <v>330260.49</v>
          </cell>
          <cell r="CP40">
            <v>2510350.61</v>
          </cell>
          <cell r="CQ40">
            <v>2126250.5</v>
          </cell>
          <cell r="CR40">
            <v>2307576.79</v>
          </cell>
          <cell r="CS40">
            <v>2366171.0499999998</v>
          </cell>
          <cell r="CT40">
            <v>2191494.23</v>
          </cell>
          <cell r="CU40">
            <v>2105459.5099999998</v>
          </cell>
          <cell r="CV40">
            <v>1987204.34</v>
          </cell>
          <cell r="CW40">
            <v>1955813.72</v>
          </cell>
        </row>
        <row r="41">
          <cell r="AD41">
            <v>53687.95</v>
          </cell>
          <cell r="AE41">
            <v>48181.49</v>
          </cell>
          <cell r="AF41">
            <v>53687.95</v>
          </cell>
          <cell r="AG41">
            <v>51623.02</v>
          </cell>
          <cell r="AH41">
            <v>53687.95</v>
          </cell>
          <cell r="AI41">
            <v>103246.05</v>
          </cell>
          <cell r="AJ41">
            <v>106687.58</v>
          </cell>
          <cell r="AK41">
            <v>106687.58</v>
          </cell>
          <cell r="AL41">
            <v>103246.05</v>
          </cell>
          <cell r="AM41">
            <v>29597.200000000001</v>
          </cell>
          <cell r="AN41">
            <v>28908.89</v>
          </cell>
          <cell r="AO41">
            <v>29597.200000000001</v>
          </cell>
          <cell r="AP41">
            <v>52182.66</v>
          </cell>
          <cell r="AQ41">
            <v>47376.37</v>
          </cell>
          <cell r="AR41">
            <v>52182.66</v>
          </cell>
          <cell r="AS41">
            <v>50809.440000000002</v>
          </cell>
          <cell r="AT41">
            <v>52182.66</v>
          </cell>
          <cell r="AU41">
            <v>100932.26</v>
          </cell>
          <cell r="AV41">
            <v>104365.33</v>
          </cell>
          <cell r="AW41">
            <v>104365.33</v>
          </cell>
          <cell r="AX41">
            <v>100932.26</v>
          </cell>
          <cell r="AY41">
            <v>29524.400000000001</v>
          </cell>
          <cell r="AZ41">
            <v>28151.17</v>
          </cell>
          <cell r="BA41">
            <v>29524.400000000001</v>
          </cell>
          <cell r="BB41">
            <v>52054</v>
          </cell>
          <cell r="BC41">
            <v>47259.55</v>
          </cell>
          <cell r="BD41">
            <v>52054</v>
          </cell>
          <cell r="BE41">
            <v>49999.23</v>
          </cell>
          <cell r="BF41">
            <v>52054</v>
          </cell>
          <cell r="BG41">
            <v>100683.39</v>
          </cell>
          <cell r="BH41">
            <v>104107.99</v>
          </cell>
          <cell r="BI41">
            <v>104107.99</v>
          </cell>
          <cell r="BJ41">
            <v>100683.39</v>
          </cell>
          <cell r="BK41">
            <v>28766.68</v>
          </cell>
          <cell r="BL41">
            <v>28081.759999999998</v>
          </cell>
          <cell r="BM41">
            <v>28766.68</v>
          </cell>
          <cell r="BN41">
            <v>51925.33</v>
          </cell>
          <cell r="BO41">
            <v>47142.73</v>
          </cell>
          <cell r="BP41">
            <v>51925.33</v>
          </cell>
          <cell r="BQ41">
            <v>50558.87</v>
          </cell>
          <cell r="BR41">
            <v>51925.33</v>
          </cell>
          <cell r="BS41">
            <v>114782.3</v>
          </cell>
          <cell r="BT41">
            <v>118881.67</v>
          </cell>
          <cell r="BU41">
            <v>118881.67</v>
          </cell>
          <cell r="BV41">
            <v>114782.3</v>
          </cell>
          <cell r="BW41">
            <v>25962.66</v>
          </cell>
          <cell r="BX41">
            <v>25279.439999999999</v>
          </cell>
          <cell r="BY41">
            <v>25962.66</v>
          </cell>
          <cell r="BZ41">
            <v>51925.33</v>
          </cell>
          <cell r="CA41">
            <v>47142.73</v>
          </cell>
          <cell r="CB41">
            <v>51925.33</v>
          </cell>
          <cell r="CC41">
            <v>50558.87</v>
          </cell>
          <cell r="CD41">
            <v>51925.33</v>
          </cell>
          <cell r="CE41">
            <v>114782.3</v>
          </cell>
          <cell r="CF41">
            <v>118881.67</v>
          </cell>
          <cell r="CG41">
            <v>118881.67</v>
          </cell>
          <cell r="CH41">
            <v>114782.3</v>
          </cell>
          <cell r="CI41">
            <v>25962.66</v>
          </cell>
          <cell r="CJ41">
            <v>25279.439999999999</v>
          </cell>
          <cell r="CK41">
            <v>25962.66</v>
          </cell>
          <cell r="CL41">
            <v>51925.33</v>
          </cell>
          <cell r="CM41">
            <v>47142.73</v>
          </cell>
          <cell r="CN41">
            <v>51925.33</v>
          </cell>
          <cell r="CO41">
            <v>50558.87</v>
          </cell>
          <cell r="CP41">
            <v>51925.33</v>
          </cell>
          <cell r="CQ41">
            <v>114782.3</v>
          </cell>
          <cell r="CR41">
            <v>118881.67</v>
          </cell>
          <cell r="CS41">
            <v>118881.67</v>
          </cell>
          <cell r="CT41">
            <v>114782.3</v>
          </cell>
          <cell r="CU41">
            <v>25962.66</v>
          </cell>
          <cell r="CV41">
            <v>25279.439999999999</v>
          </cell>
          <cell r="CW41">
            <v>25962.66</v>
          </cell>
        </row>
        <row r="42">
          <cell r="AD42">
            <v>2290292.64</v>
          </cell>
          <cell r="AE42">
            <v>2328012.56</v>
          </cell>
          <cell r="AF42">
            <v>2113788.96</v>
          </cell>
          <cell r="AG42">
            <v>543063.98</v>
          </cell>
          <cell r="AH42">
            <v>2463940.6500000004</v>
          </cell>
          <cell r="AI42">
            <v>2515141.4899999998</v>
          </cell>
          <cell r="AJ42">
            <v>2538010.5</v>
          </cell>
          <cell r="AK42">
            <v>2746031.18</v>
          </cell>
          <cell r="AL42">
            <v>2536896.7599999998</v>
          </cell>
          <cell r="AM42">
            <v>2281982.5500000003</v>
          </cell>
          <cell r="AN42">
            <v>2119916.3199999998</v>
          </cell>
          <cell r="AO42">
            <v>2076381.22</v>
          </cell>
          <cell r="AP42">
            <v>2024379.7699999998</v>
          </cell>
          <cell r="AQ42">
            <v>2293362.58</v>
          </cell>
          <cell r="AR42">
            <v>1913498.3699999999</v>
          </cell>
          <cell r="AS42">
            <v>440278.42</v>
          </cell>
          <cell r="AT42">
            <v>1005399.39</v>
          </cell>
          <cell r="AU42">
            <v>2299136.96</v>
          </cell>
          <cell r="AV42">
            <v>2473237.9300000002</v>
          </cell>
          <cell r="AW42">
            <v>2559957.7999999998</v>
          </cell>
          <cell r="AX42">
            <v>2352114.8499999996</v>
          </cell>
          <cell r="AY42">
            <v>2074589.0599999998</v>
          </cell>
          <cell r="AZ42">
            <v>2000989.8099999998</v>
          </cell>
          <cell r="BA42">
            <v>1938169.7299999997</v>
          </cell>
          <cell r="BB42">
            <v>1958772.55</v>
          </cell>
          <cell r="BC42">
            <v>2196924.7599999998</v>
          </cell>
          <cell r="BD42">
            <v>1899087.0599999998</v>
          </cell>
          <cell r="BE42">
            <v>481157.39</v>
          </cell>
          <cell r="BF42">
            <v>2406842.14</v>
          </cell>
          <cell r="BG42">
            <v>2217385.3199999998</v>
          </cell>
          <cell r="BH42">
            <v>2386234.7100000004</v>
          </cell>
          <cell r="BI42">
            <v>2446894.87</v>
          </cell>
          <cell r="BJ42">
            <v>2304935.52</v>
          </cell>
          <cell r="BK42">
            <v>1980590.91</v>
          </cell>
          <cell r="BL42">
            <v>1891655.75</v>
          </cell>
          <cell r="BM42">
            <v>1859901.24</v>
          </cell>
          <cell r="BN42">
            <v>2208082.63</v>
          </cell>
          <cell r="BO42">
            <v>2297827.5699999998</v>
          </cell>
          <cell r="BP42">
            <v>2075817.61</v>
          </cell>
          <cell r="BQ42">
            <v>505120.23</v>
          </cell>
          <cell r="BR42">
            <v>2689936.3</v>
          </cell>
          <cell r="BS42">
            <v>2523229.38</v>
          </cell>
          <cell r="BT42">
            <v>2718733.49</v>
          </cell>
          <cell r="BU42">
            <v>2777327.75</v>
          </cell>
          <cell r="BV42">
            <v>2588473.11</v>
          </cell>
          <cell r="BW42">
            <v>2195252.35</v>
          </cell>
          <cell r="BX42">
            <v>2074634.22</v>
          </cell>
          <cell r="BY42">
            <v>2045606.5599999998</v>
          </cell>
          <cell r="BZ42">
            <v>2208082.63</v>
          </cell>
          <cell r="CA42">
            <v>2297827.5699999998</v>
          </cell>
          <cell r="CB42">
            <v>2075817.61</v>
          </cell>
          <cell r="CC42">
            <v>505120.23</v>
          </cell>
          <cell r="CD42">
            <v>2689936.3</v>
          </cell>
          <cell r="CE42">
            <v>2523229.38</v>
          </cell>
          <cell r="CF42">
            <v>2718733.49</v>
          </cell>
          <cell r="CG42">
            <v>2777327.75</v>
          </cell>
          <cell r="CH42">
            <v>2588473.11</v>
          </cell>
          <cell r="CI42">
            <v>2195252.35</v>
          </cell>
          <cell r="CJ42">
            <v>2074634.22</v>
          </cell>
          <cell r="CK42">
            <v>2045606.5599999998</v>
          </cell>
          <cell r="CL42">
            <v>2208082.63</v>
          </cell>
          <cell r="CM42">
            <v>2297827.5699999998</v>
          </cell>
          <cell r="CN42">
            <v>2075817.61</v>
          </cell>
          <cell r="CO42">
            <v>505120.23</v>
          </cell>
          <cell r="CP42">
            <v>2689936.3</v>
          </cell>
          <cell r="CQ42">
            <v>2523229.38</v>
          </cell>
          <cell r="CR42">
            <v>2718733.49</v>
          </cell>
          <cell r="CS42">
            <v>2777327.75</v>
          </cell>
          <cell r="CT42">
            <v>2588473.11</v>
          </cell>
          <cell r="CU42">
            <v>2195252.35</v>
          </cell>
          <cell r="CV42">
            <v>2074634.22</v>
          </cell>
          <cell r="CW42">
            <v>2045606.5599999998</v>
          </cell>
        </row>
      </sheetData>
      <sheetData sheetId="17"/>
      <sheetData sheetId="18" refreshError="1">
        <row r="6">
          <cell r="P6">
            <v>37622</v>
          </cell>
          <cell r="Q6">
            <v>37653</v>
          </cell>
          <cell r="R6">
            <v>37681</v>
          </cell>
          <cell r="S6">
            <v>37712</v>
          </cell>
          <cell r="T6">
            <v>37742</v>
          </cell>
          <cell r="U6">
            <v>37773</v>
          </cell>
          <cell r="V6">
            <v>37803</v>
          </cell>
          <cell r="W6">
            <v>37834</v>
          </cell>
          <cell r="X6">
            <v>37865</v>
          </cell>
          <cell r="Y6">
            <v>37895</v>
          </cell>
          <cell r="Z6">
            <v>37926</v>
          </cell>
          <cell r="AA6">
            <v>37956</v>
          </cell>
          <cell r="AB6">
            <v>37987</v>
          </cell>
          <cell r="AC6">
            <v>38018</v>
          </cell>
          <cell r="AD6">
            <v>38047</v>
          </cell>
          <cell r="AE6">
            <v>38078</v>
          </cell>
          <cell r="AF6">
            <v>38108</v>
          </cell>
          <cell r="AG6">
            <v>38139</v>
          </cell>
          <cell r="AH6">
            <v>38169</v>
          </cell>
          <cell r="AI6">
            <v>38200</v>
          </cell>
          <cell r="AJ6">
            <v>38231</v>
          </cell>
          <cell r="AK6">
            <v>38261</v>
          </cell>
          <cell r="AL6">
            <v>38292</v>
          </cell>
          <cell r="AM6">
            <v>38322</v>
          </cell>
          <cell r="AN6">
            <v>38353</v>
          </cell>
          <cell r="AO6">
            <v>38384</v>
          </cell>
          <cell r="AP6">
            <v>38412</v>
          </cell>
          <cell r="AQ6">
            <v>38443</v>
          </cell>
          <cell r="AR6">
            <v>38473</v>
          </cell>
          <cell r="AS6">
            <v>38504</v>
          </cell>
          <cell r="AT6">
            <v>38534</v>
          </cell>
          <cell r="AU6">
            <v>38565</v>
          </cell>
          <cell r="AV6">
            <v>38596</v>
          </cell>
          <cell r="AW6">
            <v>38626</v>
          </cell>
          <cell r="AX6">
            <v>38657</v>
          </cell>
          <cell r="AY6">
            <v>38687</v>
          </cell>
          <cell r="AZ6">
            <v>38718</v>
          </cell>
          <cell r="BA6">
            <v>38749</v>
          </cell>
          <cell r="BB6">
            <v>38777</v>
          </cell>
          <cell r="BC6">
            <v>38808</v>
          </cell>
          <cell r="BD6">
            <v>38838</v>
          </cell>
          <cell r="BE6">
            <v>38869</v>
          </cell>
          <cell r="BF6">
            <v>38899</v>
          </cell>
          <cell r="BG6">
            <v>38930</v>
          </cell>
          <cell r="BH6">
            <v>38961</v>
          </cell>
          <cell r="BI6">
            <v>38991</v>
          </cell>
          <cell r="BJ6">
            <v>39022</v>
          </cell>
          <cell r="BK6">
            <v>39052</v>
          </cell>
          <cell r="BL6">
            <v>39083</v>
          </cell>
          <cell r="BM6">
            <v>39114</v>
          </cell>
          <cell r="BN6">
            <v>39142</v>
          </cell>
          <cell r="BO6">
            <v>39173</v>
          </cell>
          <cell r="BP6">
            <v>39203</v>
          </cell>
          <cell r="BQ6">
            <v>39234</v>
          </cell>
          <cell r="BR6">
            <v>39264</v>
          </cell>
          <cell r="BS6">
            <v>39295</v>
          </cell>
          <cell r="BT6">
            <v>39326</v>
          </cell>
          <cell r="BU6">
            <v>39356</v>
          </cell>
          <cell r="BV6">
            <v>39387</v>
          </cell>
          <cell r="BW6">
            <v>39417</v>
          </cell>
          <cell r="BX6">
            <v>39448</v>
          </cell>
          <cell r="BY6">
            <v>39479</v>
          </cell>
          <cell r="BZ6">
            <v>39508</v>
          </cell>
          <cell r="CA6">
            <v>39539</v>
          </cell>
          <cell r="CB6">
            <v>39569</v>
          </cell>
          <cell r="CC6">
            <v>39600</v>
          </cell>
          <cell r="CD6">
            <v>39630</v>
          </cell>
          <cell r="CE6">
            <v>39661</v>
          </cell>
          <cell r="CF6">
            <v>39692</v>
          </cell>
          <cell r="CG6">
            <v>39722</v>
          </cell>
          <cell r="CH6">
            <v>39753</v>
          </cell>
          <cell r="CI6">
            <v>39783</v>
          </cell>
        </row>
        <row r="9">
          <cell r="P9">
            <v>101051.75925637716</v>
          </cell>
          <cell r="Q9">
            <v>101051.75925637716</v>
          </cell>
          <cell r="R9">
            <v>101051.75925637716</v>
          </cell>
          <cell r="S9">
            <v>101051.75925637716</v>
          </cell>
          <cell r="T9">
            <v>101051.75925637716</v>
          </cell>
          <cell r="U9">
            <v>101051.75925637716</v>
          </cell>
          <cell r="V9">
            <v>101051.75925637716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P11">
            <v>4001.4401425659767</v>
          </cell>
          <cell r="Q11">
            <v>4001.4401425659767</v>
          </cell>
          <cell r="R11">
            <v>4001.4401425659767</v>
          </cell>
          <cell r="S11">
            <v>4001.4401425659767</v>
          </cell>
          <cell r="T11">
            <v>4001.4401425659767</v>
          </cell>
          <cell r="U11">
            <v>4001.4401425659767</v>
          </cell>
          <cell r="V11">
            <v>4001.4401425659767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</row>
        <row r="12">
          <cell r="P12">
            <v>66531.6401984525</v>
          </cell>
          <cell r="Q12">
            <v>66531.6401984525</v>
          </cell>
          <cell r="R12">
            <v>66531.6401984525</v>
          </cell>
          <cell r="S12">
            <v>66531.6401984525</v>
          </cell>
          <cell r="T12">
            <v>66531.6401984525</v>
          </cell>
          <cell r="U12">
            <v>66531.6401984525</v>
          </cell>
          <cell r="V12">
            <v>66531.6401984525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P14">
            <v>171584.83959739562</v>
          </cell>
          <cell r="Q14">
            <v>171584.83959739562</v>
          </cell>
          <cell r="R14">
            <v>171584.83959739562</v>
          </cell>
          <cell r="S14">
            <v>171584.83959739562</v>
          </cell>
          <cell r="T14">
            <v>171584.83959739562</v>
          </cell>
          <cell r="U14">
            <v>171584.83959739562</v>
          </cell>
          <cell r="V14">
            <v>171584.83959739562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6">
          <cell r="Q16">
            <v>-12473211.560000001</v>
          </cell>
          <cell r="W16">
            <v>995028.9406047638</v>
          </cell>
          <cell r="X16">
            <v>995028.9406047638</v>
          </cell>
          <cell r="Y16">
            <v>995028.9406047638</v>
          </cell>
          <cell r="Z16">
            <v>995028.9406047638</v>
          </cell>
          <cell r="AA16">
            <v>995028.9406047638</v>
          </cell>
          <cell r="AB16">
            <v>995028.9406047638</v>
          </cell>
          <cell r="AC16">
            <v>995028.9406047638</v>
          </cell>
          <cell r="AD16">
            <v>995028.9406047638</v>
          </cell>
          <cell r="AE16">
            <v>995028.9406047638</v>
          </cell>
          <cell r="AF16">
            <v>995028.9406047638</v>
          </cell>
          <cell r="AG16">
            <v>995028.9406047638</v>
          </cell>
          <cell r="AH16">
            <v>995028.9406047638</v>
          </cell>
          <cell r="AI16">
            <v>995028.9406047638</v>
          </cell>
          <cell r="AJ16">
            <v>995028.9406047638</v>
          </cell>
          <cell r="AK16">
            <v>995028.9406047638</v>
          </cell>
          <cell r="AL16">
            <v>995028.9406047638</v>
          </cell>
          <cell r="AM16">
            <v>995028.9406047638</v>
          </cell>
          <cell r="AN16">
            <v>995028.9406047638</v>
          </cell>
          <cell r="AO16">
            <v>995028.9406047638</v>
          </cell>
          <cell r="AP16">
            <v>995028.9406047638</v>
          </cell>
          <cell r="AQ16">
            <v>995028.9406047638</v>
          </cell>
          <cell r="AR16">
            <v>995028.9406047638</v>
          </cell>
          <cell r="AS16">
            <v>995028.9406047638</v>
          </cell>
          <cell r="AT16">
            <v>995028.9406047638</v>
          </cell>
          <cell r="AU16">
            <v>995028.9406047638</v>
          </cell>
          <cell r="AV16">
            <v>995028.9406047638</v>
          </cell>
          <cell r="AW16">
            <v>995028.9406047638</v>
          </cell>
          <cell r="AX16">
            <v>995028.9406047638</v>
          </cell>
          <cell r="AY16">
            <v>995028.9406047638</v>
          </cell>
          <cell r="AZ16">
            <v>995028.9406047638</v>
          </cell>
          <cell r="BA16">
            <v>995028.9406047638</v>
          </cell>
          <cell r="BB16">
            <v>995028.9406047638</v>
          </cell>
          <cell r="BC16">
            <v>995028.9406047638</v>
          </cell>
          <cell r="BD16">
            <v>995028.9406047638</v>
          </cell>
          <cell r="BE16">
            <v>995028.9406047638</v>
          </cell>
          <cell r="BF16">
            <v>995028.9406047638</v>
          </cell>
          <cell r="BG16">
            <v>995028.9406047638</v>
          </cell>
          <cell r="BH16">
            <v>995028.9406047638</v>
          </cell>
          <cell r="BI16">
            <v>995028.9406047638</v>
          </cell>
          <cell r="BJ16">
            <v>995028.9406047638</v>
          </cell>
          <cell r="BK16">
            <v>995028.9406047638</v>
          </cell>
          <cell r="BL16">
            <v>995028.9406047638</v>
          </cell>
          <cell r="BM16">
            <v>995028.9406047638</v>
          </cell>
          <cell r="BN16">
            <v>995028.9406047638</v>
          </cell>
          <cell r="BO16">
            <v>995028.9406047638</v>
          </cell>
          <cell r="BP16">
            <v>995028.9406047638</v>
          </cell>
          <cell r="BQ16">
            <v>995028.9406047638</v>
          </cell>
          <cell r="BR16">
            <v>995028.9406047638</v>
          </cell>
          <cell r="BS16">
            <v>995028.9406047638</v>
          </cell>
          <cell r="BT16">
            <v>995028.9406047638</v>
          </cell>
          <cell r="BU16">
            <v>995028.9406047638</v>
          </cell>
          <cell r="BV16">
            <v>995028.9406047638</v>
          </cell>
          <cell r="BW16">
            <v>995028.9406047638</v>
          </cell>
          <cell r="BX16">
            <v>995028.9406047638</v>
          </cell>
          <cell r="BY16">
            <v>995028.9406047638</v>
          </cell>
          <cell r="BZ16">
            <v>995028.9406047638</v>
          </cell>
          <cell r="CA16">
            <v>995028.9406047638</v>
          </cell>
          <cell r="CB16">
            <v>995028.9406047638</v>
          </cell>
          <cell r="CC16">
            <v>995028.9406047638</v>
          </cell>
          <cell r="CD16">
            <v>995028.9406047638</v>
          </cell>
          <cell r="CE16">
            <v>995028.9406047638</v>
          </cell>
          <cell r="CF16">
            <v>995028.9406047638</v>
          </cell>
          <cell r="CG16">
            <v>995028.9406047638</v>
          </cell>
          <cell r="CH16">
            <v>995028.9406047638</v>
          </cell>
          <cell r="CI16">
            <v>995028.9406047638</v>
          </cell>
        </row>
        <row r="19">
          <cell r="P19">
            <v>24795</v>
          </cell>
          <cell r="Q19">
            <v>24795</v>
          </cell>
          <cell r="R19">
            <v>24791</v>
          </cell>
          <cell r="S19">
            <v>24791</v>
          </cell>
          <cell r="T19">
            <v>24791</v>
          </cell>
          <cell r="U19">
            <v>24791</v>
          </cell>
          <cell r="V19">
            <v>24791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6">
          <cell r="P26">
            <v>8667</v>
          </cell>
          <cell r="Q26">
            <v>8667</v>
          </cell>
          <cell r="R26">
            <v>8667</v>
          </cell>
          <cell r="S26">
            <v>8667</v>
          </cell>
          <cell r="T26">
            <v>8667</v>
          </cell>
          <cell r="U26">
            <v>8667</v>
          </cell>
          <cell r="V26">
            <v>8667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33">
          <cell r="P33">
            <v>534</v>
          </cell>
          <cell r="Q33">
            <v>534</v>
          </cell>
          <cell r="R33">
            <v>534</v>
          </cell>
          <cell r="S33">
            <v>534</v>
          </cell>
          <cell r="T33">
            <v>534</v>
          </cell>
          <cell r="U33">
            <v>534</v>
          </cell>
          <cell r="V33">
            <v>533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P34">
            <v>9201</v>
          </cell>
          <cell r="Q34">
            <v>9201</v>
          </cell>
          <cell r="R34">
            <v>9201</v>
          </cell>
          <cell r="S34">
            <v>9201</v>
          </cell>
          <cell r="T34">
            <v>9201</v>
          </cell>
          <cell r="U34">
            <v>9201</v>
          </cell>
          <cell r="V34">
            <v>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9">
          <cell r="P39">
            <v>39584</v>
          </cell>
          <cell r="Q39">
            <v>39584</v>
          </cell>
          <cell r="R39">
            <v>39584</v>
          </cell>
          <cell r="S39">
            <v>39584</v>
          </cell>
          <cell r="T39">
            <v>39584</v>
          </cell>
          <cell r="U39">
            <v>39584</v>
          </cell>
          <cell r="V39">
            <v>39584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8">
          <cell r="P48">
            <v>2250</v>
          </cell>
          <cell r="Q48">
            <v>2250</v>
          </cell>
          <cell r="R48">
            <v>2250</v>
          </cell>
          <cell r="S48">
            <v>2250</v>
          </cell>
          <cell r="T48">
            <v>2250</v>
          </cell>
          <cell r="U48">
            <v>2250</v>
          </cell>
          <cell r="V48">
            <v>2250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50">
          <cell r="P50">
            <v>41834</v>
          </cell>
          <cell r="Q50">
            <v>41834</v>
          </cell>
          <cell r="R50">
            <v>41834</v>
          </cell>
          <cell r="S50">
            <v>41834</v>
          </cell>
          <cell r="T50">
            <v>41834</v>
          </cell>
          <cell r="U50">
            <v>41834</v>
          </cell>
          <cell r="V50">
            <v>41834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</row>
        <row r="51">
          <cell r="P51">
            <v>107166</v>
          </cell>
          <cell r="Q51">
            <v>107166</v>
          </cell>
          <cell r="R51">
            <v>107166</v>
          </cell>
          <cell r="S51">
            <v>107166</v>
          </cell>
          <cell r="T51">
            <v>107166</v>
          </cell>
          <cell r="U51">
            <v>107166</v>
          </cell>
          <cell r="V51">
            <v>107165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66"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P67">
            <v>10417</v>
          </cell>
          <cell r="Q67">
            <v>10417</v>
          </cell>
          <cell r="R67">
            <v>10417</v>
          </cell>
          <cell r="S67">
            <v>10417</v>
          </cell>
          <cell r="T67">
            <v>10417</v>
          </cell>
          <cell r="U67">
            <v>10417</v>
          </cell>
          <cell r="V67">
            <v>10417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2</v>
          </cell>
          <cell r="AE68">
            <v>3</v>
          </cell>
          <cell r="AF68">
            <v>4</v>
          </cell>
          <cell r="AG68">
            <v>5</v>
          </cell>
          <cell r="AH68">
            <v>6</v>
          </cell>
          <cell r="AI68">
            <v>7</v>
          </cell>
          <cell r="AJ68">
            <v>8</v>
          </cell>
          <cell r="AK68">
            <v>9</v>
          </cell>
          <cell r="AL68">
            <v>10</v>
          </cell>
          <cell r="AM68">
            <v>11</v>
          </cell>
          <cell r="AN68">
            <v>11</v>
          </cell>
          <cell r="AO68">
            <v>12</v>
          </cell>
          <cell r="AP68">
            <v>13</v>
          </cell>
          <cell r="AQ68">
            <v>14</v>
          </cell>
          <cell r="AR68">
            <v>15</v>
          </cell>
          <cell r="AS68">
            <v>16</v>
          </cell>
          <cell r="AT68">
            <v>17</v>
          </cell>
          <cell r="AU68">
            <v>18</v>
          </cell>
          <cell r="AV68">
            <v>19</v>
          </cell>
          <cell r="AW68">
            <v>20</v>
          </cell>
          <cell r="AX68">
            <v>21</v>
          </cell>
          <cell r="AY68">
            <v>22</v>
          </cell>
          <cell r="AZ68">
            <v>22</v>
          </cell>
          <cell r="BA68">
            <v>23</v>
          </cell>
          <cell r="BB68">
            <v>24</v>
          </cell>
          <cell r="BC68">
            <v>25</v>
          </cell>
          <cell r="BD68">
            <v>26</v>
          </cell>
          <cell r="BE68">
            <v>27</v>
          </cell>
          <cell r="BF68">
            <v>28</v>
          </cell>
          <cell r="BG68">
            <v>29</v>
          </cell>
          <cell r="BH68">
            <v>30</v>
          </cell>
          <cell r="BI68">
            <v>31</v>
          </cell>
          <cell r="BJ68">
            <v>32</v>
          </cell>
          <cell r="BK68">
            <v>33</v>
          </cell>
          <cell r="BL68">
            <v>33</v>
          </cell>
          <cell r="BM68">
            <v>33</v>
          </cell>
          <cell r="BN68">
            <v>33</v>
          </cell>
          <cell r="BO68">
            <v>33</v>
          </cell>
          <cell r="BP68">
            <v>33</v>
          </cell>
          <cell r="BQ68">
            <v>33</v>
          </cell>
          <cell r="BR68">
            <v>33</v>
          </cell>
          <cell r="BS68">
            <v>33</v>
          </cell>
          <cell r="BT68">
            <v>33</v>
          </cell>
          <cell r="BU68">
            <v>33</v>
          </cell>
          <cell r="BV68">
            <v>33</v>
          </cell>
          <cell r="BW68">
            <v>33</v>
          </cell>
          <cell r="BX68">
            <v>34</v>
          </cell>
          <cell r="BY68">
            <v>35</v>
          </cell>
          <cell r="BZ68">
            <v>36</v>
          </cell>
          <cell r="CA68">
            <v>37</v>
          </cell>
          <cell r="CB68">
            <v>38</v>
          </cell>
          <cell r="CC68">
            <v>39</v>
          </cell>
          <cell r="CD68">
            <v>40</v>
          </cell>
          <cell r="CE68">
            <v>41</v>
          </cell>
          <cell r="CF68">
            <v>42</v>
          </cell>
          <cell r="CG68">
            <v>43</v>
          </cell>
          <cell r="CH68">
            <v>44</v>
          </cell>
          <cell r="CI68">
            <v>45</v>
          </cell>
        </row>
        <row r="77">
          <cell r="P77">
            <v>142378</v>
          </cell>
          <cell r="Q77">
            <v>142378</v>
          </cell>
          <cell r="R77">
            <v>142374</v>
          </cell>
          <cell r="S77">
            <v>142374</v>
          </cell>
          <cell r="T77">
            <v>142374</v>
          </cell>
          <cell r="U77">
            <v>142374</v>
          </cell>
          <cell r="V77">
            <v>142373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81"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8">
          <cell r="P98">
            <v>41196.155100000004</v>
          </cell>
          <cell r="Q98">
            <v>41196.155100000004</v>
          </cell>
          <cell r="R98">
            <v>41196.155100000004</v>
          </cell>
          <cell r="S98">
            <v>41196.155100000004</v>
          </cell>
          <cell r="T98">
            <v>41196.155100000004</v>
          </cell>
          <cell r="U98">
            <v>41196.155100000004</v>
          </cell>
          <cell r="V98">
            <v>41196.155100000004</v>
          </cell>
          <cell r="W98">
            <v>41196.155100000004</v>
          </cell>
          <cell r="X98">
            <v>41196.155100000004</v>
          </cell>
          <cell r="Y98">
            <v>41196.155100000004</v>
          </cell>
          <cell r="Z98">
            <v>41196.155100000004</v>
          </cell>
          <cell r="AA98">
            <v>41196.155100000004</v>
          </cell>
          <cell r="AB98">
            <v>42756.011622744605</v>
          </cell>
          <cell r="AC98">
            <v>42756.011622744605</v>
          </cell>
          <cell r="AD98">
            <v>42756.011622744605</v>
          </cell>
          <cell r="AE98">
            <v>42756.011622744605</v>
          </cell>
          <cell r="AF98">
            <v>42756.011622744605</v>
          </cell>
          <cell r="AG98">
            <v>42756.011622744605</v>
          </cell>
          <cell r="AH98">
            <v>42756.011622744605</v>
          </cell>
          <cell r="AI98">
            <v>42756.011622744605</v>
          </cell>
          <cell r="AJ98">
            <v>42756.011622744605</v>
          </cell>
          <cell r="AK98">
            <v>42756.011622744605</v>
          </cell>
          <cell r="AL98">
            <v>42756.011622744605</v>
          </cell>
          <cell r="AM98">
            <v>42756.011622744605</v>
          </cell>
          <cell r="AN98">
            <v>41181.08176486702</v>
          </cell>
          <cell r="AO98">
            <v>41181.08176486702</v>
          </cell>
          <cell r="AP98">
            <v>41181.08176486702</v>
          </cell>
          <cell r="AQ98">
            <v>41181.08176486702</v>
          </cell>
          <cell r="AR98">
            <v>41181.08176486702</v>
          </cell>
          <cell r="AS98">
            <v>41181.08176486702</v>
          </cell>
          <cell r="AT98">
            <v>41181.08176486702</v>
          </cell>
          <cell r="AU98">
            <v>41181.08176486702</v>
          </cell>
          <cell r="AV98">
            <v>41181.08176486702</v>
          </cell>
          <cell r="AW98">
            <v>41181.08176486702</v>
          </cell>
          <cell r="AX98">
            <v>41181.08176486702</v>
          </cell>
          <cell r="AY98">
            <v>41181.08176486702</v>
          </cell>
          <cell r="AZ98">
            <v>39643.127463348035</v>
          </cell>
          <cell r="BA98">
            <v>39643.127463348035</v>
          </cell>
          <cell r="BB98">
            <v>39643.127463348035</v>
          </cell>
          <cell r="BC98">
            <v>39643.127463348035</v>
          </cell>
          <cell r="BD98">
            <v>39643.127463348035</v>
          </cell>
          <cell r="BE98">
            <v>39643.127463348035</v>
          </cell>
          <cell r="BF98">
            <v>39643.127463348035</v>
          </cell>
          <cell r="BG98">
            <v>39643.127463348035</v>
          </cell>
          <cell r="BH98">
            <v>39643.127463348035</v>
          </cell>
          <cell r="BI98">
            <v>39643.127463348035</v>
          </cell>
          <cell r="BJ98">
            <v>39643.127463348035</v>
          </cell>
          <cell r="BK98">
            <v>39643.127463348035</v>
          </cell>
          <cell r="BL98">
            <v>34534.346799116662</v>
          </cell>
          <cell r="BM98">
            <v>34534.346799116662</v>
          </cell>
          <cell r="BN98">
            <v>34534.346799116662</v>
          </cell>
          <cell r="BO98">
            <v>34534.346799116662</v>
          </cell>
          <cell r="BP98">
            <v>34534.346799116662</v>
          </cell>
          <cell r="BQ98">
            <v>34534.346799116662</v>
          </cell>
          <cell r="BR98">
            <v>34534.346799116662</v>
          </cell>
          <cell r="BS98">
            <v>34534.346799116662</v>
          </cell>
          <cell r="BT98">
            <v>34534.346799116662</v>
          </cell>
          <cell r="BU98">
            <v>34534.346799116662</v>
          </cell>
          <cell r="BV98">
            <v>34534.346799116662</v>
          </cell>
          <cell r="BW98">
            <v>34534.346799116662</v>
          </cell>
          <cell r="BX98">
            <v>36088.392405076906</v>
          </cell>
          <cell r="BY98">
            <v>36088.392405076906</v>
          </cell>
          <cell r="BZ98">
            <v>36088.392405076906</v>
          </cell>
          <cell r="CA98">
            <v>36088.392405076906</v>
          </cell>
          <cell r="CB98">
            <v>36088.392405076906</v>
          </cell>
          <cell r="CC98">
            <v>36088.392405076906</v>
          </cell>
          <cell r="CD98">
            <v>36088.392405076906</v>
          </cell>
          <cell r="CE98">
            <v>36088.392405076906</v>
          </cell>
          <cell r="CF98">
            <v>36088.392405076906</v>
          </cell>
          <cell r="CG98">
            <v>36088.392405076906</v>
          </cell>
          <cell r="CH98">
            <v>36088.392405076906</v>
          </cell>
          <cell r="CI98">
            <v>36088.392405076906</v>
          </cell>
        </row>
        <row r="99">
          <cell r="P99">
            <v>50964.5</v>
          </cell>
          <cell r="Q99">
            <v>50964.5</v>
          </cell>
          <cell r="R99">
            <v>50964.5</v>
          </cell>
          <cell r="S99">
            <v>50964.5</v>
          </cell>
          <cell r="T99">
            <v>50964.5</v>
          </cell>
          <cell r="U99">
            <v>50964.5</v>
          </cell>
          <cell r="V99">
            <v>50964.5</v>
          </cell>
          <cell r="W99">
            <v>50964.5</v>
          </cell>
          <cell r="X99">
            <v>50964.5</v>
          </cell>
          <cell r="Y99">
            <v>50964.5</v>
          </cell>
          <cell r="Z99">
            <v>50964.5</v>
          </cell>
          <cell r="AA99">
            <v>50964.5</v>
          </cell>
          <cell r="AB99">
            <v>49941.045641281431</v>
          </cell>
          <cell r="AC99">
            <v>49941.045641281431</v>
          </cell>
          <cell r="AD99">
            <v>49941.045641281431</v>
          </cell>
          <cell r="AE99">
            <v>49941.045641281431</v>
          </cell>
          <cell r="AF99">
            <v>49941.045641281431</v>
          </cell>
          <cell r="AG99">
            <v>49941.045641281431</v>
          </cell>
          <cell r="AH99">
            <v>49941.045641281431</v>
          </cell>
          <cell r="AI99">
            <v>49941.045641281431</v>
          </cell>
          <cell r="AJ99">
            <v>49941.045641281431</v>
          </cell>
          <cell r="AK99">
            <v>49941.045641281431</v>
          </cell>
          <cell r="AL99">
            <v>49941.045641281431</v>
          </cell>
          <cell r="AM99">
            <v>49941.045641281431</v>
          </cell>
          <cell r="AN99">
            <v>51218.495450218506</v>
          </cell>
          <cell r="AO99">
            <v>51218.495450218506</v>
          </cell>
          <cell r="AP99">
            <v>51218.495450218506</v>
          </cell>
          <cell r="AQ99">
            <v>51218.495450218506</v>
          </cell>
          <cell r="AR99">
            <v>51218.495450218506</v>
          </cell>
          <cell r="AS99">
            <v>51218.495450218506</v>
          </cell>
          <cell r="AT99">
            <v>51218.495450218506</v>
          </cell>
          <cell r="AU99">
            <v>51218.495450218506</v>
          </cell>
          <cell r="AV99">
            <v>51218.495450218506</v>
          </cell>
          <cell r="AW99">
            <v>51218.495450218506</v>
          </cell>
          <cell r="AX99">
            <v>51218.495450218506</v>
          </cell>
          <cell r="AY99">
            <v>51218.495450218506</v>
          </cell>
          <cell r="AZ99">
            <v>52405.464028637805</v>
          </cell>
          <cell r="BA99">
            <v>52405.464028637805</v>
          </cell>
          <cell r="BB99">
            <v>52405.464028637805</v>
          </cell>
          <cell r="BC99">
            <v>52405.464028637805</v>
          </cell>
          <cell r="BD99">
            <v>52405.464028637805</v>
          </cell>
          <cell r="BE99">
            <v>52405.464028637805</v>
          </cell>
          <cell r="BF99">
            <v>52405.464028637805</v>
          </cell>
          <cell r="BG99">
            <v>52405.464028637805</v>
          </cell>
          <cell r="BH99">
            <v>52405.464028637805</v>
          </cell>
          <cell r="BI99">
            <v>52405.464028637805</v>
          </cell>
          <cell r="BJ99">
            <v>52405.464028637805</v>
          </cell>
          <cell r="BK99">
            <v>52405.464028637805</v>
          </cell>
          <cell r="BL99">
            <v>53634.354797024069</v>
          </cell>
          <cell r="BM99">
            <v>53634.354797024069</v>
          </cell>
          <cell r="BN99">
            <v>53634.354797024069</v>
          </cell>
          <cell r="BO99">
            <v>53634.354797024069</v>
          </cell>
          <cell r="BP99">
            <v>53634.354797024069</v>
          </cell>
          <cell r="BQ99">
            <v>53634.354797024069</v>
          </cell>
          <cell r="BR99">
            <v>53634.354797024069</v>
          </cell>
          <cell r="BS99">
            <v>53634.354797024069</v>
          </cell>
          <cell r="BT99">
            <v>53634.354797024069</v>
          </cell>
          <cell r="BU99">
            <v>53634.354797024069</v>
          </cell>
          <cell r="BV99">
            <v>53634.354797024069</v>
          </cell>
          <cell r="BW99">
            <v>53634.354797024069</v>
          </cell>
          <cell r="BX99">
            <v>56047.900762890145</v>
          </cell>
          <cell r="BY99">
            <v>56047.900762890145</v>
          </cell>
          <cell r="BZ99">
            <v>56047.900762890145</v>
          </cell>
          <cell r="CA99">
            <v>56047.900762890145</v>
          </cell>
          <cell r="CB99">
            <v>56047.900762890145</v>
          </cell>
          <cell r="CC99">
            <v>56047.900762890145</v>
          </cell>
          <cell r="CD99">
            <v>56047.900762890145</v>
          </cell>
          <cell r="CE99">
            <v>56047.900762890145</v>
          </cell>
          <cell r="CF99">
            <v>56047.900762890145</v>
          </cell>
          <cell r="CG99">
            <v>56047.900762890145</v>
          </cell>
          <cell r="CH99">
            <v>56047.900762890145</v>
          </cell>
          <cell r="CI99">
            <v>56047.900762890145</v>
          </cell>
        </row>
        <row r="100">
          <cell r="P100">
            <v>86748.583333333328</v>
          </cell>
          <cell r="Q100">
            <v>86748.583333333328</v>
          </cell>
          <cell r="R100">
            <v>86748.583333333328</v>
          </cell>
          <cell r="S100">
            <v>86748.583333333328</v>
          </cell>
          <cell r="T100">
            <v>86748.583333333328</v>
          </cell>
          <cell r="U100">
            <v>86748.583333333328</v>
          </cell>
          <cell r="V100">
            <v>86748.583333333328</v>
          </cell>
          <cell r="W100">
            <v>86748.583333333328</v>
          </cell>
          <cell r="X100">
            <v>86748.583333333328</v>
          </cell>
          <cell r="Y100">
            <v>86748.583333333328</v>
          </cell>
          <cell r="Z100">
            <v>86748.583333333328</v>
          </cell>
          <cell r="AA100">
            <v>86748.583333333328</v>
          </cell>
          <cell r="AB100">
            <v>98528.608052748474</v>
          </cell>
          <cell r="AC100">
            <v>98528.608052748474</v>
          </cell>
          <cell r="AD100">
            <v>98528.608052748474</v>
          </cell>
          <cell r="AE100">
            <v>98528.608052748474</v>
          </cell>
          <cell r="AF100">
            <v>98528.608052748474</v>
          </cell>
          <cell r="AG100">
            <v>98528.608052748474</v>
          </cell>
          <cell r="AH100">
            <v>98528.608052748474</v>
          </cell>
          <cell r="AI100">
            <v>98528.608052748474</v>
          </cell>
          <cell r="AJ100">
            <v>98528.608052748474</v>
          </cell>
          <cell r="AK100">
            <v>98528.608052748474</v>
          </cell>
          <cell r="AL100">
            <v>98528.608052748474</v>
          </cell>
          <cell r="AM100">
            <v>98528.608052748474</v>
          </cell>
          <cell r="AN100">
            <v>100672.0002234197</v>
          </cell>
          <cell r="AO100">
            <v>100672.0002234197</v>
          </cell>
          <cell r="AP100">
            <v>100672.0002234197</v>
          </cell>
          <cell r="AQ100">
            <v>100672.0002234197</v>
          </cell>
          <cell r="AR100">
            <v>100672.0002234197</v>
          </cell>
          <cell r="AS100">
            <v>100672.0002234197</v>
          </cell>
          <cell r="AT100">
            <v>100672.0002234197</v>
          </cell>
          <cell r="AU100">
            <v>100672.0002234197</v>
          </cell>
          <cell r="AV100">
            <v>100672.0002234197</v>
          </cell>
          <cell r="AW100">
            <v>100672.0002234197</v>
          </cell>
          <cell r="AX100">
            <v>100672.0002234197</v>
          </cell>
          <cell r="AY100">
            <v>100672.0002234197</v>
          </cell>
          <cell r="AZ100">
            <v>103151.83314045746</v>
          </cell>
          <cell r="BA100">
            <v>103151.83314045746</v>
          </cell>
          <cell r="BB100">
            <v>103151.83314045746</v>
          </cell>
          <cell r="BC100">
            <v>103151.83314045746</v>
          </cell>
          <cell r="BD100">
            <v>103151.83314045746</v>
          </cell>
          <cell r="BE100">
            <v>103151.83314045746</v>
          </cell>
          <cell r="BF100">
            <v>103151.83314045746</v>
          </cell>
          <cell r="BG100">
            <v>103151.83314045746</v>
          </cell>
          <cell r="BH100">
            <v>103151.83314045746</v>
          </cell>
          <cell r="BI100">
            <v>103151.83314045746</v>
          </cell>
          <cell r="BJ100">
            <v>103151.83314045746</v>
          </cell>
          <cell r="BK100">
            <v>103151.83314045746</v>
          </cell>
          <cell r="BL100">
            <v>105336.80787528639</v>
          </cell>
          <cell r="BM100">
            <v>105336.80787528639</v>
          </cell>
          <cell r="BN100">
            <v>105336.80787528639</v>
          </cell>
          <cell r="BO100">
            <v>105336.80787528639</v>
          </cell>
          <cell r="BP100">
            <v>105336.80787528639</v>
          </cell>
          <cell r="BQ100">
            <v>105336.80787528639</v>
          </cell>
          <cell r="BR100">
            <v>105336.80787528639</v>
          </cell>
          <cell r="BS100">
            <v>105336.80787528639</v>
          </cell>
          <cell r="BT100">
            <v>105336.80787528639</v>
          </cell>
          <cell r="BU100">
            <v>105336.80787528639</v>
          </cell>
          <cell r="BV100">
            <v>105336.80787528639</v>
          </cell>
          <cell r="BW100">
            <v>105336.80787528639</v>
          </cell>
          <cell r="BX100">
            <v>110076.96422967428</v>
          </cell>
          <cell r="BY100">
            <v>110076.96422967428</v>
          </cell>
          <cell r="BZ100">
            <v>110076.96422967428</v>
          </cell>
          <cell r="CA100">
            <v>110076.96422967428</v>
          </cell>
          <cell r="CB100">
            <v>110076.96422967428</v>
          </cell>
          <cell r="CC100">
            <v>110076.96422967428</v>
          </cell>
          <cell r="CD100">
            <v>110076.96422967428</v>
          </cell>
          <cell r="CE100">
            <v>110076.96422967428</v>
          </cell>
          <cell r="CF100">
            <v>110076.96422967428</v>
          </cell>
          <cell r="CG100">
            <v>110076.96422967428</v>
          </cell>
          <cell r="CH100">
            <v>110076.96422967428</v>
          </cell>
          <cell r="CI100">
            <v>110076.96422967428</v>
          </cell>
        </row>
        <row r="101">
          <cell r="P101">
            <v>11841.635399999999</v>
          </cell>
          <cell r="Q101">
            <v>11841.635399999999</v>
          </cell>
          <cell r="R101">
            <v>11841.635399999999</v>
          </cell>
          <cell r="S101">
            <v>11841.635399999999</v>
          </cell>
          <cell r="T101">
            <v>11841.635399999999</v>
          </cell>
          <cell r="U101">
            <v>11841.635399999999</v>
          </cell>
          <cell r="V101">
            <v>11841.635399999999</v>
          </cell>
          <cell r="W101">
            <v>11841.635399999999</v>
          </cell>
          <cell r="X101">
            <v>11841.635399999999</v>
          </cell>
          <cell r="Y101">
            <v>11841.635399999999</v>
          </cell>
          <cell r="Z101">
            <v>11841.635399999999</v>
          </cell>
          <cell r="AA101">
            <v>11841.635399999999</v>
          </cell>
          <cell r="AB101">
            <v>10748.964869101188</v>
          </cell>
          <cell r="AC101">
            <v>10748.964869101188</v>
          </cell>
          <cell r="AD101">
            <v>10748.964869101188</v>
          </cell>
          <cell r="AE101">
            <v>10748.964869101188</v>
          </cell>
          <cell r="AF101">
            <v>10748.964869101188</v>
          </cell>
          <cell r="AG101">
            <v>10748.964869101188</v>
          </cell>
          <cell r="AH101">
            <v>10748.964869101188</v>
          </cell>
          <cell r="AI101">
            <v>10748.964869101188</v>
          </cell>
          <cell r="AJ101">
            <v>10748.964869101188</v>
          </cell>
          <cell r="AK101">
            <v>10748.964869101188</v>
          </cell>
          <cell r="AL101">
            <v>10748.964869101188</v>
          </cell>
          <cell r="AM101">
            <v>10748.964869101188</v>
          </cell>
          <cell r="AN101">
            <v>10766.806633534659</v>
          </cell>
          <cell r="AO101">
            <v>10766.806633534659</v>
          </cell>
          <cell r="AP101">
            <v>10766.806633534659</v>
          </cell>
          <cell r="AQ101">
            <v>10766.806633534659</v>
          </cell>
          <cell r="AR101">
            <v>10766.806633534659</v>
          </cell>
          <cell r="AS101">
            <v>10766.806633534659</v>
          </cell>
          <cell r="AT101">
            <v>10766.806633534659</v>
          </cell>
          <cell r="AU101">
            <v>10766.806633534659</v>
          </cell>
          <cell r="AV101">
            <v>10766.806633534659</v>
          </cell>
          <cell r="AW101">
            <v>10766.806633534659</v>
          </cell>
          <cell r="AX101">
            <v>10766.806633534659</v>
          </cell>
          <cell r="AY101">
            <v>10766.806633534659</v>
          </cell>
          <cell r="AZ101">
            <v>10950.891719394587</v>
          </cell>
          <cell r="BA101">
            <v>10950.891719394587</v>
          </cell>
          <cell r="BB101">
            <v>10950.891719394587</v>
          </cell>
          <cell r="BC101">
            <v>10950.891719394587</v>
          </cell>
          <cell r="BD101">
            <v>10950.891719394587</v>
          </cell>
          <cell r="BE101">
            <v>10950.891719394587</v>
          </cell>
          <cell r="BF101">
            <v>10950.891719394587</v>
          </cell>
          <cell r="BG101">
            <v>10950.891719394587</v>
          </cell>
          <cell r="BH101">
            <v>10950.891719394587</v>
          </cell>
          <cell r="BI101">
            <v>10950.891719394587</v>
          </cell>
          <cell r="BJ101">
            <v>10950.891719394587</v>
          </cell>
          <cell r="BK101">
            <v>10950.891719394587</v>
          </cell>
          <cell r="BL101">
            <v>11183.881104386375</v>
          </cell>
          <cell r="BM101">
            <v>11183.881104386375</v>
          </cell>
          <cell r="BN101">
            <v>11183.881104386375</v>
          </cell>
          <cell r="BO101">
            <v>11183.881104386375</v>
          </cell>
          <cell r="BP101">
            <v>11183.881104386375</v>
          </cell>
          <cell r="BQ101">
            <v>11183.881104386375</v>
          </cell>
          <cell r="BR101">
            <v>11183.881104386375</v>
          </cell>
          <cell r="BS101">
            <v>11183.881104386375</v>
          </cell>
          <cell r="BT101">
            <v>11183.881104386375</v>
          </cell>
          <cell r="BU101">
            <v>11183.881104386375</v>
          </cell>
          <cell r="BV101">
            <v>11183.881104386375</v>
          </cell>
          <cell r="BW101">
            <v>11183.881104386375</v>
          </cell>
          <cell r="BX101">
            <v>11687.155754083762</v>
          </cell>
          <cell r="BY101">
            <v>11687.155754083762</v>
          </cell>
          <cell r="BZ101">
            <v>11687.155754083762</v>
          </cell>
          <cell r="CA101">
            <v>11687.155754083762</v>
          </cell>
          <cell r="CB101">
            <v>11687.155754083762</v>
          </cell>
          <cell r="CC101">
            <v>11687.155754083762</v>
          </cell>
          <cell r="CD101">
            <v>11687.155754083762</v>
          </cell>
          <cell r="CE101">
            <v>11687.155754083762</v>
          </cell>
          <cell r="CF101">
            <v>11687.155754083762</v>
          </cell>
          <cell r="CG101">
            <v>11687.155754083762</v>
          </cell>
          <cell r="CH101">
            <v>11687.155754083762</v>
          </cell>
          <cell r="CI101">
            <v>11687.155754083762</v>
          </cell>
        </row>
        <row r="102">
          <cell r="P102">
            <v>5881.8541500000001</v>
          </cell>
          <cell r="Q102">
            <v>5881.8541500000001</v>
          </cell>
          <cell r="R102">
            <v>5881.8541500000001</v>
          </cell>
          <cell r="S102">
            <v>5881.8541500000001</v>
          </cell>
          <cell r="T102">
            <v>5881.8541500000001</v>
          </cell>
          <cell r="U102">
            <v>5881.8541500000001</v>
          </cell>
          <cell r="V102">
            <v>5881.8541500000001</v>
          </cell>
          <cell r="W102">
            <v>5881.8541500000001</v>
          </cell>
          <cell r="X102">
            <v>5881.8541500000001</v>
          </cell>
          <cell r="Y102">
            <v>5881.8541500000001</v>
          </cell>
          <cell r="Z102">
            <v>5881.8541500000001</v>
          </cell>
          <cell r="AA102">
            <v>5881.8541500000001</v>
          </cell>
          <cell r="AB102">
            <v>5789.1210534014326</v>
          </cell>
          <cell r="AC102">
            <v>5789.1210534014326</v>
          </cell>
          <cell r="AD102">
            <v>5789.1210534014326</v>
          </cell>
          <cell r="AE102">
            <v>5789.1210534014326</v>
          </cell>
          <cell r="AF102">
            <v>5789.1210534014326</v>
          </cell>
          <cell r="AG102">
            <v>5789.1210534014326</v>
          </cell>
          <cell r="AH102">
            <v>5789.1210534014326</v>
          </cell>
          <cell r="AI102">
            <v>5789.1210534014326</v>
          </cell>
          <cell r="AJ102">
            <v>5789.1210534014326</v>
          </cell>
          <cell r="AK102">
            <v>5789.1210534014326</v>
          </cell>
          <cell r="AL102">
            <v>5789.1210534014326</v>
          </cell>
          <cell r="AM102">
            <v>5789.1210534014326</v>
          </cell>
          <cell r="AN102">
            <v>5945.6997717838422</v>
          </cell>
          <cell r="AO102">
            <v>5945.6997717838422</v>
          </cell>
          <cell r="AP102">
            <v>5945.6997717838422</v>
          </cell>
          <cell r="AQ102">
            <v>5945.6997717838422</v>
          </cell>
          <cell r="AR102">
            <v>5945.6997717838422</v>
          </cell>
          <cell r="AS102">
            <v>5945.6997717838422</v>
          </cell>
          <cell r="AT102">
            <v>5945.6997717838422</v>
          </cell>
          <cell r="AU102">
            <v>5945.6997717838422</v>
          </cell>
          <cell r="AV102">
            <v>5945.6997717838422</v>
          </cell>
          <cell r="AW102">
            <v>5945.6997717838422</v>
          </cell>
          <cell r="AX102">
            <v>5945.6997717838422</v>
          </cell>
          <cell r="AY102">
            <v>5945.6997717838422</v>
          </cell>
          <cell r="AZ102">
            <v>6093.8618376349359</v>
          </cell>
          <cell r="BA102">
            <v>6093.8618376349359</v>
          </cell>
          <cell r="BB102">
            <v>6093.8618376349359</v>
          </cell>
          <cell r="BC102">
            <v>6093.8618376349359</v>
          </cell>
          <cell r="BD102">
            <v>6093.8618376349359</v>
          </cell>
          <cell r="BE102">
            <v>6093.8618376349359</v>
          </cell>
          <cell r="BF102">
            <v>6093.8618376349359</v>
          </cell>
          <cell r="BG102">
            <v>6093.8618376349359</v>
          </cell>
          <cell r="BH102">
            <v>6093.8618376349359</v>
          </cell>
          <cell r="BI102">
            <v>6093.8618376349359</v>
          </cell>
          <cell r="BJ102">
            <v>6093.8618376349359</v>
          </cell>
          <cell r="BK102">
            <v>6093.8618376349359</v>
          </cell>
          <cell r="BL102">
            <v>6246.752685596879</v>
          </cell>
          <cell r="BM102">
            <v>6246.752685596879</v>
          </cell>
          <cell r="BN102">
            <v>6246.752685596879</v>
          </cell>
          <cell r="BO102">
            <v>6246.752685596879</v>
          </cell>
          <cell r="BP102">
            <v>6246.752685596879</v>
          </cell>
          <cell r="BQ102">
            <v>6246.752685596879</v>
          </cell>
          <cell r="BR102">
            <v>6246.752685596879</v>
          </cell>
          <cell r="BS102">
            <v>6246.752685596879</v>
          </cell>
          <cell r="BT102">
            <v>6246.752685596879</v>
          </cell>
          <cell r="BU102">
            <v>6246.752685596879</v>
          </cell>
          <cell r="BV102">
            <v>6246.752685596879</v>
          </cell>
          <cell r="BW102">
            <v>6246.752685596879</v>
          </cell>
          <cell r="BX102">
            <v>6527.856556448738</v>
          </cell>
          <cell r="BY102">
            <v>6527.856556448738</v>
          </cell>
          <cell r="BZ102">
            <v>6527.856556448738</v>
          </cell>
          <cell r="CA102">
            <v>6527.856556448738</v>
          </cell>
          <cell r="CB102">
            <v>6527.856556448738</v>
          </cell>
          <cell r="CC102">
            <v>6527.856556448738</v>
          </cell>
          <cell r="CD102">
            <v>6527.856556448738</v>
          </cell>
          <cell r="CE102">
            <v>6527.856556448738</v>
          </cell>
          <cell r="CF102">
            <v>6527.856556448738</v>
          </cell>
          <cell r="CG102">
            <v>6527.856556448738</v>
          </cell>
          <cell r="CH102">
            <v>6527.856556448738</v>
          </cell>
          <cell r="CI102">
            <v>6527.856556448738</v>
          </cell>
        </row>
        <row r="103">
          <cell r="P103">
            <v>35922.333333333336</v>
          </cell>
          <cell r="Q103">
            <v>35922.333333333336</v>
          </cell>
          <cell r="R103">
            <v>35922.333333333336</v>
          </cell>
          <cell r="S103">
            <v>35922.333333333336</v>
          </cell>
          <cell r="T103">
            <v>35922.333333333336</v>
          </cell>
          <cell r="U103">
            <v>35922.333333333336</v>
          </cell>
          <cell r="V103">
            <v>35922.333333333336</v>
          </cell>
          <cell r="W103">
            <v>35922.333333333336</v>
          </cell>
          <cell r="X103">
            <v>35922.333333333336</v>
          </cell>
          <cell r="Y103">
            <v>35922.333333333336</v>
          </cell>
          <cell r="Z103">
            <v>35922.333333333336</v>
          </cell>
          <cell r="AA103">
            <v>35922.333333333336</v>
          </cell>
          <cell r="AB103">
            <v>36064.611969027465</v>
          </cell>
          <cell r="AC103">
            <v>36064.611969027465</v>
          </cell>
          <cell r="AD103">
            <v>36064.611969027465</v>
          </cell>
          <cell r="AE103">
            <v>36064.611969027465</v>
          </cell>
          <cell r="AF103">
            <v>36064.611969027465</v>
          </cell>
          <cell r="AG103">
            <v>36064.611969027465</v>
          </cell>
          <cell r="AH103">
            <v>36064.611969027465</v>
          </cell>
          <cell r="AI103">
            <v>36064.611969027465</v>
          </cell>
          <cell r="AJ103">
            <v>36064.611969027465</v>
          </cell>
          <cell r="AK103">
            <v>36064.611969027465</v>
          </cell>
          <cell r="AL103">
            <v>36064.611969027465</v>
          </cell>
          <cell r="AM103">
            <v>36064.611969027465</v>
          </cell>
          <cell r="AN103">
            <v>36824.739075606165</v>
          </cell>
          <cell r="AO103">
            <v>36824.739075606165</v>
          </cell>
          <cell r="AP103">
            <v>36824.739075606165</v>
          </cell>
          <cell r="AQ103">
            <v>36824.739075606165</v>
          </cell>
          <cell r="AR103">
            <v>36824.739075606165</v>
          </cell>
          <cell r="AS103">
            <v>36824.739075606165</v>
          </cell>
          <cell r="AT103">
            <v>36824.739075606165</v>
          </cell>
          <cell r="AU103">
            <v>36824.739075606165</v>
          </cell>
          <cell r="AV103">
            <v>36824.739075606165</v>
          </cell>
          <cell r="AW103">
            <v>36824.739075606165</v>
          </cell>
          <cell r="AX103">
            <v>36824.739075606165</v>
          </cell>
          <cell r="AY103">
            <v>36824.739075606165</v>
          </cell>
          <cell r="AZ103">
            <v>37540.434689901718</v>
          </cell>
          <cell r="BA103">
            <v>37540.434689901718</v>
          </cell>
          <cell r="BB103">
            <v>37540.434689901718</v>
          </cell>
          <cell r="BC103">
            <v>37540.434689901718</v>
          </cell>
          <cell r="BD103">
            <v>37540.434689901718</v>
          </cell>
          <cell r="BE103">
            <v>37540.434689901718</v>
          </cell>
          <cell r="BF103">
            <v>37540.434689901718</v>
          </cell>
          <cell r="BG103">
            <v>37540.434689901718</v>
          </cell>
          <cell r="BH103">
            <v>37540.434689901718</v>
          </cell>
          <cell r="BI103">
            <v>37540.434689901718</v>
          </cell>
          <cell r="BJ103">
            <v>37540.434689901718</v>
          </cell>
          <cell r="BK103">
            <v>37540.434689901718</v>
          </cell>
          <cell r="BL103">
            <v>38280.385202972495</v>
          </cell>
          <cell r="BM103">
            <v>38280.385202972495</v>
          </cell>
          <cell r="BN103">
            <v>38280.385202972495</v>
          </cell>
          <cell r="BO103">
            <v>38280.385202972495</v>
          </cell>
          <cell r="BP103">
            <v>38280.385202972495</v>
          </cell>
          <cell r="BQ103">
            <v>38280.385202972495</v>
          </cell>
          <cell r="BR103">
            <v>38280.385202972495</v>
          </cell>
          <cell r="BS103">
            <v>38280.385202972495</v>
          </cell>
          <cell r="BT103">
            <v>38280.385202972495</v>
          </cell>
          <cell r="BU103">
            <v>38280.385202972495</v>
          </cell>
          <cell r="BV103">
            <v>38280.385202972495</v>
          </cell>
          <cell r="BW103">
            <v>38280.385202972495</v>
          </cell>
          <cell r="BX103">
            <v>40003.002537106251</v>
          </cell>
          <cell r="BY103">
            <v>40003.002537106251</v>
          </cell>
          <cell r="BZ103">
            <v>40003.002537106251</v>
          </cell>
          <cell r="CA103">
            <v>40003.002537106251</v>
          </cell>
          <cell r="CB103">
            <v>40003.002537106251</v>
          </cell>
          <cell r="CC103">
            <v>40003.002537106251</v>
          </cell>
          <cell r="CD103">
            <v>40003.002537106251</v>
          </cell>
          <cell r="CE103">
            <v>40003.002537106251</v>
          </cell>
          <cell r="CF103">
            <v>40003.002537106251</v>
          </cell>
          <cell r="CG103">
            <v>40003.002537106251</v>
          </cell>
          <cell r="CH103">
            <v>40003.002537106251</v>
          </cell>
          <cell r="CI103">
            <v>40003.002537106251</v>
          </cell>
        </row>
        <row r="104">
          <cell r="P104">
            <v>7121.666666666667</v>
          </cell>
          <cell r="Q104">
            <v>7121.666666666667</v>
          </cell>
          <cell r="R104">
            <v>7121.666666666667</v>
          </cell>
          <cell r="S104">
            <v>7121.666666666667</v>
          </cell>
          <cell r="T104">
            <v>7121.666666666667</v>
          </cell>
          <cell r="U104">
            <v>7121.666666666667</v>
          </cell>
          <cell r="V104">
            <v>7121.666666666667</v>
          </cell>
          <cell r="W104">
            <v>7121.666666666667</v>
          </cell>
          <cell r="X104">
            <v>7121.666666666667</v>
          </cell>
          <cell r="Y104">
            <v>7121.666666666667</v>
          </cell>
          <cell r="Z104">
            <v>7121.666666666667</v>
          </cell>
          <cell r="AA104">
            <v>7121.666666666667</v>
          </cell>
          <cell r="AB104">
            <v>7359.6932711017071</v>
          </cell>
          <cell r="AC104">
            <v>7359.6932711017071</v>
          </cell>
          <cell r="AD104">
            <v>7359.6932711017071</v>
          </cell>
          <cell r="AE104">
            <v>7359.6932711017071</v>
          </cell>
          <cell r="AF104">
            <v>7359.6932711017071</v>
          </cell>
          <cell r="AG104">
            <v>7359.6932711017071</v>
          </cell>
          <cell r="AH104">
            <v>7359.6932711017071</v>
          </cell>
          <cell r="AI104">
            <v>7359.6932711017071</v>
          </cell>
          <cell r="AJ104">
            <v>7359.6932711017071</v>
          </cell>
          <cell r="AK104">
            <v>7359.6932711017071</v>
          </cell>
          <cell r="AL104">
            <v>7359.6932711017071</v>
          </cell>
          <cell r="AM104">
            <v>7359.6932711017071</v>
          </cell>
          <cell r="AN104">
            <v>7717.8350236548331</v>
          </cell>
          <cell r="AO104">
            <v>7717.8350236548331</v>
          </cell>
          <cell r="AP104">
            <v>7717.8350236548331</v>
          </cell>
          <cell r="AQ104">
            <v>7717.8350236548331</v>
          </cell>
          <cell r="AR104">
            <v>7717.8350236548331</v>
          </cell>
          <cell r="AS104">
            <v>7717.8350236548331</v>
          </cell>
          <cell r="AT104">
            <v>7717.8350236548331</v>
          </cell>
          <cell r="AU104">
            <v>7717.8350236548331</v>
          </cell>
          <cell r="AV104">
            <v>7717.8350236548331</v>
          </cell>
          <cell r="AW104">
            <v>7717.8350236548331</v>
          </cell>
          <cell r="AX104">
            <v>7717.8350236548331</v>
          </cell>
          <cell r="AY104">
            <v>7717.8350236548331</v>
          </cell>
          <cell r="AZ104">
            <v>7760.304181139767</v>
          </cell>
          <cell r="BA104">
            <v>7760.304181139767</v>
          </cell>
          <cell r="BB104">
            <v>7760.304181139767</v>
          </cell>
          <cell r="BC104">
            <v>7760.304181139767</v>
          </cell>
          <cell r="BD104">
            <v>7760.304181139767</v>
          </cell>
          <cell r="BE104">
            <v>7760.304181139767</v>
          </cell>
          <cell r="BF104">
            <v>7760.304181139767</v>
          </cell>
          <cell r="BG104">
            <v>7760.304181139767</v>
          </cell>
          <cell r="BH104">
            <v>7760.304181139767</v>
          </cell>
          <cell r="BI104">
            <v>7760.304181139767</v>
          </cell>
          <cell r="BJ104">
            <v>7760.304181139767</v>
          </cell>
          <cell r="BK104">
            <v>7760.304181139767</v>
          </cell>
          <cell r="BL104">
            <v>7959.6690394214311</v>
          </cell>
          <cell r="BM104">
            <v>7959.6690394214311</v>
          </cell>
          <cell r="BN104">
            <v>7959.6690394214311</v>
          </cell>
          <cell r="BO104">
            <v>7959.6690394214311</v>
          </cell>
          <cell r="BP104">
            <v>7959.6690394214311</v>
          </cell>
          <cell r="BQ104">
            <v>7959.6690394214311</v>
          </cell>
          <cell r="BR104">
            <v>7959.6690394214311</v>
          </cell>
          <cell r="BS104">
            <v>7959.6690394214311</v>
          </cell>
          <cell r="BT104">
            <v>7959.6690394214311</v>
          </cell>
          <cell r="BU104">
            <v>7959.6690394214311</v>
          </cell>
          <cell r="BV104">
            <v>7959.6690394214311</v>
          </cell>
          <cell r="BW104">
            <v>7959.6690394214311</v>
          </cell>
          <cell r="BX104">
            <v>8317.8541461953955</v>
          </cell>
          <cell r="BY104">
            <v>8317.8541461953955</v>
          </cell>
          <cell r="BZ104">
            <v>8317.8541461953955</v>
          </cell>
          <cell r="CA104">
            <v>8317.8541461953955</v>
          </cell>
          <cell r="CB104">
            <v>8317.8541461953955</v>
          </cell>
          <cell r="CC104">
            <v>8317.8541461953955</v>
          </cell>
          <cell r="CD104">
            <v>8317.8541461953955</v>
          </cell>
          <cell r="CE104">
            <v>8317.8541461953955</v>
          </cell>
          <cell r="CF104">
            <v>8317.8541461953955</v>
          </cell>
          <cell r="CG104">
            <v>8317.8541461953955</v>
          </cell>
          <cell r="CH104">
            <v>8317.8541461953955</v>
          </cell>
          <cell r="CI104">
            <v>8317.8541461953955</v>
          </cell>
        </row>
        <row r="105">
          <cell r="P105">
            <v>41149.916666666664</v>
          </cell>
          <cell r="Q105">
            <v>41149.916666666664</v>
          </cell>
          <cell r="R105">
            <v>41149.916666666664</v>
          </cell>
          <cell r="S105">
            <v>41149.916666666664</v>
          </cell>
          <cell r="T105">
            <v>41149.916666666664</v>
          </cell>
          <cell r="U105">
            <v>41149.916666666664</v>
          </cell>
          <cell r="V105">
            <v>41149.916666666664</v>
          </cell>
          <cell r="W105">
            <v>41149.916666666664</v>
          </cell>
          <cell r="X105">
            <v>41149.916666666664</v>
          </cell>
          <cell r="Y105">
            <v>41149.916666666664</v>
          </cell>
          <cell r="Z105">
            <v>41149.916666666664</v>
          </cell>
          <cell r="AA105">
            <v>41149.916666666664</v>
          </cell>
          <cell r="AB105">
            <v>36191.159282988287</v>
          </cell>
          <cell r="AC105">
            <v>36191.159282988287</v>
          </cell>
          <cell r="AD105">
            <v>36191.159282988287</v>
          </cell>
          <cell r="AE105">
            <v>36191.159282988287</v>
          </cell>
          <cell r="AF105">
            <v>36191.159282988287</v>
          </cell>
          <cell r="AG105">
            <v>36191.159282988287</v>
          </cell>
          <cell r="AH105">
            <v>36191.159282988287</v>
          </cell>
          <cell r="AI105">
            <v>36191.159282988287</v>
          </cell>
          <cell r="AJ105">
            <v>36191.159282988287</v>
          </cell>
          <cell r="AK105">
            <v>36191.159282988287</v>
          </cell>
          <cell r="AL105">
            <v>36191.159282988287</v>
          </cell>
          <cell r="AM105">
            <v>36191.159282988287</v>
          </cell>
          <cell r="AN105">
            <v>37021.897991881582</v>
          </cell>
          <cell r="AO105">
            <v>37021.897991881582</v>
          </cell>
          <cell r="AP105">
            <v>37021.897991881582</v>
          </cell>
          <cell r="AQ105">
            <v>37021.897991881582</v>
          </cell>
          <cell r="AR105">
            <v>37021.897991881582</v>
          </cell>
          <cell r="AS105">
            <v>37021.897991881582</v>
          </cell>
          <cell r="AT105">
            <v>37021.897991881582</v>
          </cell>
          <cell r="AU105">
            <v>37021.897991881582</v>
          </cell>
          <cell r="AV105">
            <v>37021.897991881582</v>
          </cell>
          <cell r="AW105">
            <v>37021.897991881582</v>
          </cell>
          <cell r="AX105">
            <v>37021.897991881582</v>
          </cell>
          <cell r="AY105">
            <v>37021.897991881582</v>
          </cell>
          <cell r="AZ105">
            <v>36786.783262949524</v>
          </cell>
          <cell r="BA105">
            <v>36786.783262949524</v>
          </cell>
          <cell r="BB105">
            <v>36786.783262949524</v>
          </cell>
          <cell r="BC105">
            <v>36786.783262949524</v>
          </cell>
          <cell r="BD105">
            <v>36786.783262949524</v>
          </cell>
          <cell r="BE105">
            <v>36786.783262949524</v>
          </cell>
          <cell r="BF105">
            <v>36786.783262949524</v>
          </cell>
          <cell r="BG105">
            <v>36786.783262949524</v>
          </cell>
          <cell r="BH105">
            <v>36786.783262949524</v>
          </cell>
          <cell r="BI105">
            <v>36786.783262949524</v>
          </cell>
          <cell r="BJ105">
            <v>36786.783262949524</v>
          </cell>
          <cell r="BK105">
            <v>36786.783262949524</v>
          </cell>
          <cell r="BL105">
            <v>37648.870602367104</v>
          </cell>
          <cell r="BM105">
            <v>37648.870602367104</v>
          </cell>
          <cell r="BN105">
            <v>37648.870602367104</v>
          </cell>
          <cell r="BO105">
            <v>37648.870602367104</v>
          </cell>
          <cell r="BP105">
            <v>37648.870602367104</v>
          </cell>
          <cell r="BQ105">
            <v>37648.870602367104</v>
          </cell>
          <cell r="BR105">
            <v>37648.870602367104</v>
          </cell>
          <cell r="BS105">
            <v>37648.870602367104</v>
          </cell>
          <cell r="BT105">
            <v>37648.870602367104</v>
          </cell>
          <cell r="BU105">
            <v>37648.870602367104</v>
          </cell>
          <cell r="BV105">
            <v>37648.870602367104</v>
          </cell>
          <cell r="BW105">
            <v>37648.870602367104</v>
          </cell>
          <cell r="BX105">
            <v>39343.069779473619</v>
          </cell>
          <cell r="BY105">
            <v>39343.069779473619</v>
          </cell>
          <cell r="BZ105">
            <v>39343.069779473619</v>
          </cell>
          <cell r="CA105">
            <v>39343.069779473619</v>
          </cell>
          <cell r="CB105">
            <v>39343.069779473619</v>
          </cell>
          <cell r="CC105">
            <v>39343.069779473619</v>
          </cell>
          <cell r="CD105">
            <v>39343.069779473619</v>
          </cell>
          <cell r="CE105">
            <v>39343.069779473619</v>
          </cell>
          <cell r="CF105">
            <v>39343.069779473619</v>
          </cell>
          <cell r="CG105">
            <v>39343.069779473619</v>
          </cell>
          <cell r="CH105">
            <v>39343.069779473619</v>
          </cell>
          <cell r="CI105">
            <v>39343.069779473619</v>
          </cell>
        </row>
        <row r="106">
          <cell r="P106">
            <v>74676.916666666672</v>
          </cell>
          <cell r="Q106">
            <v>74676.916666666672</v>
          </cell>
          <cell r="R106">
            <v>74676.916666666672</v>
          </cell>
          <cell r="S106">
            <v>74676.916666666672</v>
          </cell>
          <cell r="T106">
            <v>74676.916666666672</v>
          </cell>
          <cell r="U106">
            <v>74676.916666666672</v>
          </cell>
          <cell r="V106">
            <v>74676.916666666672</v>
          </cell>
          <cell r="W106">
            <v>74676.916666666672</v>
          </cell>
          <cell r="X106">
            <v>74676.916666666672</v>
          </cell>
          <cell r="Y106">
            <v>74676.916666666672</v>
          </cell>
          <cell r="Z106">
            <v>74676.916666666672</v>
          </cell>
          <cell r="AA106">
            <v>74676.916666666672</v>
          </cell>
          <cell r="AB106">
            <v>70181.92115697742</v>
          </cell>
          <cell r="AC106">
            <v>70181.92115697742</v>
          </cell>
          <cell r="AD106">
            <v>70181.92115697742</v>
          </cell>
          <cell r="AE106">
            <v>70181.92115697742</v>
          </cell>
          <cell r="AF106">
            <v>70181.92115697742</v>
          </cell>
          <cell r="AG106">
            <v>70181.92115697742</v>
          </cell>
          <cell r="AH106">
            <v>70181.92115697742</v>
          </cell>
          <cell r="AI106">
            <v>70181.92115697742</v>
          </cell>
          <cell r="AJ106">
            <v>70181.92115697742</v>
          </cell>
          <cell r="AK106">
            <v>70181.92115697742</v>
          </cell>
          <cell r="AL106">
            <v>70181.92115697742</v>
          </cell>
          <cell r="AM106">
            <v>70181.92115697742</v>
          </cell>
          <cell r="AN106">
            <v>67789.018175261022</v>
          </cell>
          <cell r="AO106">
            <v>67789.018175261022</v>
          </cell>
          <cell r="AP106">
            <v>67789.018175261022</v>
          </cell>
          <cell r="AQ106">
            <v>67789.018175261022</v>
          </cell>
          <cell r="AR106">
            <v>67789.018175261022</v>
          </cell>
          <cell r="AS106">
            <v>67789.018175261022</v>
          </cell>
          <cell r="AT106">
            <v>67789.018175261022</v>
          </cell>
          <cell r="AU106">
            <v>67789.018175261022</v>
          </cell>
          <cell r="AV106">
            <v>67789.018175261022</v>
          </cell>
          <cell r="AW106">
            <v>67789.018175261022</v>
          </cell>
          <cell r="AX106">
            <v>67789.018175261022</v>
          </cell>
          <cell r="AY106">
            <v>67789.018175261022</v>
          </cell>
          <cell r="AZ106">
            <v>69739.555753453998</v>
          </cell>
          <cell r="BA106">
            <v>69739.555753453998</v>
          </cell>
          <cell r="BB106">
            <v>69739.555753453998</v>
          </cell>
          <cell r="BC106">
            <v>69739.555753453998</v>
          </cell>
          <cell r="BD106">
            <v>69739.555753453998</v>
          </cell>
          <cell r="BE106">
            <v>69739.555753453998</v>
          </cell>
          <cell r="BF106">
            <v>69739.555753453998</v>
          </cell>
          <cell r="BG106">
            <v>69739.555753453998</v>
          </cell>
          <cell r="BH106">
            <v>69739.555753453998</v>
          </cell>
          <cell r="BI106">
            <v>69739.555753453998</v>
          </cell>
          <cell r="BJ106">
            <v>69739.555753453998</v>
          </cell>
          <cell r="BK106">
            <v>69739.555753453998</v>
          </cell>
          <cell r="BL106">
            <v>69090.700215431338</v>
          </cell>
          <cell r="BM106">
            <v>69090.700215431338</v>
          </cell>
          <cell r="BN106">
            <v>69090.700215431338</v>
          </cell>
          <cell r="BO106">
            <v>69090.700215431338</v>
          </cell>
          <cell r="BP106">
            <v>69090.700215431338</v>
          </cell>
          <cell r="BQ106">
            <v>69090.700215431338</v>
          </cell>
          <cell r="BR106">
            <v>69090.700215431338</v>
          </cell>
          <cell r="BS106">
            <v>69090.700215431338</v>
          </cell>
          <cell r="BT106">
            <v>69090.700215431338</v>
          </cell>
          <cell r="BU106">
            <v>69090.700215431338</v>
          </cell>
          <cell r="BV106">
            <v>69090.700215431338</v>
          </cell>
          <cell r="BW106">
            <v>69090.700215431338</v>
          </cell>
          <cell r="BX106">
            <v>72199.781725125737</v>
          </cell>
          <cell r="BY106">
            <v>72199.781725125737</v>
          </cell>
          <cell r="BZ106">
            <v>72199.781725125737</v>
          </cell>
          <cell r="CA106">
            <v>72199.781725125737</v>
          </cell>
          <cell r="CB106">
            <v>72199.781725125737</v>
          </cell>
          <cell r="CC106">
            <v>72199.781725125737</v>
          </cell>
          <cell r="CD106">
            <v>72199.781725125737</v>
          </cell>
          <cell r="CE106">
            <v>72199.781725125737</v>
          </cell>
          <cell r="CF106">
            <v>72199.781725125737</v>
          </cell>
          <cell r="CG106">
            <v>72199.781725125737</v>
          </cell>
          <cell r="CH106">
            <v>72199.781725125737</v>
          </cell>
          <cell r="CI106">
            <v>72199.781725125737</v>
          </cell>
        </row>
        <row r="107">
          <cell r="P107">
            <v>28109.166666666668</v>
          </cell>
          <cell r="Q107">
            <v>28109.166666666668</v>
          </cell>
          <cell r="R107">
            <v>28109.166666666668</v>
          </cell>
          <cell r="S107">
            <v>28109.166666666668</v>
          </cell>
          <cell r="T107">
            <v>28109.166666666668</v>
          </cell>
          <cell r="U107">
            <v>28109.166666666668</v>
          </cell>
          <cell r="V107">
            <v>28109.166666666668</v>
          </cell>
          <cell r="W107">
            <v>28109.166666666668</v>
          </cell>
          <cell r="X107">
            <v>28109.166666666668</v>
          </cell>
          <cell r="Y107">
            <v>28109.166666666668</v>
          </cell>
          <cell r="Z107">
            <v>28109.166666666668</v>
          </cell>
          <cell r="AA107">
            <v>28109.166666666668</v>
          </cell>
          <cell r="AB107">
            <v>29467.710008967351</v>
          </cell>
          <cell r="AC107">
            <v>29467.710008967351</v>
          </cell>
          <cell r="AD107">
            <v>29467.710008967351</v>
          </cell>
          <cell r="AE107">
            <v>29467.710008967351</v>
          </cell>
          <cell r="AF107">
            <v>29467.710008967351</v>
          </cell>
          <cell r="AG107">
            <v>29467.710008967351</v>
          </cell>
          <cell r="AH107">
            <v>29467.710008967351</v>
          </cell>
          <cell r="AI107">
            <v>29467.710008967351</v>
          </cell>
          <cell r="AJ107">
            <v>29467.710008967351</v>
          </cell>
          <cell r="AK107">
            <v>29467.710008967351</v>
          </cell>
          <cell r="AL107">
            <v>29467.710008967351</v>
          </cell>
          <cell r="AM107">
            <v>29467.710008967351</v>
          </cell>
          <cell r="AN107">
            <v>30232.473548949481</v>
          </cell>
          <cell r="AO107">
            <v>30232.473548949481</v>
          </cell>
          <cell r="AP107">
            <v>30232.473548949481</v>
          </cell>
          <cell r="AQ107">
            <v>30232.473548949481</v>
          </cell>
          <cell r="AR107">
            <v>30232.473548949481</v>
          </cell>
          <cell r="AS107">
            <v>30232.473548949481</v>
          </cell>
          <cell r="AT107">
            <v>30232.473548949481</v>
          </cell>
          <cell r="AU107">
            <v>30232.473548949481</v>
          </cell>
          <cell r="AV107">
            <v>30232.473548949481</v>
          </cell>
          <cell r="AW107">
            <v>30232.473548949481</v>
          </cell>
          <cell r="AX107">
            <v>30232.473548949481</v>
          </cell>
          <cell r="AY107">
            <v>30232.473548949481</v>
          </cell>
          <cell r="AZ107">
            <v>30972.996117827894</v>
          </cell>
          <cell r="BA107">
            <v>30972.996117827894</v>
          </cell>
          <cell r="BB107">
            <v>30972.996117827894</v>
          </cell>
          <cell r="BC107">
            <v>30972.996117827894</v>
          </cell>
          <cell r="BD107">
            <v>30972.996117827894</v>
          </cell>
          <cell r="BE107">
            <v>30972.996117827894</v>
          </cell>
          <cell r="BF107">
            <v>30972.996117827894</v>
          </cell>
          <cell r="BG107">
            <v>30972.996117827894</v>
          </cell>
          <cell r="BH107">
            <v>30972.996117827894</v>
          </cell>
          <cell r="BI107">
            <v>30972.996117827894</v>
          </cell>
          <cell r="BJ107">
            <v>30972.996117827894</v>
          </cell>
          <cell r="BK107">
            <v>30972.996117827894</v>
          </cell>
          <cell r="BL107">
            <v>31735.144555692008</v>
          </cell>
          <cell r="BM107">
            <v>31735.144555692008</v>
          </cell>
          <cell r="BN107">
            <v>31735.144555692008</v>
          </cell>
          <cell r="BO107">
            <v>31735.144555692008</v>
          </cell>
          <cell r="BP107">
            <v>31735.144555692008</v>
          </cell>
          <cell r="BQ107">
            <v>31735.144555692008</v>
          </cell>
          <cell r="BR107">
            <v>31735.144555692008</v>
          </cell>
          <cell r="BS107">
            <v>31735.144555692008</v>
          </cell>
          <cell r="BT107">
            <v>31735.144555692008</v>
          </cell>
          <cell r="BU107">
            <v>31735.144555692008</v>
          </cell>
          <cell r="BV107">
            <v>31735.144555692008</v>
          </cell>
          <cell r="BW107">
            <v>31735.144555692008</v>
          </cell>
          <cell r="BX107">
            <v>33163.226060698144</v>
          </cell>
          <cell r="BY107">
            <v>33163.226060698144</v>
          </cell>
          <cell r="BZ107">
            <v>33163.226060698144</v>
          </cell>
          <cell r="CA107">
            <v>33163.226060698144</v>
          </cell>
          <cell r="CB107">
            <v>33163.226060698144</v>
          </cell>
          <cell r="CC107">
            <v>33163.226060698144</v>
          </cell>
          <cell r="CD107">
            <v>33163.226060698144</v>
          </cell>
          <cell r="CE107">
            <v>33163.226060698144</v>
          </cell>
          <cell r="CF107">
            <v>33163.226060698144</v>
          </cell>
          <cell r="CG107">
            <v>33163.226060698144</v>
          </cell>
          <cell r="CH107">
            <v>33163.226060698144</v>
          </cell>
          <cell r="CI107">
            <v>33163.226060698144</v>
          </cell>
        </row>
        <row r="108">
          <cell r="P108">
            <v>15503.666666666666</v>
          </cell>
          <cell r="Q108">
            <v>15503.666666666666</v>
          </cell>
          <cell r="R108">
            <v>15503.666666666666</v>
          </cell>
          <cell r="S108">
            <v>15503.666666666666</v>
          </cell>
          <cell r="T108">
            <v>15503.666666666666</v>
          </cell>
          <cell r="U108">
            <v>15503.666666666666</v>
          </cell>
          <cell r="V108">
            <v>15503.666666666666</v>
          </cell>
          <cell r="W108">
            <v>15503.666666666666</v>
          </cell>
          <cell r="X108">
            <v>15503.666666666666</v>
          </cell>
          <cell r="Y108">
            <v>15503.666666666666</v>
          </cell>
          <cell r="Z108">
            <v>15503.666666666666</v>
          </cell>
          <cell r="AA108">
            <v>15503.666666666666</v>
          </cell>
          <cell r="AB108">
            <v>15543.046719934502</v>
          </cell>
          <cell r="AC108">
            <v>15543.046719934502</v>
          </cell>
          <cell r="AD108">
            <v>15543.046719934502</v>
          </cell>
          <cell r="AE108">
            <v>15543.046719934502</v>
          </cell>
          <cell r="AF108">
            <v>15543.046719934502</v>
          </cell>
          <cell r="AG108">
            <v>15543.046719934502</v>
          </cell>
          <cell r="AH108">
            <v>15543.046719934502</v>
          </cell>
          <cell r="AI108">
            <v>15543.046719934502</v>
          </cell>
          <cell r="AJ108">
            <v>15543.046719934502</v>
          </cell>
          <cell r="AK108">
            <v>15543.046719934502</v>
          </cell>
          <cell r="AL108">
            <v>15543.046719934502</v>
          </cell>
          <cell r="AM108">
            <v>15543.046719934502</v>
          </cell>
          <cell r="AN108">
            <v>16099.159882934027</v>
          </cell>
          <cell r="AO108">
            <v>16099.159882934027</v>
          </cell>
          <cell r="AP108">
            <v>16099.159882934027</v>
          </cell>
          <cell r="AQ108">
            <v>16099.159882934027</v>
          </cell>
          <cell r="AR108">
            <v>16099.159882934027</v>
          </cell>
          <cell r="AS108">
            <v>16099.159882934027</v>
          </cell>
          <cell r="AT108">
            <v>16099.159882934027</v>
          </cell>
          <cell r="AU108">
            <v>16099.159882934027</v>
          </cell>
          <cell r="AV108">
            <v>16099.159882934027</v>
          </cell>
          <cell r="AW108">
            <v>16099.159882934027</v>
          </cell>
          <cell r="AX108">
            <v>16099.159882934027</v>
          </cell>
          <cell r="AY108">
            <v>16099.159882934027</v>
          </cell>
          <cell r="AZ108">
            <v>16083.165503395938</v>
          </cell>
          <cell r="BA108">
            <v>16083.165503395938</v>
          </cell>
          <cell r="BB108">
            <v>16083.165503395938</v>
          </cell>
          <cell r="BC108">
            <v>16083.165503395938</v>
          </cell>
          <cell r="BD108">
            <v>16083.165503395938</v>
          </cell>
          <cell r="BE108">
            <v>16083.165503395938</v>
          </cell>
          <cell r="BF108">
            <v>16083.165503395938</v>
          </cell>
          <cell r="BG108">
            <v>16083.165503395938</v>
          </cell>
          <cell r="BH108">
            <v>16083.165503395938</v>
          </cell>
          <cell r="BI108">
            <v>16083.165503395938</v>
          </cell>
          <cell r="BJ108">
            <v>16083.165503395938</v>
          </cell>
          <cell r="BK108">
            <v>16083.165503395938</v>
          </cell>
          <cell r="BL108">
            <v>16576.920637010207</v>
          </cell>
          <cell r="BM108">
            <v>16576.920637010207</v>
          </cell>
          <cell r="BN108">
            <v>16576.920637010207</v>
          </cell>
          <cell r="BO108">
            <v>16576.920637010207</v>
          </cell>
          <cell r="BP108">
            <v>16576.920637010207</v>
          </cell>
          <cell r="BQ108">
            <v>16576.920637010207</v>
          </cell>
          <cell r="BR108">
            <v>16576.920637010207</v>
          </cell>
          <cell r="BS108">
            <v>16576.920637010207</v>
          </cell>
          <cell r="BT108">
            <v>16576.920637010207</v>
          </cell>
          <cell r="BU108">
            <v>16576.920637010207</v>
          </cell>
          <cell r="BV108">
            <v>16576.920637010207</v>
          </cell>
          <cell r="BW108">
            <v>16576.920637010207</v>
          </cell>
          <cell r="BX108">
            <v>17322.882065675665</v>
          </cell>
          <cell r="BY108">
            <v>17322.882065675665</v>
          </cell>
          <cell r="BZ108">
            <v>17322.882065675665</v>
          </cell>
          <cell r="CA108">
            <v>17322.882065675665</v>
          </cell>
          <cell r="CB108">
            <v>17322.882065675665</v>
          </cell>
          <cell r="CC108">
            <v>17322.882065675665</v>
          </cell>
          <cell r="CD108">
            <v>17322.882065675665</v>
          </cell>
          <cell r="CE108">
            <v>17322.882065675665</v>
          </cell>
          <cell r="CF108">
            <v>17322.882065675665</v>
          </cell>
          <cell r="CG108">
            <v>17322.882065675665</v>
          </cell>
          <cell r="CH108">
            <v>17322.882065675665</v>
          </cell>
          <cell r="CI108">
            <v>17322.882065675665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P110">
            <v>232057.15000000002</v>
          </cell>
          <cell r="Q110">
            <v>300683.49</v>
          </cell>
          <cell r="R110">
            <v>294864.70999999996</v>
          </cell>
          <cell r="S110">
            <v>307837.89</v>
          </cell>
          <cell r="T110">
            <v>233026.36000000002</v>
          </cell>
          <cell r="U110">
            <v>307321.18000000005</v>
          </cell>
          <cell r="V110">
            <v>308748.74</v>
          </cell>
          <cell r="W110">
            <v>234351.57</v>
          </cell>
          <cell r="X110">
            <v>309212.94</v>
          </cell>
          <cell r="Y110">
            <v>238566.97999999998</v>
          </cell>
          <cell r="Z110">
            <v>307662.40000000002</v>
          </cell>
          <cell r="AA110">
            <v>309845.14</v>
          </cell>
          <cell r="AB110">
            <v>236698.29300000003</v>
          </cell>
          <cell r="AC110">
            <v>306697.15980000002</v>
          </cell>
          <cell r="AD110">
            <v>300762.00419999997</v>
          </cell>
          <cell r="AE110">
            <v>313994.64780000004</v>
          </cell>
          <cell r="AF110">
            <v>237686.88720000003</v>
          </cell>
          <cell r="AG110">
            <v>313467.60360000003</v>
          </cell>
          <cell r="AH110">
            <v>314923.71480000002</v>
          </cell>
          <cell r="AI110">
            <v>239038.60140000001</v>
          </cell>
          <cell r="AJ110">
            <v>315397.19880000001</v>
          </cell>
          <cell r="AK110">
            <v>243338.31959999999</v>
          </cell>
          <cell r="AL110">
            <v>313815.64800000004</v>
          </cell>
          <cell r="AM110">
            <v>316042.0428</v>
          </cell>
          <cell r="AN110">
            <v>241432.25886000003</v>
          </cell>
          <cell r="AO110">
            <v>312831.10299600003</v>
          </cell>
          <cell r="AP110">
            <v>306777.24428399996</v>
          </cell>
          <cell r="AQ110">
            <v>320274.54075600003</v>
          </cell>
          <cell r="AR110">
            <v>242440.62494400004</v>
          </cell>
          <cell r="AS110">
            <v>319736.95567200001</v>
          </cell>
          <cell r="AT110">
            <v>321222.18909600005</v>
          </cell>
          <cell r="AU110">
            <v>243819.37342800002</v>
          </cell>
          <cell r="AV110">
            <v>321705.14277600002</v>
          </cell>
          <cell r="AW110">
            <v>248205.08599199998</v>
          </cell>
          <cell r="AX110">
            <v>320091.96096000005</v>
          </cell>
          <cell r="AY110">
            <v>322362.88365600002</v>
          </cell>
          <cell r="AZ110">
            <v>246260.90403720003</v>
          </cell>
          <cell r="BA110">
            <v>319087.72505592002</v>
          </cell>
          <cell r="BB110">
            <v>312912.78916967998</v>
          </cell>
          <cell r="BC110">
            <v>326680.03157112002</v>
          </cell>
          <cell r="BD110">
            <v>247289.43744288004</v>
          </cell>
          <cell r="BE110">
            <v>326131.69478543999</v>
          </cell>
          <cell r="BF110">
            <v>327646.63287792006</v>
          </cell>
          <cell r="BG110">
            <v>248695.76089656004</v>
          </cell>
          <cell r="BH110">
            <v>328139.24563152005</v>
          </cell>
          <cell r="BI110">
            <v>253169.18771183997</v>
          </cell>
          <cell r="BJ110">
            <v>326493.80017920007</v>
          </cell>
          <cell r="BK110">
            <v>328810.14132912003</v>
          </cell>
          <cell r="BL110">
            <v>251186.12211794403</v>
          </cell>
          <cell r="BM110">
            <v>325469.4795570384</v>
          </cell>
          <cell r="BN110">
            <v>319171.04495307361</v>
          </cell>
          <cell r="BO110">
            <v>333213.63220254245</v>
          </cell>
          <cell r="BP110">
            <v>252235.22619173763</v>
          </cell>
          <cell r="BQ110">
            <v>332654.32868114882</v>
          </cell>
          <cell r="BR110">
            <v>334199.56553547847</v>
          </cell>
          <cell r="BS110">
            <v>253669.67611449125</v>
          </cell>
          <cell r="BT110">
            <v>334702.03054415045</v>
          </cell>
          <cell r="BU110">
            <v>258232.57146607677</v>
          </cell>
          <cell r="BV110">
            <v>333023.67618278408</v>
          </cell>
          <cell r="BW110">
            <v>335386.34415570245</v>
          </cell>
          <cell r="BX110">
            <v>256209.84456030291</v>
          </cell>
          <cell r="BY110">
            <v>331978.86914817919</v>
          </cell>
          <cell r="BZ110">
            <v>325554.46585213509</v>
          </cell>
          <cell r="CA110">
            <v>339877.90484659327</v>
          </cell>
          <cell r="CB110">
            <v>257279.93071557238</v>
          </cell>
          <cell r="CC110">
            <v>339307.41525477183</v>
          </cell>
          <cell r="CD110">
            <v>340883.55684618803</v>
          </cell>
          <cell r="CE110">
            <v>258743.06963678109</v>
          </cell>
          <cell r="CF110">
            <v>341396.07115503348</v>
          </cell>
          <cell r="CG110">
            <v>263397.22289539833</v>
          </cell>
          <cell r="CH110">
            <v>339684.14970643976</v>
          </cell>
          <cell r="CI110">
            <v>342094.07103881653</v>
          </cell>
        </row>
        <row r="111">
          <cell r="P111">
            <v>631173.54465000005</v>
          </cell>
          <cell r="Q111">
            <v>699799.88465000014</v>
          </cell>
          <cell r="R111">
            <v>693981.10465000011</v>
          </cell>
          <cell r="S111">
            <v>706954.28465000005</v>
          </cell>
          <cell r="T111">
            <v>632142.75465000013</v>
          </cell>
          <cell r="U111">
            <v>706437.57465000008</v>
          </cell>
          <cell r="V111">
            <v>707865.13465000014</v>
          </cell>
          <cell r="W111">
            <v>633467.9646500001</v>
          </cell>
          <cell r="X111">
            <v>708329.33465000009</v>
          </cell>
          <cell r="Y111">
            <v>637683.37465000013</v>
          </cell>
          <cell r="Z111">
            <v>706778.79465000005</v>
          </cell>
          <cell r="AA111">
            <v>708961.53465000005</v>
          </cell>
          <cell r="AB111">
            <v>639270.18664827396</v>
          </cell>
          <cell r="AC111">
            <v>709269.05344827392</v>
          </cell>
          <cell r="AD111">
            <v>703333.89784827386</v>
          </cell>
          <cell r="AE111">
            <v>716566.54144827393</v>
          </cell>
          <cell r="AF111">
            <v>640258.78084827389</v>
          </cell>
          <cell r="AG111">
            <v>716039.49724827392</v>
          </cell>
          <cell r="AH111">
            <v>717495.60844827397</v>
          </cell>
          <cell r="AI111">
            <v>641610.49504827394</v>
          </cell>
          <cell r="AJ111">
            <v>717969.09244827391</v>
          </cell>
          <cell r="AK111">
            <v>645910.21324827382</v>
          </cell>
          <cell r="AL111">
            <v>716387.54164827394</v>
          </cell>
          <cell r="AM111">
            <v>718613.93644827395</v>
          </cell>
          <cell r="AN111">
            <v>646901.46640211088</v>
          </cell>
          <cell r="AO111">
            <v>718300.31053811079</v>
          </cell>
          <cell r="AP111">
            <v>712246.45182611072</v>
          </cell>
          <cell r="AQ111">
            <v>725743.74829811091</v>
          </cell>
          <cell r="AR111">
            <v>647909.83248611086</v>
          </cell>
          <cell r="AS111">
            <v>725206.16321411077</v>
          </cell>
          <cell r="AT111">
            <v>726691.39663811086</v>
          </cell>
          <cell r="AU111">
            <v>649288.58097011084</v>
          </cell>
          <cell r="AV111">
            <v>727174.35031811078</v>
          </cell>
          <cell r="AW111">
            <v>653674.29353411077</v>
          </cell>
          <cell r="AX111">
            <v>725561.16850211087</v>
          </cell>
          <cell r="AY111">
            <v>727832.09119811084</v>
          </cell>
          <cell r="AZ111">
            <v>657389.32173534168</v>
          </cell>
          <cell r="BA111">
            <v>730216.14275406161</v>
          </cell>
          <cell r="BB111">
            <v>724041.20686782163</v>
          </cell>
          <cell r="BC111">
            <v>737808.44926926168</v>
          </cell>
          <cell r="BD111">
            <v>658417.85514102166</v>
          </cell>
          <cell r="BE111">
            <v>737260.11248358164</v>
          </cell>
          <cell r="BF111">
            <v>738775.05057606171</v>
          </cell>
          <cell r="BG111">
            <v>659824.17859470169</v>
          </cell>
          <cell r="BH111">
            <v>739267.66332966171</v>
          </cell>
          <cell r="BI111">
            <v>664297.60540998168</v>
          </cell>
          <cell r="BJ111">
            <v>737622.21787734167</v>
          </cell>
          <cell r="BK111">
            <v>739938.55902726168</v>
          </cell>
          <cell r="BL111">
            <v>663413.95563224889</v>
          </cell>
          <cell r="BM111">
            <v>737697.31307134335</v>
          </cell>
          <cell r="BN111">
            <v>731398.87846737844</v>
          </cell>
          <cell r="BO111">
            <v>745441.46571684733</v>
          </cell>
          <cell r="BP111">
            <v>664463.05970604252</v>
          </cell>
          <cell r="BQ111">
            <v>744882.16219545365</v>
          </cell>
          <cell r="BR111">
            <v>746427.39904978336</v>
          </cell>
          <cell r="BS111">
            <v>665897.50962879614</v>
          </cell>
          <cell r="BT111">
            <v>746929.86405845534</v>
          </cell>
          <cell r="BU111">
            <v>670460.40498038172</v>
          </cell>
          <cell r="BV111">
            <v>745251.50969708897</v>
          </cell>
          <cell r="BW111">
            <v>747614.17767000734</v>
          </cell>
          <cell r="BX111">
            <v>686987.93058275164</v>
          </cell>
          <cell r="BY111">
            <v>762756.95517062792</v>
          </cell>
          <cell r="BZ111">
            <v>756332.55187458382</v>
          </cell>
          <cell r="CA111">
            <v>770655.990869042</v>
          </cell>
          <cell r="CB111">
            <v>688058.01673802105</v>
          </cell>
          <cell r="CC111">
            <v>770085.50127722055</v>
          </cell>
          <cell r="CD111">
            <v>771661.64286863676</v>
          </cell>
          <cell r="CE111">
            <v>689521.15565922984</v>
          </cell>
          <cell r="CF111">
            <v>772174.15717748227</v>
          </cell>
          <cell r="CG111">
            <v>694175.308917847</v>
          </cell>
          <cell r="CH111">
            <v>770462.23572888854</v>
          </cell>
          <cell r="CI111">
            <v>772872.15706126532</v>
          </cell>
        </row>
        <row r="130">
          <cell r="P130">
            <v>945136.38424739568</v>
          </cell>
          <cell r="Q130">
            <v>-11459448.835752605</v>
          </cell>
          <cell r="R130">
            <v>1007939.9442473957</v>
          </cell>
          <cell r="S130">
            <v>1020913.1242473957</v>
          </cell>
          <cell r="T130">
            <v>946101.59424739575</v>
          </cell>
          <cell r="U130">
            <v>1020396.4142473957</v>
          </cell>
          <cell r="V130">
            <v>1021822.9742473958</v>
          </cell>
          <cell r="W130">
            <v>1628496.905254764</v>
          </cell>
          <cell r="X130">
            <v>1703358.2752547639</v>
          </cell>
          <cell r="Y130">
            <v>1632712.3152547639</v>
          </cell>
          <cell r="Z130">
            <v>1701807.7352547639</v>
          </cell>
          <cell r="AA130">
            <v>1703990.4752547638</v>
          </cell>
          <cell r="AB130">
            <v>1634299.1272530379</v>
          </cell>
          <cell r="AC130">
            <v>1704297.9940530378</v>
          </cell>
          <cell r="AD130">
            <v>1698362.8384530377</v>
          </cell>
          <cell r="AE130">
            <v>1711595.4820530377</v>
          </cell>
          <cell r="AF130">
            <v>1635287.7214530376</v>
          </cell>
          <cell r="AG130">
            <v>1711068.4378530378</v>
          </cell>
          <cell r="AH130">
            <v>1712524.5490530378</v>
          </cell>
          <cell r="AI130">
            <v>1636639.4356530379</v>
          </cell>
          <cell r="AJ130">
            <v>1712998.0330530377</v>
          </cell>
          <cell r="AK130">
            <v>1640939.1538530376</v>
          </cell>
          <cell r="AL130">
            <v>1711416.4822530379</v>
          </cell>
          <cell r="AM130">
            <v>1713642.8770530378</v>
          </cell>
          <cell r="AN130">
            <v>1641930.4070068747</v>
          </cell>
          <cell r="AO130">
            <v>1713329.2511428746</v>
          </cell>
          <cell r="AP130">
            <v>1707275.3924308745</v>
          </cell>
          <cell r="AQ130">
            <v>1720772.6889028747</v>
          </cell>
          <cell r="AR130">
            <v>1642938.7730908748</v>
          </cell>
          <cell r="AS130">
            <v>1720235.1038188746</v>
          </cell>
          <cell r="AT130">
            <v>1721720.3372428748</v>
          </cell>
          <cell r="AU130">
            <v>1644317.5215748746</v>
          </cell>
          <cell r="AV130">
            <v>1722203.2909228746</v>
          </cell>
          <cell r="AW130">
            <v>1648703.2341388746</v>
          </cell>
          <cell r="AX130">
            <v>1720590.1091068746</v>
          </cell>
          <cell r="AY130">
            <v>1722861.0318028745</v>
          </cell>
          <cell r="AZ130">
            <v>1652418.2623401056</v>
          </cell>
          <cell r="BA130">
            <v>1725245.0833588254</v>
          </cell>
          <cell r="BB130">
            <v>1719070.1474725856</v>
          </cell>
          <cell r="BC130">
            <v>1732837.3898740255</v>
          </cell>
          <cell r="BD130">
            <v>1653446.7957457853</v>
          </cell>
          <cell r="BE130">
            <v>1732289.0530883456</v>
          </cell>
          <cell r="BF130">
            <v>1733803.9911808255</v>
          </cell>
          <cell r="BG130">
            <v>1654853.1191994655</v>
          </cell>
          <cell r="BH130">
            <v>1734296.6039344254</v>
          </cell>
          <cell r="BI130">
            <v>1659326.5460147455</v>
          </cell>
          <cell r="BJ130">
            <v>1732651.1584821055</v>
          </cell>
          <cell r="BK130">
            <v>1734967.4996320256</v>
          </cell>
          <cell r="BL130">
            <v>1658442.8962370127</v>
          </cell>
          <cell r="BM130">
            <v>1732726.2536761072</v>
          </cell>
          <cell r="BN130">
            <v>1726427.8190721422</v>
          </cell>
          <cell r="BO130">
            <v>1740470.4063216113</v>
          </cell>
          <cell r="BP130">
            <v>1659492.0003108063</v>
          </cell>
          <cell r="BQ130">
            <v>1739911.1028002175</v>
          </cell>
          <cell r="BR130">
            <v>1741456.3396545472</v>
          </cell>
          <cell r="BS130">
            <v>1660926.4502335601</v>
          </cell>
          <cell r="BT130">
            <v>1741958.804663219</v>
          </cell>
          <cell r="BU130">
            <v>1665489.3455851455</v>
          </cell>
          <cell r="BV130">
            <v>1740280.4503018528</v>
          </cell>
          <cell r="BW130">
            <v>1742643.1182747711</v>
          </cell>
          <cell r="BX130">
            <v>1682016.8711875156</v>
          </cell>
          <cell r="BY130">
            <v>1757785.8957753917</v>
          </cell>
          <cell r="BZ130">
            <v>1751361.4924793476</v>
          </cell>
          <cell r="CA130">
            <v>1765684.9314738058</v>
          </cell>
          <cell r="CB130">
            <v>1683086.9573427849</v>
          </cell>
          <cell r="CC130">
            <v>1765114.4418819845</v>
          </cell>
          <cell r="CD130">
            <v>1766690.5834734007</v>
          </cell>
          <cell r="CE130">
            <v>1684550.0962639935</v>
          </cell>
          <cell r="CF130">
            <v>1767203.0977822461</v>
          </cell>
          <cell r="CG130">
            <v>1689204.2495226108</v>
          </cell>
          <cell r="CH130">
            <v>1765491.1763336523</v>
          </cell>
          <cell r="CI130">
            <v>1767901.0976660291</v>
          </cell>
        </row>
        <row r="133">
          <cell r="P133">
            <v>9024395.8873779532</v>
          </cell>
          <cell r="Q133">
            <v>8335252.1310901949</v>
          </cell>
          <cell r="R133">
            <v>8088236.6738323551</v>
          </cell>
          <cell r="S133">
            <v>7457808.3928565085</v>
          </cell>
          <cell r="T133">
            <v>10645840.746828832</v>
          </cell>
          <cell r="U133">
            <v>12581319.691279523</v>
          </cell>
          <cell r="V133">
            <v>12717548.303778039</v>
          </cell>
          <cell r="W133">
            <v>10082135.687189875</v>
          </cell>
          <cell r="X133">
            <v>7377360.0656995699</v>
          </cell>
          <cell r="Y133">
            <v>4431968.1944579324</v>
          </cell>
          <cell r="Z133">
            <v>5342277.150244615</v>
          </cell>
          <cell r="AA133">
            <v>5374196.9578513019</v>
          </cell>
          <cell r="AB133">
            <v>6289431.1538925599</v>
          </cell>
          <cell r="AC133">
            <v>5807582.5306128077</v>
          </cell>
          <cell r="AD133">
            <v>5462699.5939656515</v>
          </cell>
          <cell r="AE133">
            <v>4675698.3327586697</v>
          </cell>
          <cell r="AF133">
            <v>5419721.5880478946</v>
          </cell>
          <cell r="AG133">
            <v>8524002.704491945</v>
          </cell>
          <cell r="AH133">
            <v>10215700.30817358</v>
          </cell>
          <cell r="AI133">
            <v>9825471.7295220271</v>
          </cell>
          <cell r="AJ133">
            <v>6885486.653671205</v>
          </cell>
          <cell r="AK133">
            <v>4693717.4307639441</v>
          </cell>
          <cell r="AL133">
            <v>5744350.8292594403</v>
          </cell>
          <cell r="AM133">
            <v>5944108.4716868764</v>
          </cell>
          <cell r="AN133">
            <v>6347104.9613812184</v>
          </cell>
          <cell r="AO133">
            <v>5840137.9817994265</v>
          </cell>
          <cell r="AP133">
            <v>4701175.3954377389</v>
          </cell>
          <cell r="AQ133">
            <v>4462621.0348611148</v>
          </cell>
          <cell r="AR133">
            <v>5304413.7426688951</v>
          </cell>
          <cell r="AS133">
            <v>8324761.0168533148</v>
          </cell>
          <cell r="AT133">
            <v>10180902.229637718</v>
          </cell>
          <cell r="AU133">
            <v>9756371.6874395031</v>
          </cell>
          <cell r="AV133">
            <v>6796339.4740668172</v>
          </cell>
          <cell r="AW133">
            <v>4726702.4976114025</v>
          </cell>
          <cell r="AX133">
            <v>5611669.6693526907</v>
          </cell>
          <cell r="AY133">
            <v>6003930.7474757871</v>
          </cell>
          <cell r="AZ133">
            <v>7293001.1394838523</v>
          </cell>
          <cell r="BA133">
            <v>6776411.3687705593</v>
          </cell>
          <cell r="BB133">
            <v>7127143.2041496811</v>
          </cell>
          <cell r="BC133">
            <v>3059423.3847899325</v>
          </cell>
          <cell r="BD133">
            <v>2969966.7627668041</v>
          </cell>
          <cell r="BE133">
            <v>7292094.1916163228</v>
          </cell>
          <cell r="BF133">
            <v>8571554.9898379315</v>
          </cell>
          <cell r="BG133">
            <v>8378829.1917486535</v>
          </cell>
          <cell r="BH133">
            <v>6183561.8783954177</v>
          </cell>
          <cell r="BI133">
            <v>5411578.9564931141</v>
          </cell>
          <cell r="BJ133">
            <v>6609096.3287468776</v>
          </cell>
          <cell r="BK133">
            <v>6862637.5348061146</v>
          </cell>
          <cell r="BL133">
            <v>6808326.0016292306</v>
          </cell>
          <cell r="BM133">
            <v>6350132.8055689251</v>
          </cell>
          <cell r="BN133">
            <v>5054266.6839857474</v>
          </cell>
          <cell r="BO133">
            <v>4532105.4313802905</v>
          </cell>
          <cell r="BP133">
            <v>6071723.967856532</v>
          </cell>
          <cell r="BQ133">
            <v>6892859.6195334224</v>
          </cell>
          <cell r="BR133">
            <v>7946902.0232520653</v>
          </cell>
          <cell r="BS133">
            <v>7779587.2598512024</v>
          </cell>
          <cell r="BT133">
            <v>5864292.4839677345</v>
          </cell>
          <cell r="BU133">
            <v>4260083.6255199052</v>
          </cell>
          <cell r="BV133">
            <v>6439167.4076166367</v>
          </cell>
          <cell r="BW133">
            <v>6555660.767375051</v>
          </cell>
          <cell r="BX133">
            <v>6941821.966980014</v>
          </cell>
          <cell r="BY133">
            <v>6474466.0058885003</v>
          </cell>
          <cell r="BZ133">
            <v>5152683.6607636604</v>
          </cell>
          <cell r="CA133">
            <v>4620080.2819960946</v>
          </cell>
          <cell r="CB133">
            <v>6190492.2880918626</v>
          </cell>
          <cell r="CC133">
            <v>7028051.7516922904</v>
          </cell>
          <cell r="CD133">
            <v>8103176.1023753025</v>
          </cell>
          <cell r="CE133">
            <v>7932516.1425964264</v>
          </cell>
          <cell r="CF133">
            <v>5978916.570085289</v>
          </cell>
          <cell r="CG133">
            <v>4342624.6333585028</v>
          </cell>
          <cell r="CH133">
            <v>6565291.1899871659</v>
          </cell>
          <cell r="CI133">
            <v>6684115.5158307478</v>
          </cell>
        </row>
        <row r="134">
          <cell r="P134">
            <v>696609.29017776181</v>
          </cell>
          <cell r="Q134">
            <v>501365.75671804545</v>
          </cell>
          <cell r="R134">
            <v>522621.45258264442</v>
          </cell>
          <cell r="S134">
            <v>641960.83298405551</v>
          </cell>
          <cell r="T134">
            <v>1290796.6586321543</v>
          </cell>
          <cell r="U134">
            <v>1323305.4832287591</v>
          </cell>
          <cell r="V134">
            <v>1297013.493341218</v>
          </cell>
          <cell r="W134">
            <v>1283383.2603481507</v>
          </cell>
          <cell r="X134">
            <v>1181902.3802601341</v>
          </cell>
          <cell r="Y134">
            <v>624140.22907202272</v>
          </cell>
          <cell r="Z134">
            <v>683232.88997713826</v>
          </cell>
          <cell r="AA134">
            <v>702191.66744767758</v>
          </cell>
          <cell r="AB134">
            <v>582458.73594850337</v>
          </cell>
          <cell r="AC134">
            <v>579402.26779392839</v>
          </cell>
          <cell r="AD134">
            <v>579425.52946883661</v>
          </cell>
          <cell r="AE134">
            <v>1012062.1017051768</v>
          </cell>
          <cell r="AF134">
            <v>1012085.3633800849</v>
          </cell>
          <cell r="AG134">
            <v>1012108.6250549929</v>
          </cell>
          <cell r="AH134">
            <v>1244202.842789571</v>
          </cell>
          <cell r="AI134">
            <v>1244226.1044644788</v>
          </cell>
          <cell r="AJ134">
            <v>1244249.3661393868</v>
          </cell>
          <cell r="AK134">
            <v>2771210.9889144166</v>
          </cell>
          <cell r="AL134">
            <v>2771234.2505893246</v>
          </cell>
          <cell r="AM134">
            <v>2771257.5122642326</v>
          </cell>
          <cell r="AN134">
            <v>599791.90953152021</v>
          </cell>
          <cell r="AO134">
            <v>599815.17120642832</v>
          </cell>
          <cell r="AP134">
            <v>599838.43288133619</v>
          </cell>
          <cell r="AQ134">
            <v>950424.58383530134</v>
          </cell>
          <cell r="AR134">
            <v>950447.84551020944</v>
          </cell>
          <cell r="AS134">
            <v>950471.10718511743</v>
          </cell>
          <cell r="AT134">
            <v>1193008.0127808158</v>
          </cell>
          <cell r="AU134">
            <v>1193031.2744557241</v>
          </cell>
          <cell r="AV134">
            <v>1193054.536130632</v>
          </cell>
          <cell r="AW134">
            <v>668789.75983487349</v>
          </cell>
          <cell r="AX134">
            <v>668813.02150978136</v>
          </cell>
          <cell r="AY134">
            <v>668836.28318468924</v>
          </cell>
          <cell r="AZ134">
            <v>653559.37605952984</v>
          </cell>
          <cell r="BA134">
            <v>613755.3199944098</v>
          </cell>
          <cell r="BB134">
            <v>461167.17306011292</v>
          </cell>
          <cell r="BC134">
            <v>478534.63955678284</v>
          </cell>
          <cell r="BD134">
            <v>446722.6527709479</v>
          </cell>
          <cell r="BE134">
            <v>664516.56494007097</v>
          </cell>
          <cell r="BF134">
            <v>723615.79994162219</v>
          </cell>
          <cell r="BG134">
            <v>721902.70915386698</v>
          </cell>
          <cell r="BH134">
            <v>654154.84532405622</v>
          </cell>
          <cell r="BI134">
            <v>663190.03597756184</v>
          </cell>
          <cell r="BJ134">
            <v>641371.83825343812</v>
          </cell>
          <cell r="BK134">
            <v>634497.3795960251</v>
          </cell>
          <cell r="BL134">
            <v>784959.9018190552</v>
          </cell>
          <cell r="BM134">
            <v>784983.16349396319</v>
          </cell>
          <cell r="BN134">
            <v>785006.4251688713</v>
          </cell>
          <cell r="BO134">
            <v>785029.68684377929</v>
          </cell>
          <cell r="BP134">
            <v>785052.94851868716</v>
          </cell>
          <cell r="BQ134">
            <v>785076.21019359527</v>
          </cell>
          <cell r="BR134">
            <v>785099.47186850326</v>
          </cell>
          <cell r="BS134">
            <v>785122.73354341125</v>
          </cell>
          <cell r="BT134">
            <v>785145.99521831924</v>
          </cell>
          <cell r="BU134">
            <v>785169.25689322734</v>
          </cell>
          <cell r="BV134">
            <v>785192.51856813533</v>
          </cell>
          <cell r="BW134">
            <v>785215.78024304344</v>
          </cell>
          <cell r="BX134">
            <v>798484.90293340385</v>
          </cell>
          <cell r="BY134">
            <v>798508.16460831196</v>
          </cell>
          <cell r="BZ134">
            <v>798531.42628321995</v>
          </cell>
          <cell r="CA134">
            <v>798554.68795812805</v>
          </cell>
          <cell r="CB134">
            <v>817365.30679343594</v>
          </cell>
          <cell r="CC134">
            <v>800273.21470794408</v>
          </cell>
          <cell r="CD134">
            <v>800416.73685495357</v>
          </cell>
          <cell r="CE134">
            <v>800560.25900196307</v>
          </cell>
          <cell r="CF134">
            <v>800703.78114897257</v>
          </cell>
          <cell r="CG134">
            <v>800847.30329598207</v>
          </cell>
          <cell r="CH134">
            <v>800990.82544299134</v>
          </cell>
          <cell r="CI134">
            <v>801134.34759000095</v>
          </cell>
        </row>
        <row r="135">
          <cell r="P135">
            <v>1078862.2295610539</v>
          </cell>
          <cell r="Q135">
            <v>1013111.087821717</v>
          </cell>
          <cell r="R135">
            <v>1103569.9115027285</v>
          </cell>
          <cell r="S135">
            <v>1063768.0532474502</v>
          </cell>
          <cell r="T135">
            <v>1797094.3613123938</v>
          </cell>
          <cell r="U135">
            <v>1855606.335417975</v>
          </cell>
          <cell r="V135">
            <v>1934390.8109861386</v>
          </cell>
          <cell r="W135">
            <v>1911282.1115472373</v>
          </cell>
          <cell r="X135">
            <v>1728020.1032537054</v>
          </cell>
          <cell r="Y135">
            <v>794880.64993611223</v>
          </cell>
          <cell r="Z135">
            <v>1132513.3051621695</v>
          </cell>
          <cell r="AA135">
            <v>1209844.7121008693</v>
          </cell>
          <cell r="AB135">
            <v>1102837.8093919184</v>
          </cell>
          <cell r="AC135">
            <v>1101992.8615137429</v>
          </cell>
          <cell r="AD135">
            <v>1101147.8919920383</v>
          </cell>
          <cell r="AE135">
            <v>1566385.1449923415</v>
          </cell>
          <cell r="AF135">
            <v>1565540.1754706369</v>
          </cell>
          <cell r="AG135">
            <v>1564695.2059489323</v>
          </cell>
          <cell r="AH135">
            <v>1817496.4512412504</v>
          </cell>
          <cell r="AI135">
            <v>1816651.4817195458</v>
          </cell>
          <cell r="AJ135">
            <v>1815806.5121978417</v>
          </cell>
          <cell r="AK135">
            <v>998629.57437895809</v>
          </cell>
          <cell r="AL135">
            <v>997784.60485725384</v>
          </cell>
          <cell r="AM135">
            <v>996939.6353355496</v>
          </cell>
          <cell r="AN135">
            <v>1112999.3317314603</v>
          </cell>
          <cell r="AO135">
            <v>1112154.3622097559</v>
          </cell>
          <cell r="AP135">
            <v>1111309.3926880516</v>
          </cell>
          <cell r="AQ135">
            <v>1518681.8801283892</v>
          </cell>
          <cell r="AR135">
            <v>1517836.9106066853</v>
          </cell>
          <cell r="AS135">
            <v>1516991.9410849807</v>
          </cell>
          <cell r="AT135">
            <v>1787015.4624305528</v>
          </cell>
          <cell r="AU135">
            <v>1786170.4929088487</v>
          </cell>
          <cell r="AV135">
            <v>1785325.5233871448</v>
          </cell>
          <cell r="AW135">
            <v>973384.8026819342</v>
          </cell>
          <cell r="AX135">
            <v>972539.83316022996</v>
          </cell>
          <cell r="AY135">
            <v>971694.86363852525</v>
          </cell>
          <cell r="AZ135">
            <v>1394306.1846650895</v>
          </cell>
          <cell r="BA135">
            <v>1393461.2151433851</v>
          </cell>
          <cell r="BB135">
            <v>1392616.2456216807</v>
          </cell>
          <cell r="BC135">
            <v>1391771.2760999766</v>
          </cell>
          <cell r="BD135">
            <v>1390926.306578272</v>
          </cell>
          <cell r="BE135">
            <v>1390081.3370565674</v>
          </cell>
          <cell r="BF135">
            <v>1389236.3675348631</v>
          </cell>
          <cell r="BG135">
            <v>1388391.3980131585</v>
          </cell>
          <cell r="BH135">
            <v>1387546.4284914543</v>
          </cell>
          <cell r="BI135">
            <v>1386701.4589697495</v>
          </cell>
          <cell r="BJ135">
            <v>1385856.4894480456</v>
          </cell>
          <cell r="BK135">
            <v>1385011.519926341</v>
          </cell>
          <cell r="BL135">
            <v>1388705.5045607367</v>
          </cell>
          <cell r="BM135">
            <v>1387860.5350390323</v>
          </cell>
          <cell r="BN135">
            <v>1387015.5655173275</v>
          </cell>
          <cell r="BO135">
            <v>1386170.5959956234</v>
          </cell>
          <cell r="BP135">
            <v>1385325.626473919</v>
          </cell>
          <cell r="BQ135">
            <v>1384480.6569522147</v>
          </cell>
          <cell r="BR135">
            <v>1383635.6874305103</v>
          </cell>
          <cell r="BS135">
            <v>1382790.7179088057</v>
          </cell>
          <cell r="BT135">
            <v>1381945.7483871011</v>
          </cell>
          <cell r="BU135">
            <v>1381100.778865397</v>
          </cell>
          <cell r="BV135">
            <v>1380255.8093436924</v>
          </cell>
          <cell r="BW135">
            <v>1379410.839821988</v>
          </cell>
          <cell r="BX135">
            <v>1401212.2307197331</v>
          </cell>
          <cell r="BY135">
            <v>1400367.2611980287</v>
          </cell>
          <cell r="BZ135">
            <v>1399522.2916763243</v>
          </cell>
          <cell r="CA135">
            <v>1398677.32215462</v>
          </cell>
          <cell r="CB135">
            <v>1397832.3526329158</v>
          </cell>
          <cell r="CC135">
            <v>1401526.6441112112</v>
          </cell>
          <cell r="CD135">
            <v>1401008.4387902243</v>
          </cell>
          <cell r="CE135">
            <v>1400490.2334692378</v>
          </cell>
          <cell r="CF135">
            <v>1399972.0281482511</v>
          </cell>
          <cell r="CG135">
            <v>1399453.8228272642</v>
          </cell>
          <cell r="CH135">
            <v>1398935.6175062773</v>
          </cell>
          <cell r="CI135">
            <v>1398417.4121852908</v>
          </cell>
        </row>
        <row r="136">
          <cell r="P136">
            <v>-20834</v>
          </cell>
          <cell r="Q136">
            <v>-20834</v>
          </cell>
          <cell r="R136">
            <v>-20834</v>
          </cell>
          <cell r="S136">
            <v>-20834</v>
          </cell>
          <cell r="T136">
            <v>-20834</v>
          </cell>
          <cell r="U136">
            <v>-20834</v>
          </cell>
          <cell r="V136">
            <v>-20834</v>
          </cell>
          <cell r="W136">
            <v>-20834</v>
          </cell>
          <cell r="X136">
            <v>-20834</v>
          </cell>
          <cell r="Y136">
            <v>-20834</v>
          </cell>
          <cell r="Z136">
            <v>-20834</v>
          </cell>
          <cell r="AA136">
            <v>-20834</v>
          </cell>
          <cell r="AB136">
            <v>-20834</v>
          </cell>
          <cell r="AC136">
            <v>-20834</v>
          </cell>
          <cell r="AD136">
            <v>-20834</v>
          </cell>
          <cell r="AE136">
            <v>-20834</v>
          </cell>
          <cell r="AF136">
            <v>-20834</v>
          </cell>
          <cell r="AG136">
            <v>-20834</v>
          </cell>
          <cell r="AH136">
            <v>-20834</v>
          </cell>
          <cell r="AI136">
            <v>-20834</v>
          </cell>
          <cell r="AJ136">
            <v>-20834</v>
          </cell>
          <cell r="AK136">
            <v>-20834</v>
          </cell>
          <cell r="AL136">
            <v>-20834</v>
          </cell>
          <cell r="AM136">
            <v>-20834</v>
          </cell>
          <cell r="AN136">
            <v>-20834</v>
          </cell>
          <cell r="AO136">
            <v>-20834</v>
          </cell>
          <cell r="AP136">
            <v>-20834</v>
          </cell>
          <cell r="AQ136">
            <v>-20834</v>
          </cell>
          <cell r="AR136">
            <v>-20834</v>
          </cell>
          <cell r="AS136">
            <v>-20834</v>
          </cell>
          <cell r="AT136">
            <v>-20834</v>
          </cell>
          <cell r="AU136">
            <v>-20834</v>
          </cell>
          <cell r="AV136">
            <v>-20834</v>
          </cell>
          <cell r="AW136">
            <v>-20834</v>
          </cell>
          <cell r="AX136">
            <v>-20834</v>
          </cell>
          <cell r="AY136">
            <v>-20834</v>
          </cell>
          <cell r="AZ136">
            <v>-20834</v>
          </cell>
          <cell r="BA136">
            <v>-20834</v>
          </cell>
          <cell r="BB136">
            <v>-20834</v>
          </cell>
          <cell r="BC136">
            <v>-20834</v>
          </cell>
          <cell r="BD136">
            <v>-20834</v>
          </cell>
          <cell r="BE136">
            <v>-20834</v>
          </cell>
          <cell r="BF136">
            <v>-20834</v>
          </cell>
          <cell r="BG136">
            <v>-20834</v>
          </cell>
          <cell r="BH136">
            <v>-20834</v>
          </cell>
          <cell r="BI136">
            <v>-20834</v>
          </cell>
          <cell r="BJ136">
            <v>-20834</v>
          </cell>
          <cell r="BK136">
            <v>-20834</v>
          </cell>
          <cell r="BL136">
            <v>-20834</v>
          </cell>
          <cell r="BM136">
            <v>-20834</v>
          </cell>
          <cell r="BN136">
            <v>-20834</v>
          </cell>
          <cell r="BO136">
            <v>-20834</v>
          </cell>
          <cell r="BP136">
            <v>-20834</v>
          </cell>
          <cell r="BQ136">
            <v>-20834</v>
          </cell>
          <cell r="BR136">
            <v>-20834</v>
          </cell>
          <cell r="BS136">
            <v>-20834</v>
          </cell>
          <cell r="BT136">
            <v>-20834</v>
          </cell>
          <cell r="BU136">
            <v>-20834</v>
          </cell>
          <cell r="BV136">
            <v>-20834</v>
          </cell>
          <cell r="BW136">
            <v>-20834</v>
          </cell>
          <cell r="BX136">
            <v>-20834</v>
          </cell>
          <cell r="BY136">
            <v>-20834</v>
          </cell>
          <cell r="BZ136">
            <v>-20834</v>
          </cell>
          <cell r="CA136">
            <v>-20834</v>
          </cell>
          <cell r="CB136">
            <v>-20834</v>
          </cell>
          <cell r="CC136">
            <v>-20834</v>
          </cell>
          <cell r="CD136">
            <v>-20834</v>
          </cell>
          <cell r="CE136">
            <v>-20834</v>
          </cell>
          <cell r="CF136">
            <v>-20834</v>
          </cell>
          <cell r="CG136">
            <v>-20834</v>
          </cell>
          <cell r="CH136">
            <v>-20834</v>
          </cell>
          <cell r="CI136">
            <v>-20834</v>
          </cell>
        </row>
        <row r="137"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</row>
        <row r="140">
          <cell r="P140">
            <v>10779033.407116769</v>
          </cell>
          <cell r="Q140">
            <v>9828894.9756299574</v>
          </cell>
          <cell r="R140">
            <v>9693594.0379177276</v>
          </cell>
          <cell r="S140">
            <v>9142703.2790880147</v>
          </cell>
          <cell r="T140">
            <v>13712897.766773378</v>
          </cell>
          <cell r="U140">
            <v>15739397.509926258</v>
          </cell>
          <cell r="V140">
            <v>15928118.608105397</v>
          </cell>
          <cell r="W140">
            <v>13255967.059085263</v>
          </cell>
          <cell r="X140">
            <v>10266448.549213409</v>
          </cell>
          <cell r="Y140">
            <v>5830155.0734660672</v>
          </cell>
          <cell r="Z140">
            <v>7137189.3453839235</v>
          </cell>
          <cell r="AA140">
            <v>7265399.3373998487</v>
          </cell>
          <cell r="AB140">
            <v>7953893.6992329815</v>
          </cell>
          <cell r="AC140">
            <v>7468143.6599204792</v>
          </cell>
          <cell r="AD140">
            <v>7122439.0154265258</v>
          </cell>
          <cell r="AE140">
            <v>7233311.5794561878</v>
          </cell>
          <cell r="AF140">
            <v>7976513.1268986166</v>
          </cell>
          <cell r="AG140">
            <v>11079972.53549587</v>
          </cell>
          <cell r="AH140">
            <v>13256565.602204403</v>
          </cell>
          <cell r="AI140">
            <v>12865515.315706052</v>
          </cell>
          <cell r="AJ140">
            <v>9924708.5320084337</v>
          </cell>
          <cell r="AK140">
            <v>8442723.9940573182</v>
          </cell>
          <cell r="AL140">
            <v>9492535.6847060174</v>
          </cell>
          <cell r="AM140">
            <v>9691471.6192866582</v>
          </cell>
          <cell r="AN140">
            <v>8039062.2026441982</v>
          </cell>
          <cell r="AO140">
            <v>7531273.5152156111</v>
          </cell>
          <cell r="AP140">
            <v>6391489.2210071264</v>
          </cell>
          <cell r="AQ140">
            <v>6910893.498824805</v>
          </cell>
          <cell r="AR140">
            <v>7751864.4987857891</v>
          </cell>
          <cell r="AS140">
            <v>10771390.065123413</v>
          </cell>
          <cell r="AT140">
            <v>13140091.704849087</v>
          </cell>
          <cell r="AU140">
            <v>12714739.454804076</v>
          </cell>
          <cell r="AV140">
            <v>9753885.5335845947</v>
          </cell>
          <cell r="AW140">
            <v>6348043.0601282101</v>
          </cell>
          <cell r="AX140">
            <v>7232188.5240227021</v>
          </cell>
          <cell r="AY140">
            <v>7623627.8942990014</v>
          </cell>
          <cell r="AZ140">
            <v>9320032.7002084721</v>
          </cell>
          <cell r="BA140">
            <v>8762793.9039083533</v>
          </cell>
          <cell r="BB140">
            <v>8960092.622831475</v>
          </cell>
          <cell r="BC140">
            <v>4908895.3004466919</v>
          </cell>
          <cell r="BD140">
            <v>4786781.7221160242</v>
          </cell>
          <cell r="BE140">
            <v>9325858.0936129615</v>
          </cell>
          <cell r="BF140">
            <v>10663573.157314416</v>
          </cell>
          <cell r="BG140">
            <v>10468289.298915679</v>
          </cell>
          <cell r="BH140">
            <v>8204429.1522109285</v>
          </cell>
          <cell r="BI140">
            <v>7440636.4514404256</v>
          </cell>
          <cell r="BJ140">
            <v>8615490.6564483624</v>
          </cell>
          <cell r="BK140">
            <v>8861312.4343284797</v>
          </cell>
          <cell r="BL140">
            <v>8961157.4080090225</v>
          </cell>
          <cell r="BM140">
            <v>8502142.5041019209</v>
          </cell>
          <cell r="BN140">
            <v>7205454.6746719461</v>
          </cell>
          <cell r="BO140">
            <v>6682471.7142196931</v>
          </cell>
          <cell r="BP140">
            <v>8221268.5428491384</v>
          </cell>
          <cell r="BQ140">
            <v>9041582.4866792317</v>
          </cell>
          <cell r="BR140">
            <v>10094803.182551078</v>
          </cell>
          <cell r="BS140">
            <v>9926666.7113034185</v>
          </cell>
          <cell r="BT140">
            <v>8010550.2275731545</v>
          </cell>
          <cell r="BU140">
            <v>6405519.6612785291</v>
          </cell>
          <cell r="BV140">
            <v>8583781.7355284635</v>
          </cell>
          <cell r="BW140">
            <v>8699453.3874400835</v>
          </cell>
          <cell r="BX140">
            <v>9120685.1006331518</v>
          </cell>
          <cell r="BY140">
            <v>8652507.431694841</v>
          </cell>
          <cell r="BZ140">
            <v>7329903.3787232041</v>
          </cell>
          <cell r="CA140">
            <v>6796478.2921088422</v>
          </cell>
          <cell r="CB140">
            <v>8384855.9475182146</v>
          </cell>
          <cell r="CC140">
            <v>9209017.6105114445</v>
          </cell>
          <cell r="CD140">
            <v>10283767.278020481</v>
          </cell>
          <cell r="CE140">
            <v>10112732.635067629</v>
          </cell>
          <cell r="CF140">
            <v>8158758.3793825135</v>
          </cell>
          <cell r="CG140">
            <v>6522091.7594817486</v>
          </cell>
          <cell r="CH140">
            <v>8744383.6329364348</v>
          </cell>
          <cell r="CI140">
            <v>8862833.2756060399</v>
          </cell>
        </row>
        <row r="143">
          <cell r="P143">
            <v>10448432.518020594</v>
          </cell>
          <cell r="Q143">
            <v>8748655.0235280301</v>
          </cell>
          <cell r="R143">
            <v>7084775.9944316028</v>
          </cell>
          <cell r="S143">
            <v>6444183.2085629301</v>
          </cell>
          <cell r="T143">
            <v>8064103.346260488</v>
          </cell>
          <cell r="U143">
            <v>9621955.0478078853</v>
          </cell>
          <cell r="V143">
            <v>11581886.759319007</v>
          </cell>
        </row>
        <row r="144">
          <cell r="P144">
            <v>330600.88909617439</v>
          </cell>
          <cell r="Q144">
            <v>1080239.9521019273</v>
          </cell>
          <cell r="R144">
            <v>2608818.0434861248</v>
          </cell>
          <cell r="S144">
            <v>2698520.0705250846</v>
          </cell>
          <cell r="T144">
            <v>5648794.4205128904</v>
          </cell>
          <cell r="U144">
            <v>6117442.4621183723</v>
          </cell>
          <cell r="V144">
            <v>4346231.8487863895</v>
          </cell>
          <cell r="AB144">
            <v>7953893.6992329815</v>
          </cell>
          <cell r="AC144">
            <v>7468143.6599204792</v>
          </cell>
          <cell r="AD144">
            <v>7122439.0154265258</v>
          </cell>
          <cell r="AE144">
            <v>7233311.5794561878</v>
          </cell>
          <cell r="AF144">
            <v>7976513.1268986166</v>
          </cell>
          <cell r="AG144">
            <v>11079972.53549587</v>
          </cell>
          <cell r="AH144">
            <v>13256565.602204403</v>
          </cell>
          <cell r="AI144">
            <v>12865515.315706052</v>
          </cell>
          <cell r="AJ144">
            <v>9924708.5320084337</v>
          </cell>
          <cell r="AK144">
            <v>8442723.9940573182</v>
          </cell>
          <cell r="AL144">
            <v>9492535.6847060174</v>
          </cell>
          <cell r="AM144">
            <v>9691471.6192866582</v>
          </cell>
          <cell r="AN144">
            <v>8039062.2026441982</v>
          </cell>
          <cell r="AO144">
            <v>7531273.5152156111</v>
          </cell>
          <cell r="AP144">
            <v>6391489.2210071264</v>
          </cell>
          <cell r="AQ144">
            <v>6910893.498824805</v>
          </cell>
          <cell r="AR144">
            <v>7751864.4987857891</v>
          </cell>
          <cell r="AS144">
            <v>10771390.065123413</v>
          </cell>
          <cell r="AT144">
            <v>13140091.704849087</v>
          </cell>
          <cell r="AU144">
            <v>12714739.454804076</v>
          </cell>
          <cell r="AV144">
            <v>9753885.5335845947</v>
          </cell>
          <cell r="AW144">
            <v>6348043.0601282101</v>
          </cell>
          <cell r="AX144">
            <v>7232188.5240227021</v>
          </cell>
          <cell r="AY144">
            <v>7623627.8942990014</v>
          </cell>
          <cell r="AZ144">
            <v>9320032.7002084721</v>
          </cell>
          <cell r="BA144">
            <v>8762793.9039083533</v>
          </cell>
          <cell r="BB144">
            <v>8960092.622831475</v>
          </cell>
          <cell r="BC144">
            <v>4908895.3004466919</v>
          </cell>
          <cell r="BD144">
            <v>4786781.7221160242</v>
          </cell>
          <cell r="BE144">
            <v>9325858.0936129615</v>
          </cell>
          <cell r="BF144">
            <v>10663573.157314416</v>
          </cell>
          <cell r="BG144">
            <v>10468289.298915679</v>
          </cell>
          <cell r="BH144">
            <v>8204429.1522109285</v>
          </cell>
          <cell r="BI144">
            <v>7440636.4514404256</v>
          </cell>
          <cell r="BJ144">
            <v>8615490.6564483624</v>
          </cell>
          <cell r="BK144">
            <v>8861312.4343284797</v>
          </cell>
          <cell r="BL144">
            <v>8961157.4080090225</v>
          </cell>
          <cell r="BM144">
            <v>8502142.5041019209</v>
          </cell>
          <cell r="BN144">
            <v>7205454.6746719461</v>
          </cell>
          <cell r="BO144">
            <v>6682471.7142196931</v>
          </cell>
          <cell r="BP144">
            <v>8221268.5428491384</v>
          </cell>
          <cell r="BQ144">
            <v>9041582.4866792317</v>
          </cell>
          <cell r="BR144">
            <v>10094803.182551078</v>
          </cell>
          <cell r="BS144">
            <v>9926666.7113034185</v>
          </cell>
          <cell r="BT144">
            <v>8010550.2275731545</v>
          </cell>
          <cell r="BU144">
            <v>6405519.6612785291</v>
          </cell>
          <cell r="BV144">
            <v>8583781.7355284635</v>
          </cell>
          <cell r="BW144">
            <v>8699453.3874400835</v>
          </cell>
          <cell r="BX144">
            <v>9120685.1006331518</v>
          </cell>
          <cell r="BY144">
            <v>8652507.431694841</v>
          </cell>
          <cell r="BZ144">
            <v>7329903.3787232041</v>
          </cell>
          <cell r="CA144">
            <v>6796478.2921088422</v>
          </cell>
          <cell r="CB144">
            <v>8384855.9475182146</v>
          </cell>
          <cell r="CC144">
            <v>9209017.6105114445</v>
          </cell>
          <cell r="CD144">
            <v>10283767.278020481</v>
          </cell>
          <cell r="CE144">
            <v>10112732.635067629</v>
          </cell>
          <cell r="CF144">
            <v>8158758.3793825135</v>
          </cell>
          <cell r="CG144">
            <v>6522091.7594817486</v>
          </cell>
          <cell r="CH144">
            <v>8744383.6329364348</v>
          </cell>
          <cell r="CI144">
            <v>8862833.2756060399</v>
          </cell>
        </row>
        <row r="146">
          <cell r="P146">
            <v>46667</v>
          </cell>
          <cell r="Q146">
            <v>46667</v>
          </cell>
          <cell r="R146">
            <v>46667</v>
          </cell>
          <cell r="S146">
            <v>46667</v>
          </cell>
          <cell r="T146">
            <v>46667</v>
          </cell>
          <cell r="U146">
            <v>46667</v>
          </cell>
          <cell r="V146">
            <v>46667</v>
          </cell>
          <cell r="W146">
            <v>46667</v>
          </cell>
          <cell r="X146">
            <v>46667</v>
          </cell>
          <cell r="Y146">
            <v>46667</v>
          </cell>
          <cell r="Z146">
            <v>46667</v>
          </cell>
          <cell r="AA146">
            <v>46667</v>
          </cell>
          <cell r="AB146">
            <v>46667</v>
          </cell>
          <cell r="AC146">
            <v>46667</v>
          </cell>
          <cell r="AD146">
            <v>46667</v>
          </cell>
          <cell r="AE146">
            <v>46667</v>
          </cell>
          <cell r="AF146">
            <v>46667</v>
          </cell>
          <cell r="AG146">
            <v>46667</v>
          </cell>
          <cell r="AH146">
            <v>46667</v>
          </cell>
          <cell r="AI146">
            <v>46667</v>
          </cell>
          <cell r="AJ146">
            <v>46667</v>
          </cell>
          <cell r="AK146">
            <v>46667</v>
          </cell>
          <cell r="AL146">
            <v>46667</v>
          </cell>
          <cell r="AM146">
            <v>46667</v>
          </cell>
          <cell r="AN146">
            <v>46667</v>
          </cell>
          <cell r="AO146">
            <v>46667</v>
          </cell>
          <cell r="AP146">
            <v>46667</v>
          </cell>
          <cell r="AQ146">
            <v>46667</v>
          </cell>
          <cell r="AR146">
            <v>46667</v>
          </cell>
          <cell r="AS146">
            <v>46667</v>
          </cell>
          <cell r="AT146">
            <v>46667</v>
          </cell>
          <cell r="AU146">
            <v>46667</v>
          </cell>
          <cell r="AV146">
            <v>46667</v>
          </cell>
          <cell r="AW146">
            <v>46667</v>
          </cell>
          <cell r="AX146">
            <v>46667</v>
          </cell>
          <cell r="AY146">
            <v>46667</v>
          </cell>
          <cell r="AZ146">
            <v>46667</v>
          </cell>
          <cell r="BA146">
            <v>46667</v>
          </cell>
          <cell r="BB146">
            <v>46667</v>
          </cell>
          <cell r="BC146">
            <v>46667</v>
          </cell>
          <cell r="BD146">
            <v>46667</v>
          </cell>
          <cell r="BE146">
            <v>46667</v>
          </cell>
          <cell r="BF146">
            <v>46667</v>
          </cell>
          <cell r="BG146">
            <v>46667</v>
          </cell>
          <cell r="BH146">
            <v>46667</v>
          </cell>
          <cell r="BI146">
            <v>46667</v>
          </cell>
          <cell r="BJ146">
            <v>46667</v>
          </cell>
          <cell r="BK146">
            <v>46667</v>
          </cell>
          <cell r="BL146">
            <v>46667</v>
          </cell>
          <cell r="BM146">
            <v>46667</v>
          </cell>
          <cell r="BN146">
            <v>46667</v>
          </cell>
          <cell r="BO146">
            <v>46667</v>
          </cell>
          <cell r="BP146">
            <v>46667</v>
          </cell>
          <cell r="BQ146">
            <v>46667</v>
          </cell>
          <cell r="BR146">
            <v>46667</v>
          </cell>
          <cell r="BS146">
            <v>46667</v>
          </cell>
          <cell r="BT146">
            <v>46667</v>
          </cell>
          <cell r="BU146">
            <v>46667</v>
          </cell>
          <cell r="BV146">
            <v>46667</v>
          </cell>
          <cell r="BW146">
            <v>46667</v>
          </cell>
          <cell r="BX146">
            <v>46667</v>
          </cell>
          <cell r="BY146">
            <v>46667</v>
          </cell>
          <cell r="BZ146">
            <v>46667</v>
          </cell>
          <cell r="CA146">
            <v>46667</v>
          </cell>
          <cell r="CB146">
            <v>46667</v>
          </cell>
          <cell r="CC146">
            <v>46667</v>
          </cell>
          <cell r="CD146">
            <v>46667</v>
          </cell>
          <cell r="CE146">
            <v>46667</v>
          </cell>
          <cell r="CF146">
            <v>46667</v>
          </cell>
          <cell r="CG146">
            <v>46667</v>
          </cell>
          <cell r="CH146">
            <v>46667</v>
          </cell>
          <cell r="CI146">
            <v>46667</v>
          </cell>
        </row>
        <row r="150"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1641495.127466405</v>
          </cell>
          <cell r="X151">
            <v>1641495.127466405</v>
          </cell>
          <cell r="Y151">
            <v>1641495.127466405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</row>
        <row r="153">
          <cell r="P153">
            <v>945136.38424739568</v>
          </cell>
          <cell r="Q153">
            <v>-11459448.835752605</v>
          </cell>
          <cell r="R153">
            <v>1007939.9442473957</v>
          </cell>
          <cell r="S153">
            <v>1020913.1242473957</v>
          </cell>
          <cell r="T153">
            <v>946101.59424739575</v>
          </cell>
          <cell r="U153">
            <v>1020396.4142473957</v>
          </cell>
          <cell r="V153">
            <v>1021822.9742473958</v>
          </cell>
        </row>
        <row r="154">
          <cell r="P154">
            <v>1322404.2733435701</v>
          </cell>
          <cell r="Q154">
            <v>-10332541.883650677</v>
          </cell>
          <cell r="R154">
            <v>3663424.9877335206</v>
          </cell>
          <cell r="S154">
            <v>3766100.1947724801</v>
          </cell>
          <cell r="T154">
            <v>6641563.0147602865</v>
          </cell>
          <cell r="U154">
            <v>7184505.8763657678</v>
          </cell>
          <cell r="V154">
            <v>5414721.8230337854</v>
          </cell>
          <cell r="W154">
            <v>16572626.091806432</v>
          </cell>
          <cell r="X154">
            <v>13657968.951934578</v>
          </cell>
          <cell r="Y154">
            <v>9151029.5161872357</v>
          </cell>
          <cell r="Z154">
            <v>8885664.0806386881</v>
          </cell>
          <cell r="AA154">
            <v>9016056.8126546126</v>
          </cell>
          <cell r="AB154">
            <v>9634859.8264860194</v>
          </cell>
          <cell r="AC154">
            <v>9219108.6539735161</v>
          </cell>
          <cell r="AD154">
            <v>8867468.8538795635</v>
          </cell>
          <cell r="AE154">
            <v>8991574.0615092255</v>
          </cell>
          <cell r="AF154">
            <v>9658467.8483516537</v>
          </cell>
          <cell r="AG154">
            <v>12837707.973348908</v>
          </cell>
          <cell r="AH154">
            <v>15015757.15125744</v>
          </cell>
          <cell r="AI154">
            <v>14548821.75135909</v>
          </cell>
          <cell r="AJ154">
            <v>11684373.565061472</v>
          </cell>
          <cell r="AK154">
            <v>10130330.147910357</v>
          </cell>
          <cell r="AL154">
            <v>11250619.166959055</v>
          </cell>
          <cell r="AM154">
            <v>11451781.496339696</v>
          </cell>
          <cell r="AN154">
            <v>9727659.6096510738</v>
          </cell>
          <cell r="AO154">
            <v>9291269.7663584854</v>
          </cell>
          <cell r="AP154">
            <v>8145431.6134380009</v>
          </cell>
          <cell r="AQ154">
            <v>8678333.1877276804</v>
          </cell>
          <cell r="AR154">
            <v>9441470.271876663</v>
          </cell>
          <cell r="AS154">
            <v>12538292.168942288</v>
          </cell>
          <cell r="AT154">
            <v>14908479.042091962</v>
          </cell>
          <cell r="AU154">
            <v>14405723.976378951</v>
          </cell>
          <cell r="AV154">
            <v>11522755.824507469</v>
          </cell>
          <cell r="AW154">
            <v>8043413.2942670844</v>
          </cell>
          <cell r="AX154">
            <v>8999445.6331295762</v>
          </cell>
          <cell r="AY154">
            <v>9393155.9261018764</v>
          </cell>
          <cell r="AZ154">
            <v>11019117.962548578</v>
          </cell>
          <cell r="BA154">
            <v>10534705.987267179</v>
          </cell>
          <cell r="BB154">
            <v>10725829.770304061</v>
          </cell>
          <cell r="BC154">
            <v>6688399.6903207172</v>
          </cell>
          <cell r="BD154">
            <v>6486895.5178618096</v>
          </cell>
          <cell r="BE154">
            <v>11104814.146701306</v>
          </cell>
          <cell r="BF154">
            <v>12444044.148495242</v>
          </cell>
          <cell r="BG154">
            <v>12169809.418115145</v>
          </cell>
          <cell r="BH154">
            <v>9985392.7561453544</v>
          </cell>
          <cell r="BI154">
            <v>9146629.9974551704</v>
          </cell>
          <cell r="BJ154">
            <v>10394808.814930469</v>
          </cell>
          <cell r="BK154">
            <v>10642946.933960505</v>
          </cell>
          <cell r="BL154">
            <v>10666267.304246034</v>
          </cell>
          <cell r="BM154">
            <v>10281535.757778028</v>
          </cell>
          <cell r="BN154">
            <v>8978549.4937440883</v>
          </cell>
          <cell r="BO154">
            <v>8469609.1205413043</v>
          </cell>
          <cell r="BP154">
            <v>9927427.5431599449</v>
          </cell>
          <cell r="BQ154">
            <v>10828160.58947945</v>
          </cell>
          <cell r="BR154">
            <v>11882926.522205625</v>
          </cell>
          <cell r="BS154">
            <v>11634260.161536979</v>
          </cell>
          <cell r="BT154">
            <v>9799176.0322363731</v>
          </cell>
          <cell r="BU154">
            <v>8117676.0068636741</v>
          </cell>
          <cell r="BV154">
            <v>10370729.185830316</v>
          </cell>
          <cell r="BW154">
            <v>10488763.505714854</v>
          </cell>
          <cell r="BX154">
            <v>10849368.971820667</v>
          </cell>
          <cell r="BY154">
            <v>10456960.327470232</v>
          </cell>
          <cell r="BZ154">
            <v>9127931.8712025508</v>
          </cell>
          <cell r="CA154">
            <v>8608830.2235826477</v>
          </cell>
          <cell r="CB154">
            <v>10114609.904860999</v>
          </cell>
          <cell r="CC154">
            <v>11020799.052393429</v>
          </cell>
          <cell r="CD154">
            <v>12097124.861493882</v>
          </cell>
          <cell r="CE154">
            <v>11843949.731331622</v>
          </cell>
          <cell r="CF154">
            <v>9972628.4771647602</v>
          </cell>
          <cell r="CG154">
            <v>8257963.0090043591</v>
          </cell>
          <cell r="CH154">
            <v>10556541.809270088</v>
          </cell>
          <cell r="CI154">
            <v>10677401.373272069</v>
          </cell>
        </row>
        <row r="157">
          <cell r="P157">
            <v>1438829.6666280627</v>
          </cell>
          <cell r="Q157">
            <v>1328605.2155107392</v>
          </cell>
          <cell r="R157">
            <v>1262757.5783351806</v>
          </cell>
          <cell r="S157">
            <v>1224716.2847481293</v>
          </cell>
          <cell r="T157">
            <v>1147491.8178953698</v>
          </cell>
          <cell r="U157">
            <v>1316162.8838437709</v>
          </cell>
          <cell r="V157">
            <v>1650191.8123996011</v>
          </cell>
          <cell r="W157">
            <v>6608398.4827762078</v>
          </cell>
          <cell r="X157">
            <v>6092842.9793938994</v>
          </cell>
          <cell r="Y157">
            <v>4956052.5133793652</v>
          </cell>
          <cell r="Z157">
            <v>4618134.3744643535</v>
          </cell>
          <cell r="AA157">
            <v>4968533.9703230355</v>
          </cell>
          <cell r="AB157">
            <v>5599461.1284016781</v>
          </cell>
          <cell r="AC157">
            <v>5166553.2213002462</v>
          </cell>
          <cell r="AD157">
            <v>4907604.9945818828</v>
          </cell>
          <cell r="AE157">
            <v>4756822.2826137505</v>
          </cell>
          <cell r="AF157">
            <v>4451490.4413344599</v>
          </cell>
          <cell r="AG157">
            <v>4550347.6340378914</v>
          </cell>
          <cell r="AH157">
            <v>5720195.1026962325</v>
          </cell>
          <cell r="AI157">
            <v>5980715.5398885468</v>
          </cell>
          <cell r="AJ157">
            <v>5509454.5809060736</v>
          </cell>
          <cell r="AK157">
            <v>4470154.4855075562</v>
          </cell>
          <cell r="AL157">
            <v>4161557.6711035836</v>
          </cell>
          <cell r="AM157">
            <v>4482195.88951761</v>
          </cell>
          <cell r="AN157">
            <v>5114818.8501228178</v>
          </cell>
          <cell r="AO157">
            <v>4718859.2642384376</v>
          </cell>
          <cell r="AP157">
            <v>4481578.7198431762</v>
          </cell>
          <cell r="AQ157">
            <v>4342948.8893638505</v>
          </cell>
          <cell r="AR157">
            <v>4062540.4845075971</v>
          </cell>
          <cell r="AS157">
            <v>4280242.4806570252</v>
          </cell>
          <cell r="AT157">
            <v>5383682.3978623878</v>
          </cell>
          <cell r="AU157">
            <v>5629356.5549697047</v>
          </cell>
          <cell r="AV157">
            <v>5184286.5867334027</v>
          </cell>
          <cell r="AW157">
            <v>4204132.2050599521</v>
          </cell>
          <cell r="AX157">
            <v>3913191.8705937341</v>
          </cell>
          <cell r="AY157">
            <v>4216852.0649252888</v>
          </cell>
          <cell r="AZ157">
            <v>4813167.7017337251</v>
          </cell>
          <cell r="BA157">
            <v>4440708.7030308675</v>
          </cell>
          <cell r="BB157">
            <v>4217638.299632444</v>
          </cell>
          <cell r="BC157">
            <v>4086427.065541618</v>
          </cell>
          <cell r="BD157">
            <v>3822583.1873924397</v>
          </cell>
          <cell r="BE157">
            <v>3834821.5234539369</v>
          </cell>
          <cell r="BF157">
            <v>4824894.4473420447</v>
          </cell>
          <cell r="BG157">
            <v>5045024.1017385935</v>
          </cell>
          <cell r="BH157">
            <v>4645433.2949885726</v>
          </cell>
          <cell r="BI157">
            <v>3766088.3557700948</v>
          </cell>
          <cell r="BJ157">
            <v>3504766.7976390757</v>
          </cell>
          <cell r="BK157">
            <v>3777046.8074058834</v>
          </cell>
          <cell r="BL157">
            <v>4311559.7535314262</v>
          </cell>
          <cell r="BM157">
            <v>3978093.101444154</v>
          </cell>
          <cell r="BN157">
            <v>3778504.0896577938</v>
          </cell>
          <cell r="BO157">
            <v>3660309.3345391732</v>
          </cell>
          <cell r="BP157">
            <v>3424033.1322200131</v>
          </cell>
          <cell r="BQ157">
            <v>2148381.4658018425</v>
          </cell>
          <cell r="BR157">
            <v>2703791.76137819</v>
          </cell>
          <cell r="BS157">
            <v>2827106.9826693251</v>
          </cell>
          <cell r="BT157">
            <v>2602820.5330209984</v>
          </cell>
          <cell r="BU157">
            <v>2109580.7545594084</v>
          </cell>
          <cell r="BV157">
            <v>1962830.8381477494</v>
          </cell>
          <cell r="BW157">
            <v>2115442.9543761136</v>
          </cell>
          <cell r="BX157">
            <v>2402789.8410835862</v>
          </cell>
          <cell r="BY157">
            <v>2217071.9546618452</v>
          </cell>
          <cell r="BZ157">
            <v>2105993.5465747803</v>
          </cell>
          <cell r="CA157">
            <v>2039769.0456091394</v>
          </cell>
          <cell r="CB157">
            <v>1908158.1085660001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</row>
        <row r="158">
          <cell r="W158">
            <v>10249057.310706181</v>
          </cell>
          <cell r="X158">
            <v>3353574.1246445929</v>
          </cell>
          <cell r="Y158">
            <v>2600429.0401705918</v>
          </cell>
          <cell r="Z158">
            <v>3834560.2900274293</v>
          </cell>
          <cell r="AA158">
            <v>3908269.2563094813</v>
          </cell>
          <cell r="AB158">
            <v>4741095.3145354567</v>
          </cell>
          <cell r="AC158">
            <v>4212420.2623923607</v>
          </cell>
          <cell r="AD158">
            <v>3647557.130166187</v>
          </cell>
          <cell r="AE158">
            <v>3207714.0543914768</v>
          </cell>
          <cell r="AF158">
            <v>2127691.0799684054</v>
          </cell>
          <cell r="AG158">
            <v>5499569.6677519344</v>
          </cell>
          <cell r="AH158">
            <v>14751153.731684698</v>
          </cell>
          <cell r="AI158">
            <v>9021874.6847183052</v>
          </cell>
          <cell r="AJ158">
            <v>3038766.1243958077</v>
          </cell>
          <cell r="AK158">
            <v>2649504.4535395089</v>
          </cell>
          <cell r="AL158">
            <v>3802366.1335132979</v>
          </cell>
          <cell r="AM158">
            <v>3812787.0684455237</v>
          </cell>
          <cell r="AN158">
            <v>4690441.9909305861</v>
          </cell>
          <cell r="AO158">
            <v>4124539.4531205921</v>
          </cell>
          <cell r="AP158">
            <v>2620658.0213839514</v>
          </cell>
          <cell r="AQ158">
            <v>2497221.3949736501</v>
          </cell>
          <cell r="AR158">
            <v>2084437.7032965666</v>
          </cell>
          <cell r="AS158">
            <v>5101149.8206260912</v>
          </cell>
          <cell r="AT158">
            <v>13896141.285577293</v>
          </cell>
          <cell r="AU158">
            <v>8650669.1295119151</v>
          </cell>
          <cell r="AV158">
            <v>3155476.0350371874</v>
          </cell>
          <cell r="AW158">
            <v>2587362.9653113992</v>
          </cell>
          <cell r="AX158">
            <v>3624097.4641834772</v>
          </cell>
          <cell r="AY158">
            <v>3784331.3248475594</v>
          </cell>
          <cell r="AZ158">
            <v>4818957.7496210001</v>
          </cell>
          <cell r="BA158">
            <v>4310839.0449375752</v>
          </cell>
          <cell r="BB158">
            <v>4242894.5347458255</v>
          </cell>
          <cell r="BC158">
            <v>729384.04368</v>
          </cell>
          <cell r="BD158">
            <v>561795.93090886984</v>
          </cell>
          <cell r="BE158">
            <v>5346702.5381323164</v>
          </cell>
          <cell r="BF158">
            <v>14466666.65532</v>
          </cell>
          <cell r="BG158">
            <v>9037874.868984405</v>
          </cell>
          <cell r="BH158">
            <v>3392558.3555540745</v>
          </cell>
          <cell r="BI158">
            <v>2675731.2601815271</v>
          </cell>
          <cell r="BJ158">
            <v>3676934.5009746053</v>
          </cell>
          <cell r="BK158">
            <v>3819715.1305033374</v>
          </cell>
          <cell r="BL158">
            <v>4617246.1495200992</v>
          </cell>
          <cell r="BM158">
            <v>4133193.7722956329</v>
          </cell>
          <cell r="BN158">
            <v>2520505.8647698197</v>
          </cell>
          <cell r="BO158">
            <v>2450685.6432720004</v>
          </cell>
          <cell r="BP158">
            <v>3776461.5287775751</v>
          </cell>
          <cell r="BQ158">
            <v>5222678.5549801942</v>
          </cell>
          <cell r="BR158">
            <v>13855253.340762598</v>
          </cell>
          <cell r="BS158">
            <v>8663864.5251541939</v>
          </cell>
          <cell r="BT158">
            <v>3294213.3749206252</v>
          </cell>
          <cell r="BU158">
            <v>1736498.5895437475</v>
          </cell>
          <cell r="BV158">
            <v>3748420.0809156629</v>
          </cell>
          <cell r="BW158">
            <v>3780183.8700964074</v>
          </cell>
          <cell r="BX158">
            <v>3780183.8700964074</v>
          </cell>
          <cell r="BY158">
            <v>3780183.8700964074</v>
          </cell>
          <cell r="BZ158">
            <v>3780183.8700964074</v>
          </cell>
          <cell r="CA158">
            <v>3780183.8700964074</v>
          </cell>
          <cell r="CB158">
            <v>3780183.8700964074</v>
          </cell>
          <cell r="CC158">
            <v>3780183.8700964074</v>
          </cell>
          <cell r="CD158">
            <v>3780183.8700964074</v>
          </cell>
          <cell r="CE158">
            <v>3780183.8700964074</v>
          </cell>
          <cell r="CF158">
            <v>3780183.8700964074</v>
          </cell>
          <cell r="CG158">
            <v>3780183.8700964074</v>
          </cell>
          <cell r="CH158">
            <v>3780183.8700964074</v>
          </cell>
          <cell r="CI158">
            <v>3780183.8700964074</v>
          </cell>
        </row>
        <row r="159">
          <cell r="W159">
            <v>986240.60938016325</v>
          </cell>
          <cell r="X159">
            <v>521141.7390202856</v>
          </cell>
          <cell r="Y159">
            <v>783934.3544392389</v>
          </cell>
          <cell r="Z159">
            <v>745501.48870250327</v>
          </cell>
          <cell r="AA159">
            <v>722960.53836485057</v>
          </cell>
          <cell r="AB159">
            <v>863775.6353072034</v>
          </cell>
          <cell r="AC159">
            <v>753175.35336931073</v>
          </cell>
          <cell r="AD159">
            <v>388180.78887711192</v>
          </cell>
          <cell r="AE159">
            <v>736926.99451529013</v>
          </cell>
          <cell r="AF159">
            <v>596471.40115946182</v>
          </cell>
          <cell r="AG159">
            <v>694420.29614740901</v>
          </cell>
          <cell r="AH159">
            <v>1482999.3589760433</v>
          </cell>
          <cell r="AI159">
            <v>976018.02389259788</v>
          </cell>
          <cell r="AJ159">
            <v>512468.14288459509</v>
          </cell>
          <cell r="AK159">
            <v>787024.85348462407</v>
          </cell>
          <cell r="AL159">
            <v>744412.66180194181</v>
          </cell>
          <cell r="AM159">
            <v>720002.37406635075</v>
          </cell>
          <cell r="AN159">
            <v>864913.8592340321</v>
          </cell>
          <cell r="AO159">
            <v>784444.56356668822</v>
          </cell>
          <cell r="AP159">
            <v>436880.41654225095</v>
          </cell>
          <cell r="AQ159">
            <v>670229.5371423699</v>
          </cell>
          <cell r="AR159">
            <v>611061.72369035205</v>
          </cell>
          <cell r="AS159">
            <v>715945.88500631752</v>
          </cell>
          <cell r="AT159">
            <v>1540844.5563738586</v>
          </cell>
          <cell r="AU159">
            <v>1025512.3125898379</v>
          </cell>
          <cell r="AV159">
            <v>547235.41012572474</v>
          </cell>
          <cell r="AW159">
            <v>790229.84558429453</v>
          </cell>
          <cell r="AX159">
            <v>745430.01241673832</v>
          </cell>
          <cell r="AY159">
            <v>718566.53157067357</v>
          </cell>
          <cell r="AZ159">
            <v>869794.57438725652</v>
          </cell>
          <cell r="BA159">
            <v>789699.50052053807</v>
          </cell>
          <cell r="BB159">
            <v>437738.07623335515</v>
          </cell>
          <cell r="BC159">
            <v>568420.72303999995</v>
          </cell>
          <cell r="BD159">
            <v>429215.41596389632</v>
          </cell>
          <cell r="BE159">
            <v>757852.05092158366</v>
          </cell>
          <cell r="BF159">
            <v>1618326.69264</v>
          </cell>
          <cell r="BG159">
            <v>1080994.8841703571</v>
          </cell>
          <cell r="BH159">
            <v>608846.75850767212</v>
          </cell>
          <cell r="BI159">
            <v>799936.71265768947</v>
          </cell>
          <cell r="BJ159">
            <v>747774.11671408964</v>
          </cell>
          <cell r="BK159">
            <v>718477.41283309017</v>
          </cell>
          <cell r="BL159">
            <v>887263.75728611683</v>
          </cell>
          <cell r="BM159">
            <v>805571.41589333478</v>
          </cell>
          <cell r="BN159">
            <v>446531.47136171377</v>
          </cell>
          <cell r="BO159">
            <v>579789.13750079996</v>
          </cell>
          <cell r="BP159">
            <v>437834.95533621358</v>
          </cell>
          <cell r="BQ159">
            <v>773047.37171914219</v>
          </cell>
          <cell r="BR159">
            <v>1650693.2264927998</v>
          </cell>
          <cell r="BS159">
            <v>1102686.131184767</v>
          </cell>
          <cell r="BT159">
            <v>621057.95243254362</v>
          </cell>
          <cell r="BU159">
            <v>816007.25008718472</v>
          </cell>
          <cell r="BV159">
            <v>762788.37706478417</v>
          </cell>
          <cell r="BW159">
            <v>732911.76408666698</v>
          </cell>
          <cell r="BX159">
            <v>732911.76408666698</v>
          </cell>
          <cell r="BY159">
            <v>732911.76408666698</v>
          </cell>
          <cell r="BZ159">
            <v>732911.76408666698</v>
          </cell>
          <cell r="CA159">
            <v>732911.76408666698</v>
          </cell>
          <cell r="CB159">
            <v>732911.76408666698</v>
          </cell>
          <cell r="CC159">
            <v>732911.76408666698</v>
          </cell>
          <cell r="CD159">
            <v>732911.76408666698</v>
          </cell>
          <cell r="CE159">
            <v>732911.76408666698</v>
          </cell>
          <cell r="CF159">
            <v>732911.76408666698</v>
          </cell>
          <cell r="CG159">
            <v>732911.76408666698</v>
          </cell>
          <cell r="CH159">
            <v>732911.76408666698</v>
          </cell>
          <cell r="CI159">
            <v>732911.76408666698</v>
          </cell>
        </row>
        <row r="160">
          <cell r="W160">
            <v>1543109.2220936525</v>
          </cell>
          <cell r="X160">
            <v>767159.45958833327</v>
          </cell>
          <cell r="Y160">
            <v>610184.85837850266</v>
          </cell>
          <cell r="Z160">
            <v>994747.36890791473</v>
          </cell>
          <cell r="AA160">
            <v>1159427.7116284852</v>
          </cell>
          <cell r="AB160">
            <v>1357065.1241830322</v>
          </cell>
          <cell r="AC160">
            <v>1226270.7612971715</v>
          </cell>
          <cell r="AD160">
            <v>1213930.3386452938</v>
          </cell>
          <cell r="AE160">
            <v>1403065.2696499224</v>
          </cell>
          <cell r="AF160">
            <v>934481.54097778571</v>
          </cell>
          <cell r="AG160">
            <v>1089966.2641336848</v>
          </cell>
          <cell r="AH160">
            <v>2315040.5514219473</v>
          </cell>
          <cell r="AI160">
            <v>1530342.7522800788</v>
          </cell>
          <cell r="AJ160">
            <v>715031.86602329777</v>
          </cell>
          <cell r="AK160">
            <v>612400.33708713658</v>
          </cell>
          <cell r="AL160">
            <v>1034163.0429876364</v>
          </cell>
          <cell r="AM160">
            <v>1151985.3260418347</v>
          </cell>
          <cell r="AN160">
            <v>1366325.7031844342</v>
          </cell>
          <cell r="AO160">
            <v>1235517.1099716653</v>
          </cell>
          <cell r="AP160">
            <v>1249455.3144712693</v>
          </cell>
          <cell r="AQ160">
            <v>1455127.414085818</v>
          </cell>
          <cell r="AR160">
            <v>960224.22742011177</v>
          </cell>
          <cell r="AS160">
            <v>1123202.8335200844</v>
          </cell>
          <cell r="AT160">
            <v>2416388.1134543405</v>
          </cell>
          <cell r="AU160">
            <v>1610694.0946457146</v>
          </cell>
          <cell r="AV160">
            <v>868631.70854066953</v>
          </cell>
          <cell r="AW160">
            <v>614609.03412998212</v>
          </cell>
          <cell r="AX160">
            <v>919711.51774473966</v>
          </cell>
          <cell r="AY160">
            <v>1145803.6611509954</v>
          </cell>
          <cell r="AZ160">
            <v>1219816.177464098</v>
          </cell>
          <cell r="BA160">
            <v>1103358.3439771137</v>
          </cell>
          <cell r="BB160">
            <v>1126862.5737578725</v>
          </cell>
          <cell r="BC160">
            <v>1372301.9055199998</v>
          </cell>
          <cell r="BD160">
            <v>977150.05905242916</v>
          </cell>
          <cell r="BE160">
            <v>1139281.5230139021</v>
          </cell>
          <cell r="BF160">
            <v>2448132.6107900003</v>
          </cell>
          <cell r="BG160">
            <v>1632541.2547174771</v>
          </cell>
          <cell r="BH160">
            <v>886427.15319935686</v>
          </cell>
          <cell r="BI160">
            <v>567473.1866106469</v>
          </cell>
          <cell r="BJ160">
            <v>813017.36714313016</v>
          </cell>
          <cell r="BK160">
            <v>992007.40204171615</v>
          </cell>
          <cell r="BL160">
            <v>1244315.2862589771</v>
          </cell>
          <cell r="BM160">
            <v>1125534.3872061272</v>
          </cell>
          <cell r="BN160">
            <v>1149499.2791404077</v>
          </cell>
          <cell r="BO160">
            <v>1399747.9436303999</v>
          </cell>
          <cell r="BP160">
            <v>996773.26710461383</v>
          </cell>
          <cell r="BQ160">
            <v>1162124.6995941796</v>
          </cell>
          <cell r="BR160">
            <v>2497095.2630058001</v>
          </cell>
          <cell r="BS160">
            <v>1665299.8330751066</v>
          </cell>
          <cell r="BT160">
            <v>904205.57398707746</v>
          </cell>
          <cell r="BU160">
            <v>578873.5873440532</v>
          </cell>
          <cell r="BV160">
            <v>829341.62088109483</v>
          </cell>
          <cell r="BW160">
            <v>1011937.0240889228</v>
          </cell>
          <cell r="BX160">
            <v>1011937.0240889228</v>
          </cell>
          <cell r="BY160">
            <v>1011937.0240889228</v>
          </cell>
          <cell r="BZ160">
            <v>1011937.0240889228</v>
          </cell>
          <cell r="CA160">
            <v>1011937.0240889228</v>
          </cell>
          <cell r="CB160">
            <v>1011937.0240889228</v>
          </cell>
          <cell r="CC160">
            <v>1011937.0240889228</v>
          </cell>
          <cell r="CD160">
            <v>1011937.0240889228</v>
          </cell>
          <cell r="CE160">
            <v>1011937.0240889228</v>
          </cell>
          <cell r="CF160">
            <v>1011937.0240889228</v>
          </cell>
          <cell r="CG160">
            <v>1011937.0240889228</v>
          </cell>
          <cell r="CH160">
            <v>1011937.0240889228</v>
          </cell>
          <cell r="CI160">
            <v>1011937.0240889228</v>
          </cell>
        </row>
        <row r="162">
          <cell r="P162">
            <v>3750</v>
          </cell>
          <cell r="Q162">
            <v>3750</v>
          </cell>
          <cell r="R162">
            <v>3750</v>
          </cell>
          <cell r="S162">
            <v>3750</v>
          </cell>
          <cell r="T162">
            <v>3750</v>
          </cell>
          <cell r="U162">
            <v>3750</v>
          </cell>
          <cell r="V162">
            <v>3750</v>
          </cell>
          <cell r="W162">
            <v>3750</v>
          </cell>
          <cell r="X162">
            <v>3750</v>
          </cell>
          <cell r="Y162">
            <v>3750</v>
          </cell>
          <cell r="Z162">
            <v>3750</v>
          </cell>
          <cell r="AA162">
            <v>3750</v>
          </cell>
          <cell r="AB162">
            <v>3750</v>
          </cell>
          <cell r="AC162">
            <v>3750</v>
          </cell>
          <cell r="AD162">
            <v>3750</v>
          </cell>
          <cell r="AE162">
            <v>3750</v>
          </cell>
          <cell r="AF162">
            <v>3750</v>
          </cell>
          <cell r="AG162">
            <v>3750</v>
          </cell>
          <cell r="AH162">
            <v>3750</v>
          </cell>
          <cell r="AI162">
            <v>3750</v>
          </cell>
          <cell r="AJ162">
            <v>3750</v>
          </cell>
          <cell r="AK162">
            <v>3750</v>
          </cell>
          <cell r="AL162">
            <v>3750</v>
          </cell>
          <cell r="AM162">
            <v>3750</v>
          </cell>
          <cell r="AN162">
            <v>3750</v>
          </cell>
          <cell r="AO162">
            <v>3750</v>
          </cell>
          <cell r="AP162">
            <v>3750</v>
          </cell>
          <cell r="AQ162">
            <v>3750</v>
          </cell>
          <cell r="AR162">
            <v>3750</v>
          </cell>
          <cell r="AS162">
            <v>3750</v>
          </cell>
          <cell r="AT162">
            <v>3750</v>
          </cell>
          <cell r="AU162">
            <v>3750</v>
          </cell>
          <cell r="AV162">
            <v>3750</v>
          </cell>
          <cell r="AW162">
            <v>3750</v>
          </cell>
          <cell r="AX162">
            <v>3750</v>
          </cell>
          <cell r="AY162">
            <v>3750</v>
          </cell>
          <cell r="AZ162">
            <v>3750</v>
          </cell>
          <cell r="BA162">
            <v>3750</v>
          </cell>
          <cell r="BB162">
            <v>3750</v>
          </cell>
          <cell r="BC162">
            <v>3750</v>
          </cell>
          <cell r="BD162">
            <v>3750</v>
          </cell>
          <cell r="BE162">
            <v>3750</v>
          </cell>
          <cell r="BF162">
            <v>3750</v>
          </cell>
          <cell r="BG162">
            <v>3750</v>
          </cell>
          <cell r="BH162">
            <v>3750</v>
          </cell>
          <cell r="BI162">
            <v>3750</v>
          </cell>
          <cell r="BJ162">
            <v>3750</v>
          </cell>
          <cell r="BK162">
            <v>3750</v>
          </cell>
          <cell r="BL162">
            <v>3750</v>
          </cell>
          <cell r="BM162">
            <v>3750</v>
          </cell>
          <cell r="BN162">
            <v>3750</v>
          </cell>
          <cell r="BO162">
            <v>3750</v>
          </cell>
          <cell r="BP162">
            <v>3750</v>
          </cell>
          <cell r="BQ162">
            <v>3750</v>
          </cell>
          <cell r="BR162">
            <v>3750</v>
          </cell>
          <cell r="BS162">
            <v>3750</v>
          </cell>
          <cell r="BT162">
            <v>3750</v>
          </cell>
          <cell r="BU162">
            <v>3750</v>
          </cell>
          <cell r="BV162">
            <v>3750</v>
          </cell>
          <cell r="BW162">
            <v>3750</v>
          </cell>
          <cell r="BX162">
            <v>3751</v>
          </cell>
          <cell r="BY162">
            <v>3752</v>
          </cell>
          <cell r="BZ162">
            <v>3753</v>
          </cell>
          <cell r="CA162">
            <v>3754</v>
          </cell>
          <cell r="CB162">
            <v>3755</v>
          </cell>
          <cell r="CC162">
            <v>3756</v>
          </cell>
          <cell r="CD162">
            <v>3757</v>
          </cell>
          <cell r="CE162">
            <v>3758</v>
          </cell>
          <cell r="CF162">
            <v>3759</v>
          </cell>
          <cell r="CG162">
            <v>3760</v>
          </cell>
          <cell r="CH162">
            <v>3761</v>
          </cell>
          <cell r="CI162">
            <v>3762</v>
          </cell>
        </row>
        <row r="165">
          <cell r="P165">
            <v>2402.8455432688647</v>
          </cell>
          <cell r="Q165">
            <v>2218.7707099029344</v>
          </cell>
          <cell r="R165">
            <v>2108.8051558197517</v>
          </cell>
          <cell r="S165">
            <v>2045.2761955293761</v>
          </cell>
          <cell r="T165">
            <v>1916.3113358852677</v>
          </cell>
          <cell r="U165">
            <v>2197.9920160190977</v>
          </cell>
          <cell r="V165">
            <v>2755.8203267073341</v>
          </cell>
          <cell r="W165">
            <v>33000.689923363738</v>
          </cell>
          <cell r="X165">
            <v>30426.134628348053</v>
          </cell>
          <cell r="Y165">
            <v>24749.287238688208</v>
          </cell>
          <cell r="Z165">
            <v>23061.808532481082</v>
          </cell>
          <cell r="AA165">
            <v>24811.616514299996</v>
          </cell>
          <cell r="AB165">
            <v>27962.309009955265</v>
          </cell>
          <cell r="AC165">
            <v>25800.475148867816</v>
          </cell>
          <cell r="AD165">
            <v>24507.352441692725</v>
          </cell>
          <cell r="AE165">
            <v>23754.38127380237</v>
          </cell>
          <cell r="AF165">
            <v>22229.630391413346</v>
          </cell>
          <cell r="AG165">
            <v>22723.298497476615</v>
          </cell>
          <cell r="AH165">
            <v>28565.224294088781</v>
          </cell>
          <cell r="AI165">
            <v>29866.198227318004</v>
          </cell>
          <cell r="AJ165">
            <v>27512.838813398965</v>
          </cell>
          <cell r="AK165">
            <v>22322.833962002769</v>
          </cell>
          <cell r="AL165">
            <v>20781.778620073106</v>
          </cell>
          <cell r="AM165">
            <v>22382.965723278001</v>
          </cell>
          <cell r="AN165">
            <v>25542.126632800326</v>
          </cell>
          <cell r="AO165">
            <v>23564.803450790234</v>
          </cell>
          <cell r="AP165">
            <v>22379.883732216433</v>
          </cell>
          <cell r="AQ165">
            <v>21687.601016260684</v>
          </cell>
          <cell r="AR165">
            <v>20287.311544509605</v>
          </cell>
          <cell r="AS165">
            <v>21374.460887780413</v>
          </cell>
          <cell r="AT165">
            <v>26884.7639743248</v>
          </cell>
          <cell r="AU165">
            <v>28111.599296379834</v>
          </cell>
          <cell r="AV165">
            <v>25889.031142499298</v>
          </cell>
          <cell r="AW165">
            <v>20994.385199017823</v>
          </cell>
          <cell r="AX165">
            <v>19541.501903777476</v>
          </cell>
          <cell r="AY165">
            <v>21057.904999220744</v>
          </cell>
          <cell r="AZ165">
            <v>24035.756210532971</v>
          </cell>
          <cell r="BA165">
            <v>22175.789085759781</v>
          </cell>
          <cell r="BB165">
            <v>21061.831258789636</v>
          </cell>
          <cell r="BC165">
            <v>20406.595158548094</v>
          </cell>
          <cell r="BD165">
            <v>19089.024792040698</v>
          </cell>
          <cell r="BE165">
            <v>19150.139982747845</v>
          </cell>
          <cell r="BF165">
            <v>24094.316646413878</v>
          </cell>
          <cell r="BG165">
            <v>25193.589108056389</v>
          </cell>
          <cell r="BH165">
            <v>23198.132516848855</v>
          </cell>
          <cell r="BI165">
            <v>18806.903726626653</v>
          </cell>
          <cell r="BJ165">
            <v>17501.929195709992</v>
          </cell>
          <cell r="BK165">
            <v>18861.627494482789</v>
          </cell>
          <cell r="BL165">
            <v>21530.851519197226</v>
          </cell>
          <cell r="BM165">
            <v>19865.602425336372</v>
          </cell>
          <cell r="BN165">
            <v>18868.904797728639</v>
          </cell>
          <cell r="BO165">
            <v>18278.669739354867</v>
          </cell>
          <cell r="BP165">
            <v>17098.765454023611</v>
          </cell>
          <cell r="BQ165">
            <v>10728.47994484799</v>
          </cell>
          <cell r="BR165">
            <v>13502.060108382255</v>
          </cell>
          <cell r="BS165">
            <v>14117.865494704805</v>
          </cell>
          <cell r="BT165">
            <v>12997.8350367737</v>
          </cell>
          <cell r="BU165">
            <v>10534.71889308095</v>
          </cell>
          <cell r="BV165">
            <v>9801.88649800024</v>
          </cell>
          <cell r="BW165">
            <v>10563.99325341545</v>
          </cell>
          <cell r="BX165">
            <v>11998.931768910959</v>
          </cell>
          <cell r="BY165">
            <v>11071.50307359267</v>
          </cell>
          <cell r="BZ165">
            <v>10516.805273207603</v>
          </cell>
          <cell r="CA165">
            <v>10186.096671510488</v>
          </cell>
          <cell r="CB165">
            <v>9528.8645546513144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</row>
        <row r="166">
          <cell r="P166">
            <v>1440176.8210847939</v>
          </cell>
          <cell r="Q166">
            <v>1330136.4448008363</v>
          </cell>
          <cell r="R166">
            <v>1264398.7731793609</v>
          </cell>
          <cell r="S166">
            <v>1226421.0085525999</v>
          </cell>
          <cell r="T166">
            <v>1149325.5065594846</v>
          </cell>
          <cell r="U166">
            <v>1317714.8918277519</v>
          </cell>
          <cell r="V166">
            <v>1651185.9920728938</v>
          </cell>
          <cell r="W166">
            <v>19357554.935032841</v>
          </cell>
          <cell r="X166">
            <v>10708042.168018764</v>
          </cell>
          <cell r="Y166">
            <v>8929601.4791290089</v>
          </cell>
          <cell r="Z166">
            <v>10173631.713569723</v>
          </cell>
          <cell r="AA166">
            <v>10738129.860111553</v>
          </cell>
          <cell r="AB166">
            <v>12537184.893417418</v>
          </cell>
          <cell r="AC166">
            <v>11336369.123210222</v>
          </cell>
          <cell r="AD166">
            <v>10136515.899828784</v>
          </cell>
          <cell r="AE166">
            <v>10084524.219896639</v>
          </cell>
          <cell r="AF166">
            <v>8091654.8330486994</v>
          </cell>
          <cell r="AG166">
            <v>11815330.563573442</v>
          </cell>
          <cell r="AH166">
            <v>24244573.520484835</v>
          </cell>
          <cell r="AI166">
            <v>17482834.802552216</v>
          </cell>
          <cell r="AJ166">
            <v>9751957.8753963746</v>
          </cell>
          <cell r="AK166">
            <v>8500511.2956568226</v>
          </cell>
          <cell r="AL166">
            <v>9725467.7307863869</v>
          </cell>
          <cell r="AM166">
            <v>10148337.692348041</v>
          </cell>
          <cell r="AN166">
            <v>12014708.276839068</v>
          </cell>
          <cell r="AO166">
            <v>10843545.587446593</v>
          </cell>
          <cell r="AP166">
            <v>8769942.5885084309</v>
          </cell>
          <cell r="AQ166">
            <v>8947589.6345494278</v>
          </cell>
          <cell r="AR166">
            <v>7701726.8273701183</v>
          </cell>
          <cell r="AS166">
            <v>11202916.558921739</v>
          </cell>
          <cell r="AT166">
            <v>23213921.589293554</v>
          </cell>
          <cell r="AU166">
            <v>16891870.492420793</v>
          </cell>
          <cell r="AV166">
            <v>9733490.7092944849</v>
          </cell>
          <cell r="AW166">
            <v>8179089.6648866106</v>
          </cell>
          <cell r="AX166">
            <v>9186639.3630349115</v>
          </cell>
          <cell r="AY166">
            <v>9848245.677495297</v>
          </cell>
          <cell r="AZ166">
            <v>11701450.446995545</v>
          </cell>
          <cell r="BA166">
            <v>10626179.803380337</v>
          </cell>
          <cell r="BB166">
            <v>10007821.653110705</v>
          </cell>
          <cell r="BC166">
            <v>6739877.1426230688</v>
          </cell>
          <cell r="BD166">
            <v>5775405.5685255947</v>
          </cell>
          <cell r="BE166">
            <v>11063257.495538991</v>
          </cell>
          <cell r="BF166">
            <v>23337676.089445628</v>
          </cell>
          <cell r="BG166">
            <v>16774991.520502776</v>
          </cell>
          <cell r="BH166">
            <v>9513817.4297328256</v>
          </cell>
          <cell r="BI166">
            <v>7794172.6114933304</v>
          </cell>
          <cell r="BJ166">
            <v>8728740.853275191</v>
          </cell>
          <cell r="BK166">
            <v>9292135.1252895445</v>
          </cell>
          <cell r="BL166">
            <v>11042604.095077422</v>
          </cell>
          <cell r="BM166">
            <v>10026277.074413912</v>
          </cell>
          <cell r="BN166">
            <v>7879921.8001320045</v>
          </cell>
          <cell r="BO166">
            <v>8076003.3892030194</v>
          </cell>
          <cell r="BP166">
            <v>8621754.1179843917</v>
          </cell>
          <cell r="BQ166">
            <v>9299253.6121505108</v>
          </cell>
          <cell r="BR166">
            <v>20697081.531531006</v>
          </cell>
          <cell r="BS166">
            <v>14248589.606588688</v>
          </cell>
          <cell r="BT166">
            <v>7413049.5993244722</v>
          </cell>
          <cell r="BU166">
            <v>5234175.4626413127</v>
          </cell>
          <cell r="BV166">
            <v>7297329.0305112908</v>
          </cell>
          <cell r="BW166">
            <v>7633661.6193946954</v>
          </cell>
          <cell r="BX166">
            <v>7919574.5675866734</v>
          </cell>
          <cell r="BY166">
            <v>7734785.1098602498</v>
          </cell>
          <cell r="BZ166">
            <v>7624262.3995735692</v>
          </cell>
          <cell r="CA166">
            <v>7558369.6072096266</v>
          </cell>
          <cell r="CB166">
            <v>7427416.9022833463</v>
          </cell>
          <cell r="CC166">
            <v>5528788.6582719972</v>
          </cell>
          <cell r="CD166">
            <v>5528789.6582719972</v>
          </cell>
          <cell r="CE166">
            <v>5528790.6582719972</v>
          </cell>
          <cell r="CF166">
            <v>5528791.6582719972</v>
          </cell>
          <cell r="CG166">
            <v>5528792.6582719972</v>
          </cell>
          <cell r="CH166">
            <v>5528793.6582719972</v>
          </cell>
          <cell r="CI166">
            <v>5528794.6582719972</v>
          </cell>
        </row>
        <row r="169">
          <cell r="P169">
            <v>117772.54774122383</v>
          </cell>
          <cell r="Q169">
            <v>11662678.328451514</v>
          </cell>
          <cell r="R169">
            <v>-2399026.2145541599</v>
          </cell>
          <cell r="S169">
            <v>-2539679.1862198804</v>
          </cell>
          <cell r="T169">
            <v>-5492237.5082008019</v>
          </cell>
          <cell r="U169">
            <v>-5866790.9845380159</v>
          </cell>
          <cell r="V169">
            <v>-3763535.8309608917</v>
          </cell>
          <cell r="W169">
            <v>2784928.8432264086</v>
          </cell>
          <cell r="X169">
            <v>-2949926.783915814</v>
          </cell>
          <cell r="Y169">
            <v>-221428.03705822676</v>
          </cell>
          <cell r="Z169">
            <v>1287967.632931035</v>
          </cell>
          <cell r="AA169">
            <v>1722073.0474569406</v>
          </cell>
          <cell r="AB169">
            <v>2902325.0669313986</v>
          </cell>
          <cell r="AC169">
            <v>2117260.4692367055</v>
          </cell>
          <cell r="AD169">
            <v>1269047.0459492207</v>
          </cell>
          <cell r="AE169">
            <v>1092950.1583874132</v>
          </cell>
          <cell r="AF169">
            <v>-1566813.0153029542</v>
          </cell>
          <cell r="AG169">
            <v>-1022377.4097754657</v>
          </cell>
          <cell r="AH169">
            <v>9228816.3692273945</v>
          </cell>
          <cell r="AI169">
            <v>2934013.0511931255</v>
          </cell>
          <cell r="AJ169">
            <v>-1932415.6896650977</v>
          </cell>
          <cell r="AK169">
            <v>-1629818.8522535339</v>
          </cell>
          <cell r="AL169">
            <v>-1525151.4361726679</v>
          </cell>
          <cell r="AM169">
            <v>-1303443.8039916549</v>
          </cell>
          <cell r="AN169">
            <v>2287048.6671879943</v>
          </cell>
          <cell r="AO169">
            <v>1552275.8210881073</v>
          </cell>
          <cell r="AP169">
            <v>624510.97507042997</v>
          </cell>
          <cell r="AQ169">
            <v>269256.44682174735</v>
          </cell>
          <cell r="AR169">
            <v>-1739743.4445065446</v>
          </cell>
          <cell r="AS169">
            <v>-1335375.6100205481</v>
          </cell>
          <cell r="AT169">
            <v>8305442.5472015925</v>
          </cell>
          <cell r="AU169">
            <v>2486146.5160418414</v>
          </cell>
          <cell r="AV169">
            <v>-1789265.1152129844</v>
          </cell>
          <cell r="AW169">
            <v>135676.37061952613</v>
          </cell>
          <cell r="AX169">
            <v>187193.72990533523</v>
          </cell>
          <cell r="AY169">
            <v>455089.75139342062</v>
          </cell>
          <cell r="AZ169">
            <v>682332.48444696702</v>
          </cell>
          <cell r="BA169">
            <v>91473.816113157198</v>
          </cell>
          <cell r="BB169">
            <v>-718008.11719335616</v>
          </cell>
          <cell r="BC169">
            <v>51477.452302351594</v>
          </cell>
          <cell r="BD169">
            <v>-711489.94933621492</v>
          </cell>
          <cell r="BE169">
            <v>-41556.65116231516</v>
          </cell>
          <cell r="BF169">
            <v>10893631.940950386</v>
          </cell>
          <cell r="BG169">
            <v>4605182.1023876313</v>
          </cell>
          <cell r="BH169">
            <v>-471575.32641252875</v>
          </cell>
          <cell r="BI169">
            <v>-1352457.3859618399</v>
          </cell>
          <cell r="BJ169">
            <v>-1666067.9616552778</v>
          </cell>
          <cell r="BK169">
            <v>-1350811.8086709604</v>
          </cell>
          <cell r="BL169">
            <v>376336.79083138704</v>
          </cell>
          <cell r="BM169">
            <v>-255258.68336411566</v>
          </cell>
          <cell r="BN169">
            <v>-1098627.6936120838</v>
          </cell>
          <cell r="BO169">
            <v>-393605.73133828491</v>
          </cell>
          <cell r="BP169">
            <v>-1305673.4251755532</v>
          </cell>
          <cell r="BQ169">
            <v>-1528906.9773289394</v>
          </cell>
          <cell r="BR169">
            <v>8814155.0093253814</v>
          </cell>
          <cell r="BS169">
            <v>2614329.4450517092</v>
          </cell>
          <cell r="BT169">
            <v>-2386126.4329119008</v>
          </cell>
          <cell r="BU169">
            <v>-2883500.5442223614</v>
          </cell>
          <cell r="BV169">
            <v>-3073400.1553190248</v>
          </cell>
          <cell r="BW169">
            <v>-2855101.8863201588</v>
          </cell>
          <cell r="BX169">
            <v>-2929794.404233994</v>
          </cell>
          <cell r="BY169">
            <v>-2722175.217609982</v>
          </cell>
          <cell r="BZ169">
            <v>-1503669.4716289816</v>
          </cell>
          <cell r="CA169">
            <v>-1050460.6163730212</v>
          </cell>
          <cell r="CB169">
            <v>-2687193.0025776532</v>
          </cell>
          <cell r="CC169">
            <v>-5492010.3941214317</v>
          </cell>
          <cell r="CD169">
            <v>-6568335.2032218846</v>
          </cell>
          <cell r="CE169">
            <v>-6315159.073059625</v>
          </cell>
          <cell r="CF169">
            <v>-4443836.818892763</v>
          </cell>
          <cell r="CG169">
            <v>-2729170.3507323619</v>
          </cell>
          <cell r="CH169">
            <v>-5027748.1509980904</v>
          </cell>
          <cell r="CI169">
            <v>-5148606.7150000716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90">
          <cell r="A90" t="str">
            <v>Rate Schedule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>2000</v>
          </cell>
          <cell r="O90">
            <v>36892</v>
          </cell>
          <cell r="P90">
            <v>36923</v>
          </cell>
          <cell r="Q90">
            <v>36951</v>
          </cell>
          <cell r="R90">
            <v>36982</v>
          </cell>
          <cell r="S90">
            <v>37012</v>
          </cell>
          <cell r="T90">
            <v>37043</v>
          </cell>
          <cell r="U90">
            <v>37073</v>
          </cell>
          <cell r="V90">
            <v>37104</v>
          </cell>
          <cell r="W90">
            <v>37135</v>
          </cell>
          <cell r="X90">
            <v>37165</v>
          </cell>
          <cell r="Y90">
            <v>37196</v>
          </cell>
          <cell r="Z90">
            <v>37226</v>
          </cell>
          <cell r="AA90">
            <v>2001</v>
          </cell>
          <cell r="AB90">
            <v>37257</v>
          </cell>
          <cell r="AC90">
            <v>37288</v>
          </cell>
          <cell r="AD90">
            <v>37316</v>
          </cell>
          <cell r="AE90">
            <v>37347</v>
          </cell>
          <cell r="AF90">
            <v>37377</v>
          </cell>
          <cell r="AG90">
            <v>37408</v>
          </cell>
          <cell r="AH90">
            <v>37438</v>
          </cell>
          <cell r="AI90">
            <v>37469</v>
          </cell>
          <cell r="AJ90">
            <v>37500</v>
          </cell>
          <cell r="AK90">
            <v>37530</v>
          </cell>
          <cell r="AL90">
            <v>37561</v>
          </cell>
          <cell r="AM90">
            <v>37591</v>
          </cell>
          <cell r="AO90">
            <v>2002</v>
          </cell>
          <cell r="AP90">
            <v>37622</v>
          </cell>
          <cell r="AQ90">
            <v>37653</v>
          </cell>
          <cell r="AR90">
            <v>37681</v>
          </cell>
          <cell r="AS90">
            <v>37712</v>
          </cell>
          <cell r="AT90">
            <v>37742</v>
          </cell>
          <cell r="AU90">
            <v>37773</v>
          </cell>
          <cell r="AV90">
            <v>37803</v>
          </cell>
          <cell r="AW90">
            <v>37834</v>
          </cell>
          <cell r="AX90">
            <v>37865</v>
          </cell>
          <cell r="AY90">
            <v>37895</v>
          </cell>
          <cell r="AZ90">
            <v>37926</v>
          </cell>
          <cell r="BA90">
            <v>37956</v>
          </cell>
          <cell r="BB90">
            <v>2003</v>
          </cell>
          <cell r="BC90">
            <v>37987</v>
          </cell>
          <cell r="BD90">
            <v>38018</v>
          </cell>
          <cell r="BE90">
            <v>38047</v>
          </cell>
          <cell r="BF90">
            <v>38078</v>
          </cell>
          <cell r="BG90">
            <v>38108</v>
          </cell>
          <cell r="BH90">
            <v>38139</v>
          </cell>
          <cell r="BI90">
            <v>38169</v>
          </cell>
          <cell r="BJ90">
            <v>38200</v>
          </cell>
          <cell r="BK90">
            <v>38231</v>
          </cell>
          <cell r="BL90">
            <v>38261</v>
          </cell>
          <cell r="BM90">
            <v>38292</v>
          </cell>
          <cell r="BN90">
            <v>38322</v>
          </cell>
          <cell r="BO90">
            <v>2004</v>
          </cell>
          <cell r="BP90">
            <v>38353</v>
          </cell>
          <cell r="BQ90">
            <v>38384</v>
          </cell>
          <cell r="BR90">
            <v>38412</v>
          </cell>
          <cell r="BS90">
            <v>38443</v>
          </cell>
          <cell r="BT90">
            <v>38473</v>
          </cell>
          <cell r="BU90">
            <v>38504</v>
          </cell>
          <cell r="BV90">
            <v>38534</v>
          </cell>
          <cell r="BW90">
            <v>38565</v>
          </cell>
          <cell r="BX90">
            <v>38596</v>
          </cell>
          <cell r="BY90">
            <v>38626</v>
          </cell>
          <cell r="BZ90">
            <v>38657</v>
          </cell>
          <cell r="CA90">
            <v>38687</v>
          </cell>
          <cell r="CC90">
            <v>38718</v>
          </cell>
          <cell r="CD90">
            <v>38749</v>
          </cell>
          <cell r="CE90">
            <v>38777</v>
          </cell>
          <cell r="CF90">
            <v>38808</v>
          </cell>
          <cell r="CG90">
            <v>38838</v>
          </cell>
          <cell r="CH90">
            <v>38869</v>
          </cell>
          <cell r="CI90">
            <v>38899</v>
          </cell>
          <cell r="CJ90">
            <v>38930</v>
          </cell>
          <cell r="CK90">
            <v>38961</v>
          </cell>
          <cell r="CL90">
            <v>38991</v>
          </cell>
          <cell r="CM90">
            <v>39022</v>
          </cell>
          <cell r="CN90">
            <v>39052</v>
          </cell>
          <cell r="CP90">
            <v>39083</v>
          </cell>
          <cell r="CQ90">
            <v>39114</v>
          </cell>
          <cell r="CR90">
            <v>39142</v>
          </cell>
          <cell r="CS90">
            <v>39173</v>
          </cell>
          <cell r="CT90">
            <v>39203</v>
          </cell>
          <cell r="CU90">
            <v>39234</v>
          </cell>
          <cell r="CV90">
            <v>39264</v>
          </cell>
          <cell r="CW90">
            <v>39295</v>
          </cell>
          <cell r="CX90">
            <v>39326</v>
          </cell>
          <cell r="CY90">
            <v>39356</v>
          </cell>
          <cell r="CZ90">
            <v>39387</v>
          </cell>
          <cell r="DA90">
            <v>39417</v>
          </cell>
          <cell r="DB90">
            <v>2007</v>
          </cell>
          <cell r="DC90">
            <v>39448</v>
          </cell>
          <cell r="DD90">
            <v>39479</v>
          </cell>
          <cell r="DE90">
            <v>39508</v>
          </cell>
          <cell r="DF90">
            <v>39539</v>
          </cell>
          <cell r="DG90">
            <v>39569</v>
          </cell>
          <cell r="DH90">
            <v>39600</v>
          </cell>
          <cell r="DI90">
            <v>39630</v>
          </cell>
          <cell r="DJ90">
            <v>39661</v>
          </cell>
          <cell r="DK90">
            <v>39692</v>
          </cell>
          <cell r="DL90">
            <v>39722</v>
          </cell>
          <cell r="DM90">
            <v>39753</v>
          </cell>
          <cell r="DN90">
            <v>39783</v>
          </cell>
          <cell r="DO90">
            <v>2008</v>
          </cell>
          <cell r="DP90">
            <v>39814</v>
          </cell>
          <cell r="DQ90">
            <v>39845</v>
          </cell>
          <cell r="DR90">
            <v>39873</v>
          </cell>
          <cell r="DS90">
            <v>39904</v>
          </cell>
          <cell r="DT90">
            <v>39934</v>
          </cell>
          <cell r="DU90">
            <v>39965</v>
          </cell>
          <cell r="DV90">
            <v>39995</v>
          </cell>
          <cell r="DW90">
            <v>40026</v>
          </cell>
          <cell r="DX90">
            <v>40057</v>
          </cell>
          <cell r="DY90">
            <v>40087</v>
          </cell>
          <cell r="DZ90">
            <v>40118</v>
          </cell>
          <cell r="EA90">
            <v>40148</v>
          </cell>
        </row>
        <row r="91">
          <cell r="A91" t="str">
            <v>RS</v>
          </cell>
          <cell r="B91">
            <v>344986.8544767588</v>
          </cell>
          <cell r="C91">
            <v>316811.90291959763</v>
          </cell>
          <cell r="D91">
            <v>296919.73866378469</v>
          </cell>
          <cell r="E91">
            <v>289224.10731553135</v>
          </cell>
          <cell r="F91">
            <v>244991.48565603906</v>
          </cell>
          <cell r="G91">
            <v>274840.74325507297</v>
          </cell>
          <cell r="H91">
            <v>352349.06767942169</v>
          </cell>
          <cell r="I91">
            <v>406197.87012554606</v>
          </cell>
          <cell r="J91">
            <v>364337.39785060805</v>
          </cell>
          <cell r="K91">
            <v>243498.41276482184</v>
          </cell>
          <cell r="L91">
            <v>239004.60588339483</v>
          </cell>
          <cell r="M91">
            <v>273436.34643742337</v>
          </cell>
          <cell r="N91">
            <v>3646598.533028001</v>
          </cell>
          <cell r="O91">
            <v>346443.05379745789</v>
          </cell>
          <cell r="P91">
            <v>318031.30767161143</v>
          </cell>
          <cell r="Q91">
            <v>298161.24811550882</v>
          </cell>
          <cell r="R91">
            <v>292267.69312857714</v>
          </cell>
          <cell r="S91">
            <v>248014.46247299641</v>
          </cell>
          <cell r="T91">
            <v>278602.78102624562</v>
          </cell>
          <cell r="U91">
            <v>357892.68985180184</v>
          </cell>
          <cell r="V91">
            <v>412569.68301829224</v>
          </cell>
          <cell r="W91">
            <v>369970.80817788083</v>
          </cell>
          <cell r="X91">
            <v>245539.88488007631</v>
          </cell>
          <cell r="Y91">
            <v>240619.18462923367</v>
          </cell>
          <cell r="Z91">
            <v>274866.66446012468</v>
          </cell>
          <cell r="AA91">
            <v>3682979.4612298072</v>
          </cell>
          <cell r="AB91">
            <v>383919.57020800898</v>
          </cell>
          <cell r="AC91">
            <v>354006.56388049619</v>
          </cell>
          <cell r="AD91">
            <v>330957.31821440754</v>
          </cell>
          <cell r="AE91">
            <v>293374.81751804135</v>
          </cell>
          <cell r="AF91">
            <v>244005.82271539723</v>
          </cell>
          <cell r="AG91">
            <v>270745.2970779278</v>
          </cell>
          <cell r="AH91">
            <v>369744.57174971333</v>
          </cell>
          <cell r="AI91">
            <v>427615.40277087776</v>
          </cell>
          <cell r="AJ91">
            <v>377665.46947550547</v>
          </cell>
          <cell r="AK91">
            <v>274183.42243667715</v>
          </cell>
          <cell r="AL91">
            <v>265148.43417266023</v>
          </cell>
          <cell r="AM91">
            <v>311971.28798651299</v>
          </cell>
          <cell r="AN91">
            <v>2246753.9613639927</v>
          </cell>
          <cell r="AO91">
            <v>3903337.9782062266</v>
          </cell>
          <cell r="AP91">
            <v>399695.27010033571</v>
          </cell>
          <cell r="AQ91">
            <v>346406.81695585785</v>
          </cell>
          <cell r="AR91">
            <v>307236.51518525853</v>
          </cell>
          <cell r="AS91">
            <v>294290.23704496102</v>
          </cell>
          <cell r="AT91">
            <v>252494.89670064978</v>
          </cell>
          <cell r="AU91">
            <v>301286.83907494321</v>
          </cell>
          <cell r="AV91">
            <v>430918.78598404798</v>
          </cell>
          <cell r="AW91">
            <v>465234.15456557868</v>
          </cell>
          <cell r="AX91">
            <v>402983.09020768898</v>
          </cell>
          <cell r="AY91">
            <v>292370.46961769438</v>
          </cell>
          <cell r="AZ91">
            <v>261370.40444241423</v>
          </cell>
          <cell r="BA91">
            <v>322890.57202401571</v>
          </cell>
          <cell r="BB91">
            <v>4077178.0519034457</v>
          </cell>
          <cell r="BC91">
            <v>408826.3207535093</v>
          </cell>
          <cell r="BD91">
            <v>354369.06724765105</v>
          </cell>
          <cell r="BE91">
            <v>314267.84148857527</v>
          </cell>
          <cell r="BF91">
            <v>301016.87194967549</v>
          </cell>
          <cell r="BG91">
            <v>258091.36197914553</v>
          </cell>
          <cell r="BH91">
            <v>307836.43326032581</v>
          </cell>
          <cell r="BI91">
            <v>440228.47703953722</v>
          </cell>
          <cell r="BJ91">
            <v>475303.870031289</v>
          </cell>
          <cell r="BK91">
            <v>411730.61783053103</v>
          </cell>
          <cell r="BL91">
            <v>298738.45833936037</v>
          </cell>
          <cell r="BM91">
            <v>267166.23919849255</v>
          </cell>
          <cell r="BN91">
            <v>330163.69447513024</v>
          </cell>
          <cell r="BO91">
            <v>4167739.2535932236</v>
          </cell>
          <cell r="BP91">
            <v>420223.63544966426</v>
          </cell>
          <cell r="BQ91">
            <v>364263.05315262638</v>
          </cell>
          <cell r="BR91">
            <v>323032.86009038612</v>
          </cell>
          <cell r="BS91">
            <v>309409.74953882012</v>
          </cell>
          <cell r="BT91">
            <v>265233.99374635442</v>
          </cell>
          <cell r="BU91">
            <v>316316.52625878633</v>
          </cell>
          <cell r="BV91">
            <v>452337.91001843364</v>
          </cell>
          <cell r="BW91">
            <v>488383.83568361314</v>
          </cell>
          <cell r="BX91">
            <v>423068.8069568192</v>
          </cell>
          <cell r="BY91">
            <v>306971.66406159219</v>
          </cell>
          <cell r="BZ91">
            <v>274560.82557003183</v>
          </cell>
          <cell r="CA91">
            <v>339336.48158080381</v>
          </cell>
          <cell r="CB91">
            <v>4283139.3421079312</v>
          </cell>
          <cell r="CC91">
            <v>430343.38399346865</v>
          </cell>
          <cell r="CD91">
            <v>373012.9721758737</v>
          </cell>
          <cell r="CE91">
            <v>330806.36684363801</v>
          </cell>
          <cell r="CF91">
            <v>316859.26914828992</v>
          </cell>
          <cell r="CG91">
            <v>271699.8097050697</v>
          </cell>
          <cell r="CH91">
            <v>324086.31183591415</v>
          </cell>
          <cell r="CI91">
            <v>463475.34502101626</v>
          </cell>
          <cell r="CJ91">
            <v>500400.24841756187</v>
          </cell>
          <cell r="CK91">
            <v>433466.64723016741</v>
          </cell>
          <cell r="CL91">
            <v>314506.31457806134</v>
          </cell>
          <cell r="CM91">
            <v>281252.79846810258</v>
          </cell>
          <cell r="CN91">
            <v>347555.53426455491</v>
          </cell>
          <cell r="CO91">
            <v>4387465.001681718</v>
          </cell>
          <cell r="CP91">
            <v>440706.02169646224</v>
          </cell>
          <cell r="CQ91">
            <v>381972.44840333349</v>
          </cell>
          <cell r="CR91">
            <v>338766.33261758572</v>
          </cell>
          <cell r="CS91">
            <v>324487.55509074294</v>
          </cell>
          <cell r="CT91">
            <v>278322.42048403341</v>
          </cell>
          <cell r="CU91">
            <v>332045.69906561333</v>
          </cell>
          <cell r="CV91">
            <v>474885.09212019126</v>
          </cell>
          <cell r="CW91">
            <v>512710.29350711859</v>
          </cell>
          <cell r="CX91">
            <v>444118.33765687916</v>
          </cell>
          <cell r="CY91">
            <v>322224.71670689894</v>
          </cell>
          <cell r="CZ91">
            <v>288107.0259918964</v>
          </cell>
          <cell r="DA91">
            <v>355972.82220263203</v>
          </cell>
          <cell r="DB91">
            <v>4494318.7655433873</v>
          </cell>
          <cell r="DC91">
            <v>451319.82131439843</v>
          </cell>
          <cell r="DD91">
            <v>391148.57782875537</v>
          </cell>
          <cell r="DE91">
            <v>346919.09749533283</v>
          </cell>
          <cell r="DF91">
            <v>332300.69306662824</v>
          </cell>
          <cell r="DG91">
            <v>285107.31318498059</v>
          </cell>
          <cell r="DH91">
            <v>340201.43038050801</v>
          </cell>
          <cell r="DI91">
            <v>486576.88279519847</v>
          </cell>
          <cell r="DJ91">
            <v>525324.44901467697</v>
          </cell>
          <cell r="DK91">
            <v>455032.91598030151</v>
          </cell>
          <cell r="DL91">
            <v>330133.39476600627</v>
          </cell>
          <cell r="DM91">
            <v>295129.1840994833</v>
          </cell>
          <cell r="DN91">
            <v>364595.18548195763</v>
          </cell>
          <cell r="DO91">
            <v>4603788.9454082279</v>
          </cell>
          <cell r="DP91">
            <v>462190.90630935854</v>
          </cell>
          <cell r="DQ91">
            <v>400546.63160998846</v>
          </cell>
          <cell r="DR91">
            <v>355269.3592014832</v>
          </cell>
          <cell r="DS91">
            <v>340303.18906288681</v>
          </cell>
          <cell r="DT91">
            <v>292058.48309942463</v>
          </cell>
          <cell r="DU91">
            <v>348558.36798072531</v>
          </cell>
          <cell r="DV91">
            <v>498557.71408855158</v>
          </cell>
          <cell r="DW91">
            <v>538250.2553807674</v>
          </cell>
          <cell r="DX91">
            <v>466216.89505821135</v>
          </cell>
          <cell r="DY91">
            <v>338237.05802526569</v>
          </cell>
          <cell r="DZ91">
            <v>302323.40656527405</v>
          </cell>
          <cell r="EA91">
            <v>373427.64726833737</v>
          </cell>
        </row>
        <row r="92">
          <cell r="A92" t="str">
            <v>MGS SECONDARY</v>
          </cell>
          <cell r="B92">
            <v>94162.727109421525</v>
          </cell>
          <cell r="C92">
            <v>90776.507949483232</v>
          </cell>
          <cell r="D92">
            <v>87221.676385370971</v>
          </cell>
          <cell r="E92">
            <v>81440.375100124438</v>
          </cell>
          <cell r="F92">
            <v>80899.158939818823</v>
          </cell>
          <cell r="G92">
            <v>95191.325551282935</v>
          </cell>
          <cell r="H92">
            <v>124772.65807933966</v>
          </cell>
          <cell r="I92">
            <v>141816.39833554195</v>
          </cell>
          <cell r="J92">
            <v>127903.63123430117</v>
          </cell>
          <cell r="K92">
            <v>98611.723718360285</v>
          </cell>
          <cell r="L92">
            <v>85424.346612872891</v>
          </cell>
          <cell r="M92">
            <v>86034.743361542569</v>
          </cell>
          <cell r="N92">
            <v>1194255.2723774605</v>
          </cell>
          <cell r="O92">
            <v>96804.769797488785</v>
          </cell>
          <cell r="P92">
            <v>93318.695437549846</v>
          </cell>
          <cell r="Q92">
            <v>89670.257328478998</v>
          </cell>
          <cell r="R92">
            <v>83707.587946554049</v>
          </cell>
          <cell r="S92">
            <v>83143.832674877776</v>
          </cell>
          <cell r="T92">
            <v>97855.572763478704</v>
          </cell>
          <cell r="U92">
            <v>127539.90853142473</v>
          </cell>
          <cell r="V92">
            <v>144971.28813294708</v>
          </cell>
          <cell r="W92">
            <v>130712.67670969763</v>
          </cell>
          <cell r="X92">
            <v>101320.91330112537</v>
          </cell>
          <cell r="Y92">
            <v>87747.483884226895</v>
          </cell>
          <cell r="Z92">
            <v>88391.674100625096</v>
          </cell>
          <cell r="AA92">
            <v>1225184.6606084749</v>
          </cell>
          <cell r="AB92">
            <v>102055.24814569121</v>
          </cell>
          <cell r="AC92">
            <v>98509.941451815001</v>
          </cell>
          <cell r="AD92">
            <v>94700.08792763036</v>
          </cell>
          <cell r="AE92">
            <v>88067.535850770102</v>
          </cell>
          <cell r="AF92">
            <v>87367.181279102209</v>
          </cell>
          <cell r="AG92">
            <v>103229.60113868778</v>
          </cell>
          <cell r="AH92">
            <v>134679.03456835946</v>
          </cell>
          <cell r="AI92">
            <v>152178.09957459776</v>
          </cell>
          <cell r="AJ92">
            <v>136741.78765796294</v>
          </cell>
          <cell r="AK92">
            <v>104808.28427382323</v>
          </cell>
          <cell r="AL92">
            <v>90132.46899511572</v>
          </cell>
          <cell r="AM92">
            <v>91943.99502735096</v>
          </cell>
          <cell r="AN92">
            <v>708608.6303620562</v>
          </cell>
          <cell r="AO92">
            <v>1284413.2658909068</v>
          </cell>
          <cell r="AP92">
            <v>117026.17062267006</v>
          </cell>
          <cell r="AQ92">
            <v>113366.65118915554</v>
          </cell>
          <cell r="AR92">
            <v>110138.68904937239</v>
          </cell>
          <cell r="AS92">
            <v>100646.08473971181</v>
          </cell>
          <cell r="AT92">
            <v>100333.06239222182</v>
          </cell>
          <cell r="AU92">
            <v>118060.84947811009</v>
          </cell>
          <cell r="AV92">
            <v>154398.52922782904</v>
          </cell>
          <cell r="AW92">
            <v>172938.81111030997</v>
          </cell>
          <cell r="AX92">
            <v>151297.42664370112</v>
          </cell>
          <cell r="AY92">
            <v>119084.57198234821</v>
          </cell>
          <cell r="AZ92">
            <v>105141.8489322025</v>
          </cell>
          <cell r="BA92">
            <v>107543.89211090855</v>
          </cell>
          <cell r="BB92">
            <v>1469976.5874785408</v>
          </cell>
          <cell r="BC92">
            <v>121726.87620071472</v>
          </cell>
          <cell r="BD92">
            <v>117908.41479206173</v>
          </cell>
          <cell r="BE92">
            <v>114558.00625476157</v>
          </cell>
          <cell r="BF92">
            <v>104664.12631262517</v>
          </cell>
          <cell r="BG92">
            <v>104326.25777932451</v>
          </cell>
          <cell r="BH92">
            <v>122792.33088643535</v>
          </cell>
          <cell r="BI92">
            <v>160608.67456284477</v>
          </cell>
          <cell r="BJ92">
            <v>179914.17088358072</v>
          </cell>
          <cell r="BK92">
            <v>157312.84727129649</v>
          </cell>
          <cell r="BL92">
            <v>123873.02007293318</v>
          </cell>
          <cell r="BM92">
            <v>109332.50776345978</v>
          </cell>
          <cell r="BN92">
            <v>111863.26636759406</v>
          </cell>
          <cell r="BO92">
            <v>1528880.4991476322</v>
          </cell>
          <cell r="BP92">
            <v>125794.63048534433</v>
          </cell>
          <cell r="BQ92">
            <v>121838.07930436349</v>
          </cell>
          <cell r="BR92">
            <v>118381.92495429411</v>
          </cell>
          <cell r="BS92">
            <v>108140.2114034765</v>
          </cell>
          <cell r="BT92">
            <v>107780.27703085441</v>
          </cell>
          <cell r="BU92">
            <v>126886.06264756898</v>
          </cell>
          <cell r="BV92">
            <v>165982.25698330547</v>
          </cell>
          <cell r="BW92">
            <v>185950.52315395753</v>
          </cell>
          <cell r="BX92">
            <v>162515.09472312222</v>
          </cell>
          <cell r="BY92">
            <v>128016.64648780333</v>
          </cell>
          <cell r="BZ92">
            <v>112957.56164149544</v>
          </cell>
          <cell r="CA92">
            <v>115601.01680467416</v>
          </cell>
          <cell r="CB92">
            <v>1579844.2856202601</v>
          </cell>
          <cell r="CC92">
            <v>130406.35317296666</v>
          </cell>
          <cell r="CD92">
            <v>126293.7173686445</v>
          </cell>
          <cell r="CE92">
            <v>122717.35543107355</v>
          </cell>
          <cell r="CF92">
            <v>112082.18170679476</v>
          </cell>
          <cell r="CG92">
            <v>111697.71479916293</v>
          </cell>
          <cell r="CH92">
            <v>131527.61428020505</v>
          </cell>
          <cell r="CI92">
            <v>172073.87981022836</v>
          </cell>
          <cell r="CJ92">
            <v>192792.63109522901</v>
          </cell>
          <cell r="CK92">
            <v>168415.35964832141</v>
          </cell>
          <cell r="CL92">
            <v>132714.10018207526</v>
          </cell>
          <cell r="CM92">
            <v>117068.72450548333</v>
          </cell>
          <cell r="CN92">
            <v>119838.623395626</v>
          </cell>
          <cell r="CO92">
            <v>1637628.2553958111</v>
          </cell>
          <cell r="CP92">
            <v>135195.38067688668</v>
          </cell>
          <cell r="CQ92">
            <v>130920.73674677731</v>
          </cell>
          <cell r="CR92">
            <v>127219.50324261741</v>
          </cell>
          <cell r="CS92">
            <v>116175.85958827418</v>
          </cell>
          <cell r="CT92">
            <v>115765.9965108708</v>
          </cell>
          <cell r="CU92">
            <v>136347.69322703415</v>
          </cell>
          <cell r="CV92">
            <v>178399.67817892099</v>
          </cell>
          <cell r="CW92">
            <v>199897.64818585262</v>
          </cell>
          <cell r="CX92">
            <v>174542.88320480369</v>
          </cell>
          <cell r="CY92">
            <v>137592.13250926157</v>
          </cell>
          <cell r="CZ92">
            <v>121338.15288124842</v>
          </cell>
          <cell r="DA92">
            <v>124239.15416766408</v>
          </cell>
          <cell r="DB92">
            <v>1697634.819120212</v>
          </cell>
          <cell r="DC92">
            <v>140165.93418422967</v>
          </cell>
          <cell r="DD92">
            <v>135723.20823212489</v>
          </cell>
          <cell r="DE92">
            <v>131892.33327806013</v>
          </cell>
          <cell r="DF92">
            <v>120424.83837864593</v>
          </cell>
          <cell r="DG92">
            <v>119988.68530631234</v>
          </cell>
          <cell r="DH92">
            <v>141350.54061987688</v>
          </cell>
          <cell r="DI92">
            <v>184965.23041361282</v>
          </cell>
          <cell r="DJ92">
            <v>207271.85134492864</v>
          </cell>
          <cell r="DK92">
            <v>180903.02576844781</v>
          </cell>
          <cell r="DL92">
            <v>142655.04529038156</v>
          </cell>
          <cell r="DM92">
            <v>125769.58980487008</v>
          </cell>
          <cell r="DN92">
            <v>128806.48759731722</v>
          </cell>
          <cell r="DO92">
            <v>1759916.7702188082</v>
          </cell>
          <cell r="DP92">
            <v>145324.86195912116</v>
          </cell>
          <cell r="DQ92">
            <v>140707.75055708669</v>
          </cell>
          <cell r="DR92">
            <v>136742.28453308358</v>
          </cell>
          <cell r="DS92">
            <v>124834.976209181</v>
          </cell>
          <cell r="DT92">
            <v>124371.60519806485</v>
          </cell>
          <cell r="DU92">
            <v>146543.0512165805</v>
          </cell>
          <cell r="DV92">
            <v>191779.58161906182</v>
          </cell>
          <cell r="DW92">
            <v>214925.39663913849</v>
          </cell>
          <cell r="DX92">
            <v>187504.56107089366</v>
          </cell>
          <cell r="DY92">
            <v>147909.8134511548</v>
          </cell>
          <cell r="DZ92">
            <v>130369.14619494733</v>
          </cell>
          <cell r="EA92">
            <v>133546.91648042196</v>
          </cell>
        </row>
        <row r="93">
          <cell r="A93" t="str">
            <v>MGS PRIMARY</v>
          </cell>
          <cell r="B93">
            <v>653.71734680207874</v>
          </cell>
          <cell r="C93">
            <v>709.88348516665417</v>
          </cell>
          <cell r="D93">
            <v>657.12212993049002</v>
          </cell>
          <cell r="E93">
            <v>770.95664943923055</v>
          </cell>
          <cell r="F93">
            <v>871.91045962973431</v>
          </cell>
          <cell r="G93">
            <v>1453.4636076098577</v>
          </cell>
          <cell r="H93">
            <v>2773.2129431253661</v>
          </cell>
          <cell r="I93">
            <v>3332.6227120007056</v>
          </cell>
          <cell r="J93">
            <v>2890.7902086873769</v>
          </cell>
          <cell r="K93">
            <v>1313.4012919661261</v>
          </cell>
          <cell r="L93">
            <v>981.22962521869431</v>
          </cell>
          <cell r="M93">
            <v>942.40310369993335</v>
          </cell>
          <cell r="N93">
            <v>17350.713563276247</v>
          </cell>
          <cell r="O93">
            <v>663.9330207416524</v>
          </cell>
          <cell r="P93">
            <v>723.9490592328907</v>
          </cell>
          <cell r="Q93">
            <v>668.10470329914165</v>
          </cell>
          <cell r="R93">
            <v>787.85098104033955</v>
          </cell>
          <cell r="S93">
            <v>890.49762917598696</v>
          </cell>
          <cell r="T93">
            <v>1486.9186930926521</v>
          </cell>
          <cell r="U93">
            <v>2831.0456053171602</v>
          </cell>
          <cell r="V93">
            <v>3400.8766463816023</v>
          </cell>
          <cell r="W93">
            <v>2949.2737338339771</v>
          </cell>
          <cell r="X93">
            <v>1340.1337416308729</v>
          </cell>
          <cell r="Y93">
            <v>1000.5234933112689</v>
          </cell>
          <cell r="Z93">
            <v>961.46000619905772</v>
          </cell>
          <cell r="AA93">
            <v>17704.567313256601</v>
          </cell>
          <cell r="AB93">
            <v>685.07628691209698</v>
          </cell>
          <cell r="AC93">
            <v>766.60334995179505</v>
          </cell>
          <cell r="AD93">
            <v>709.64879983855405</v>
          </cell>
          <cell r="AE93">
            <v>812.82882246465397</v>
          </cell>
          <cell r="AF93">
            <v>916.49372662520489</v>
          </cell>
          <cell r="AG93">
            <v>1542.9755108116733</v>
          </cell>
          <cell r="AH93">
            <v>2979.240535338371</v>
          </cell>
          <cell r="AI93">
            <v>3553.0046971183706</v>
          </cell>
          <cell r="AJ93">
            <v>3071.6968164070549</v>
          </cell>
          <cell r="AK93">
            <v>1382.8885726685994</v>
          </cell>
          <cell r="AL93">
            <v>1028.0997636923678</v>
          </cell>
          <cell r="AM93">
            <v>1000.7791979958455</v>
          </cell>
          <cell r="AN93">
            <v>8412.8670319423491</v>
          </cell>
          <cell r="AO93">
            <v>18449.336079824589</v>
          </cell>
          <cell r="AP93">
            <v>735.43456120296355</v>
          </cell>
          <cell r="AQ93">
            <v>835.66256020741798</v>
          </cell>
          <cell r="AR93">
            <v>773.26557510383566</v>
          </cell>
          <cell r="AS93">
            <v>897.45743299840524</v>
          </cell>
          <cell r="AT93">
            <v>1013.4025144305314</v>
          </cell>
          <cell r="AU93">
            <v>1722.3378031403395</v>
          </cell>
          <cell r="AV93">
            <v>3388.2965814679978</v>
          </cell>
          <cell r="AW93">
            <v>3997.2298231921491</v>
          </cell>
          <cell r="AX93">
            <v>3372.5980685192935</v>
          </cell>
          <cell r="AY93">
            <v>1527.6134256630025</v>
          </cell>
          <cell r="AZ93">
            <v>1146.2767332689766</v>
          </cell>
          <cell r="BA93">
            <v>1119.1298891668657</v>
          </cell>
          <cell r="BB93">
            <v>20528.704968361777</v>
          </cell>
          <cell r="BC93">
            <v>750.57893191747166</v>
          </cell>
          <cell r="BD93">
            <v>858.56752344147731</v>
          </cell>
          <cell r="BE93">
            <v>790.17367198147338</v>
          </cell>
          <cell r="BF93">
            <v>925.836745435387</v>
          </cell>
          <cell r="BG93">
            <v>1044.5461928952914</v>
          </cell>
          <cell r="BH93">
            <v>1779.2449966908162</v>
          </cell>
          <cell r="BI93">
            <v>3516.0993025503003</v>
          </cell>
          <cell r="BJ93">
            <v>4145.1212362472716</v>
          </cell>
          <cell r="BK93">
            <v>3495.2494364670656</v>
          </cell>
          <cell r="BL93">
            <v>1571.2599861499082</v>
          </cell>
          <cell r="BM93">
            <v>1178.2160758893071</v>
          </cell>
          <cell r="BN93">
            <v>1151.423883142015</v>
          </cell>
          <cell r="BO93">
            <v>21206.317982807788</v>
          </cell>
          <cell r="BP93">
            <v>763.08851583113221</v>
          </cell>
          <cell r="BQ93">
            <v>877.94339824320582</v>
          </cell>
          <cell r="BR93">
            <v>804.21893196546489</v>
          </cell>
          <cell r="BS93">
            <v>950.070802562415</v>
          </cell>
          <cell r="BT93">
            <v>1071.0938285788577</v>
          </cell>
          <cell r="BU93">
            <v>1827.9673201662465</v>
          </cell>
          <cell r="BV93">
            <v>3626.3109335874692</v>
          </cell>
          <cell r="BW93">
            <v>4272.5306953960462</v>
          </cell>
          <cell r="BX93">
            <v>3600.8195727538432</v>
          </cell>
          <cell r="BY93">
            <v>1608.2884474037126</v>
          </cell>
          <cell r="BZ93">
            <v>1205.2656577953687</v>
          </cell>
          <cell r="CA93">
            <v>1178.839530633803</v>
          </cell>
          <cell r="CB93">
            <v>21786.437634917562</v>
          </cell>
          <cell r="CC93">
            <v>777.85930097454229</v>
          </cell>
          <cell r="CD93">
            <v>900.34489707716978</v>
          </cell>
          <cell r="CE93">
            <v>820.72057640613161</v>
          </cell>
          <cell r="CF93">
            <v>977.85701557851121</v>
          </cell>
          <cell r="CG93">
            <v>1101.5802871597625</v>
          </cell>
          <cell r="CH93">
            <v>1883.7024063672677</v>
          </cell>
          <cell r="CI93">
            <v>3751.5880848138831</v>
          </cell>
          <cell r="CJ93">
            <v>4417.4825674643744</v>
          </cell>
          <cell r="CK93">
            <v>3721.0202705770262</v>
          </cell>
          <cell r="CL93">
            <v>1650.9900477283534</v>
          </cell>
          <cell r="CM93">
            <v>1236.5071822145094</v>
          </cell>
          <cell r="CN93">
            <v>1210.4368314628241</v>
          </cell>
          <cell r="CO93">
            <v>22450.089467824353</v>
          </cell>
          <cell r="CP93">
            <v>793.28883146090743</v>
          </cell>
          <cell r="CQ93">
            <v>923.67508615027577</v>
          </cell>
          <cell r="CR93">
            <v>837.94599525772287</v>
          </cell>
          <cell r="CS93">
            <v>1006.7601618042059</v>
          </cell>
          <cell r="CT93">
            <v>1133.2994499296949</v>
          </cell>
          <cell r="CU93">
            <v>1941.6583166432247</v>
          </cell>
          <cell r="CV93">
            <v>3881.7355122790896</v>
          </cell>
          <cell r="CW93">
            <v>4568.0889127195178</v>
          </cell>
          <cell r="CX93">
            <v>3845.9244851254575</v>
          </cell>
          <cell r="CY93">
            <v>1695.4454779858436</v>
          </cell>
          <cell r="CZ93">
            <v>1269.0390558276463</v>
          </cell>
          <cell r="DA93">
            <v>1243.3290621381482</v>
          </cell>
          <cell r="DB93">
            <v>23140.190347321732</v>
          </cell>
          <cell r="DC93">
            <v>809.38179286716809</v>
          </cell>
          <cell r="DD93">
            <v>947.94791365200433</v>
          </cell>
          <cell r="DE93">
            <v>855.90160583213617</v>
          </cell>
          <cell r="DF93">
            <v>1036.8009442136347</v>
          </cell>
          <cell r="DG93">
            <v>1166.2733289631856</v>
          </cell>
          <cell r="DH93">
            <v>2001.8784820029471</v>
          </cell>
          <cell r="DI93">
            <v>4016.862653014779</v>
          </cell>
          <cell r="DJ93">
            <v>4724.4744765111473</v>
          </cell>
          <cell r="DK93">
            <v>3975.6342442841496</v>
          </cell>
          <cell r="DL93">
            <v>1741.682923997279</v>
          </cell>
          <cell r="DM93">
            <v>1302.8811995378028</v>
          </cell>
          <cell r="DN93">
            <v>1277.537353791168</v>
          </cell>
          <cell r="DO93">
            <v>23857.256918667401</v>
          </cell>
          <cell r="DP93">
            <v>826.16275909208105</v>
          </cell>
          <cell r="DQ93">
            <v>973.19860414972413</v>
          </cell>
          <cell r="DR93">
            <v>874.61450824135818</v>
          </cell>
          <cell r="DS93">
            <v>1068.022037871056</v>
          </cell>
          <cell r="DT93">
            <v>1200.5489564582472</v>
          </cell>
          <cell r="DU93">
            <v>2064.4479335118422</v>
          </cell>
          <cell r="DV93">
            <v>4157.1571027936452</v>
          </cell>
          <cell r="DW93">
            <v>4886.8568778131448</v>
          </cell>
          <cell r="DX93">
            <v>4110.3304309218365</v>
          </cell>
          <cell r="DY93">
            <v>1789.7690531689359</v>
          </cell>
          <cell r="DZ93">
            <v>1338.0825981530186</v>
          </cell>
          <cell r="EA93">
            <v>1313.1109552307573</v>
          </cell>
        </row>
        <row r="94">
          <cell r="A94" t="str">
            <v>AGS SECONDARY</v>
          </cell>
          <cell r="B94">
            <v>127920.22132382143</v>
          </cell>
          <cell r="C94">
            <v>127858.150261384</v>
          </cell>
          <cell r="D94">
            <v>124532.91782008516</v>
          </cell>
          <cell r="E94">
            <v>124596.94943876922</v>
          </cell>
          <cell r="F94">
            <v>120160.58555285347</v>
          </cell>
          <cell r="G94">
            <v>136618.03094849593</v>
          </cell>
          <cell r="H94">
            <v>148860.71811214602</v>
          </cell>
          <cell r="I94">
            <v>152459.36486554096</v>
          </cell>
          <cell r="J94">
            <v>159544.37787292356</v>
          </cell>
          <cell r="K94">
            <v>136239.18120488181</v>
          </cell>
          <cell r="L94">
            <v>128036.99042540173</v>
          </cell>
          <cell r="M94">
            <v>120218.80323169922</v>
          </cell>
          <cell r="N94">
            <v>1607046.2910580023</v>
          </cell>
          <cell r="O94">
            <v>131125.93132164082</v>
          </cell>
          <cell r="P94">
            <v>131018.1916256719</v>
          </cell>
          <cell r="Q94">
            <v>127589.51274155648</v>
          </cell>
          <cell r="R94">
            <v>127560.85744628063</v>
          </cell>
          <cell r="S94">
            <v>123025.90009884554</v>
          </cell>
          <cell r="T94">
            <v>139903.68370260944</v>
          </cell>
          <cell r="U94">
            <v>151754.56284669935</v>
          </cell>
          <cell r="V94">
            <v>155442.37789783865</v>
          </cell>
          <cell r="W94">
            <v>162681.00917704223</v>
          </cell>
          <cell r="X94">
            <v>139511.09639512535</v>
          </cell>
          <cell r="Y94">
            <v>131109.67655833735</v>
          </cell>
          <cell r="Z94">
            <v>123109.63515526812</v>
          </cell>
          <cell r="AA94">
            <v>1643832.434966916</v>
          </cell>
          <cell r="AB94">
            <v>137517.73128736237</v>
          </cell>
          <cell r="AC94">
            <v>138477.16591058084</v>
          </cell>
          <cell r="AD94">
            <v>134982.45444354037</v>
          </cell>
          <cell r="AE94">
            <v>132415.23741807911</v>
          </cell>
          <cell r="AF94">
            <v>127649.0652253076</v>
          </cell>
          <cell r="AG94">
            <v>145672.4948907613</v>
          </cell>
          <cell r="AH94">
            <v>159141.96638236879</v>
          </cell>
          <cell r="AI94">
            <v>162012.71852654294</v>
          </cell>
          <cell r="AJ94">
            <v>169199.92736255395</v>
          </cell>
          <cell r="AK94">
            <v>144134.87088199737</v>
          </cell>
          <cell r="AL94">
            <v>134685.0663532156</v>
          </cell>
          <cell r="AM94">
            <v>128089.36446096985</v>
          </cell>
          <cell r="AN94">
            <v>975856.1155580004</v>
          </cell>
          <cell r="AO94">
            <v>1713978.0631432801</v>
          </cell>
          <cell r="AP94">
            <v>152013.57615185081</v>
          </cell>
          <cell r="AQ94">
            <v>152546.70162494489</v>
          </cell>
          <cell r="AR94">
            <v>150582.30741371511</v>
          </cell>
          <cell r="AS94">
            <v>144561.68161412032</v>
          </cell>
          <cell r="AT94">
            <v>139766.72475730226</v>
          </cell>
          <cell r="AU94">
            <v>159586.27894259099</v>
          </cell>
          <cell r="AV94">
            <v>175318.62182171136</v>
          </cell>
          <cell r="AW94">
            <v>177145.02495752578</v>
          </cell>
          <cell r="AX94">
            <v>181405.02432134908</v>
          </cell>
          <cell r="AY94">
            <v>157847.40447587724</v>
          </cell>
          <cell r="AZ94">
            <v>150870.71102455759</v>
          </cell>
          <cell r="BA94">
            <v>143595.77234988206</v>
          </cell>
          <cell r="BB94">
            <v>1885239.8294554276</v>
          </cell>
          <cell r="BC94">
            <v>147465.27341545103</v>
          </cell>
          <cell r="BD94">
            <v>147920.92758292853</v>
          </cell>
          <cell r="BE94">
            <v>145822.42075311719</v>
          </cell>
          <cell r="BF94">
            <v>139542.77682074351</v>
          </cell>
          <cell r="BG94">
            <v>134593.79967377591</v>
          </cell>
          <cell r="BH94">
            <v>155122.27070426644</v>
          </cell>
          <cell r="BI94">
            <v>171483.15340874027</v>
          </cell>
          <cell r="BJ94">
            <v>173412.66388843933</v>
          </cell>
          <cell r="BK94">
            <v>177818.9516095891</v>
          </cell>
          <cell r="BL94">
            <v>153340.65267012437</v>
          </cell>
          <cell r="BM94">
            <v>146148.34062382387</v>
          </cell>
          <cell r="BN94">
            <v>138634.45586981188</v>
          </cell>
          <cell r="BO94">
            <v>1831305.6870208115</v>
          </cell>
          <cell r="BP94">
            <v>152154.35912169199</v>
          </cell>
          <cell r="BQ94">
            <v>152538.94677174761</v>
          </cell>
          <cell r="BR94">
            <v>150322.14979047069</v>
          </cell>
          <cell r="BS94">
            <v>143817.74307270555</v>
          </cell>
          <cell r="BT94">
            <v>138737.11963310331</v>
          </cell>
          <cell r="BU94">
            <v>159875.24131443957</v>
          </cell>
          <cell r="BV94">
            <v>176779.74323729333</v>
          </cell>
          <cell r="BW94">
            <v>178799.67399873209</v>
          </cell>
          <cell r="BX94">
            <v>183331.46644980018</v>
          </cell>
          <cell r="BY94">
            <v>158057.78089442282</v>
          </cell>
          <cell r="BZ94">
            <v>150681.57501046822</v>
          </cell>
          <cell r="CA94">
            <v>142963.18471655564</v>
          </cell>
          <cell r="CB94">
            <v>1888058.984011431</v>
          </cell>
          <cell r="CC94">
            <v>157496.79902881448</v>
          </cell>
          <cell r="CD94">
            <v>157804.87722793754</v>
          </cell>
          <cell r="CE94">
            <v>155456.24220350312</v>
          </cell>
          <cell r="CF94">
            <v>148697.745103917</v>
          </cell>
          <cell r="CG94">
            <v>143466.30575737712</v>
          </cell>
          <cell r="CH94">
            <v>165299.10652532332</v>
          </cell>
          <cell r="CI94">
            <v>182820.01841219046</v>
          </cell>
          <cell r="CJ94">
            <v>184941.2351750448</v>
          </cell>
          <cell r="CK94">
            <v>189616.31249324544</v>
          </cell>
          <cell r="CL94">
            <v>163439.91043002819</v>
          </cell>
          <cell r="CM94">
            <v>155852.58385970155</v>
          </cell>
          <cell r="CN94">
            <v>147900.18197557802</v>
          </cell>
          <cell r="CO94">
            <v>1952791.3181926608</v>
          </cell>
          <cell r="CP94">
            <v>163048.82087099791</v>
          </cell>
          <cell r="CQ94">
            <v>163278.0698367584</v>
          </cell>
          <cell r="CR94">
            <v>160792.87471504352</v>
          </cell>
          <cell r="CS94">
            <v>153770.62350854065</v>
          </cell>
          <cell r="CT94">
            <v>148382.32497361136</v>
          </cell>
          <cell r="CU94">
            <v>170937.07056773247</v>
          </cell>
          <cell r="CV94">
            <v>189098.11806560404</v>
          </cell>
          <cell r="CW94">
            <v>191324.32845301076</v>
          </cell>
          <cell r="CX94">
            <v>196148.358284124</v>
          </cell>
          <cell r="CY94">
            <v>169034.36225437917</v>
          </cell>
          <cell r="CZ94">
            <v>161227.38963183743</v>
          </cell>
          <cell r="DA94">
            <v>153031.64071710096</v>
          </cell>
          <cell r="DB94">
            <v>2020073.9818787409</v>
          </cell>
          <cell r="DC94">
            <v>168814.90790113204</v>
          </cell>
          <cell r="DD94">
            <v>168962.87736816393</v>
          </cell>
          <cell r="DE94">
            <v>166336.24571505055</v>
          </cell>
          <cell r="DF94">
            <v>159040.3338772862</v>
          </cell>
          <cell r="DG94">
            <v>153489.01864301274</v>
          </cell>
          <cell r="DH94">
            <v>176793.55642597048</v>
          </cell>
          <cell r="DI94">
            <v>195619.02678526903</v>
          </cell>
          <cell r="DJ94">
            <v>197954.04926018111</v>
          </cell>
          <cell r="DK94">
            <v>202932.81495712651</v>
          </cell>
          <cell r="DL94">
            <v>174845.53786929324</v>
          </cell>
          <cell r="DM94">
            <v>166810.24030565238</v>
          </cell>
          <cell r="DN94">
            <v>158361.62763810268</v>
          </cell>
          <cell r="DO94">
            <v>2089960.2367462413</v>
          </cell>
          <cell r="DP94">
            <v>174803.11502063079</v>
          </cell>
          <cell r="DQ94">
            <v>174867.2591728812</v>
          </cell>
          <cell r="DR94">
            <v>172094.1288504859</v>
          </cell>
          <cell r="DS94">
            <v>164514.27559642264</v>
          </cell>
          <cell r="DT94">
            <v>158793.55507897708</v>
          </cell>
          <cell r="DU94">
            <v>182876.78019380936</v>
          </cell>
          <cell r="DV94">
            <v>202391.87679346392</v>
          </cell>
          <cell r="DW94">
            <v>204839.67480775717</v>
          </cell>
          <cell r="DX94">
            <v>209979.17711170393</v>
          </cell>
          <cell r="DY94">
            <v>180881.58639670286</v>
          </cell>
          <cell r="DZ94">
            <v>172608.95962718409</v>
          </cell>
          <cell r="EA94">
            <v>163897.60915020661</v>
          </cell>
        </row>
        <row r="95">
          <cell r="A95" t="str">
            <v>AGS PRIMARY</v>
          </cell>
          <cell r="B95">
            <v>41136.515805998264</v>
          </cell>
          <cell r="C95">
            <v>40342.008011305254</v>
          </cell>
          <cell r="D95">
            <v>40607.683766296257</v>
          </cell>
          <cell r="E95">
            <v>43783.089258733802</v>
          </cell>
          <cell r="F95">
            <v>41131.528634649178</v>
          </cell>
          <cell r="G95">
            <v>47276.332318955152</v>
          </cell>
          <cell r="H95">
            <v>48027.339444760495</v>
          </cell>
          <cell r="I95">
            <v>47500.731357678094</v>
          </cell>
          <cell r="J95">
            <v>48358.775850193037</v>
          </cell>
          <cell r="K95">
            <v>43994.964552492369</v>
          </cell>
          <cell r="L95">
            <v>40515.389114457641</v>
          </cell>
          <cell r="M95">
            <v>38591.844525838016</v>
          </cell>
          <cell r="N95">
            <v>521266.20264135761</v>
          </cell>
          <cell r="O95">
            <v>41915.27251626936</v>
          </cell>
          <cell r="P95">
            <v>41096.204563953586</v>
          </cell>
          <cell r="Q95">
            <v>41359.039737840227</v>
          </cell>
          <cell r="R95">
            <v>44563.414118910827</v>
          </cell>
          <cell r="S95">
            <v>41865.115214055157</v>
          </cell>
          <cell r="T95">
            <v>48106.251959733461</v>
          </cell>
          <cell r="U95">
            <v>48751.106598760118</v>
          </cell>
          <cell r="V95">
            <v>48188.927775704258</v>
          </cell>
          <cell r="W95">
            <v>49061.517549882985</v>
          </cell>
          <cell r="X95">
            <v>44764.723830816496</v>
          </cell>
          <cell r="Y95">
            <v>41263.54358217062</v>
          </cell>
          <cell r="Z95">
            <v>39321.82927297787</v>
          </cell>
          <cell r="AA95">
            <v>530256.94672107499</v>
          </cell>
          <cell r="AB95">
            <v>43499.5472791805</v>
          </cell>
          <cell r="AC95">
            <v>43536.320871035372</v>
          </cell>
          <cell r="AD95">
            <v>43890.508392350079</v>
          </cell>
          <cell r="AE95">
            <v>45356.594727328884</v>
          </cell>
          <cell r="AF95">
            <v>42601.78412749571</v>
          </cell>
          <cell r="AG95">
            <v>49018.478234667054</v>
          </cell>
          <cell r="AH95">
            <v>50565.327007493492</v>
          </cell>
          <cell r="AI95">
            <v>49556.137048774988</v>
          </cell>
          <cell r="AJ95">
            <v>50381.815879359769</v>
          </cell>
          <cell r="AK95">
            <v>46149.584446099354</v>
          </cell>
          <cell r="AL95">
            <v>42404.239002656395</v>
          </cell>
          <cell r="AM95">
            <v>40935.99604673899</v>
          </cell>
          <cell r="AN95">
            <v>318468.56063955108</v>
          </cell>
          <cell r="AO95">
            <v>547896.33306318056</v>
          </cell>
          <cell r="AP95">
            <v>42500.133671989584</v>
          </cell>
          <cell r="AQ95">
            <v>42138.141803803577</v>
          </cell>
          <cell r="AR95">
            <v>43231.688277854904</v>
          </cell>
          <cell r="AS95">
            <v>43795.695218165158</v>
          </cell>
          <cell r="AT95">
            <v>41052.268859262986</v>
          </cell>
          <cell r="AU95">
            <v>47317.569815575218</v>
          </cell>
          <cell r="AV95">
            <v>49434.919611974168</v>
          </cell>
          <cell r="AW95">
            <v>48020.329225295674</v>
          </cell>
          <cell r="AX95">
            <v>48074.277916950217</v>
          </cell>
          <cell r="AY95">
            <v>44908.180110501278</v>
          </cell>
          <cell r="AZ95">
            <v>42032.165351489442</v>
          </cell>
          <cell r="BA95">
            <v>40627.752030945332</v>
          </cell>
          <cell r="BB95">
            <v>533133.12189380755</v>
          </cell>
          <cell r="BC95">
            <v>43629.418725919983</v>
          </cell>
          <cell r="BD95">
            <v>43234.38762298334</v>
          </cell>
          <cell r="BE95">
            <v>44327.640490885256</v>
          </cell>
          <cell r="BF95">
            <v>44922.682823253272</v>
          </cell>
          <cell r="BG95">
            <v>42105.461345893898</v>
          </cell>
          <cell r="BH95">
            <v>48499.364263601325</v>
          </cell>
          <cell r="BI95">
            <v>50750.916957425521</v>
          </cell>
          <cell r="BJ95">
            <v>49238.675202507169</v>
          </cell>
          <cell r="BK95">
            <v>49277.866203648176</v>
          </cell>
          <cell r="BL95">
            <v>45989.321046962294</v>
          </cell>
          <cell r="BM95">
            <v>43131.1483114148</v>
          </cell>
          <cell r="BN95">
            <v>41723.475194209241</v>
          </cell>
          <cell r="BO95">
            <v>546830.35818870424</v>
          </cell>
          <cell r="BP95">
            <v>44582.567604473603</v>
          </cell>
          <cell r="BQ95">
            <v>44158.197950083668</v>
          </cell>
          <cell r="BR95">
            <v>45249.382751235331</v>
          </cell>
          <cell r="BS95">
            <v>45871.615161965041</v>
          </cell>
          <cell r="BT95">
            <v>42992.052763281754</v>
          </cell>
          <cell r="BU95">
            <v>49492.150469503904</v>
          </cell>
          <cell r="BV95">
            <v>51861.808032622743</v>
          </cell>
          <cell r="BW95">
            <v>50263.420713115745</v>
          </cell>
          <cell r="BX95">
            <v>50289.151662493947</v>
          </cell>
          <cell r="BY95">
            <v>46894.880928965504</v>
          </cell>
          <cell r="BZ95">
            <v>44057.613252328068</v>
          </cell>
          <cell r="CA95">
            <v>42649.300929427096</v>
          </cell>
          <cell r="CB95">
            <v>558362.14221949654</v>
          </cell>
          <cell r="CC95">
            <v>45686.741154972886</v>
          </cell>
          <cell r="CD95">
            <v>45229.870799923039</v>
          </cell>
          <cell r="CE95">
            <v>46320.52271298322</v>
          </cell>
          <cell r="CF95">
            <v>46973.234802931089</v>
          </cell>
          <cell r="CG95">
            <v>44021.510715121185</v>
          </cell>
          <cell r="CH95">
            <v>50647.033501384612</v>
          </cell>
          <cell r="CI95">
            <v>53148.562504544585</v>
          </cell>
          <cell r="CJ95">
            <v>51454.192221352074</v>
          </cell>
          <cell r="CK95">
            <v>51465.358040760126</v>
          </cell>
          <cell r="CL95">
            <v>47951.041845665728</v>
          </cell>
          <cell r="CM95">
            <v>45132.008885033189</v>
          </cell>
          <cell r="CN95">
            <v>43720.794482045923</v>
          </cell>
          <cell r="CO95">
            <v>571750.87166671769</v>
          </cell>
          <cell r="CP95">
            <v>46837.019620252751</v>
          </cell>
          <cell r="CQ95">
            <v>46346.515143875105</v>
          </cell>
          <cell r="CR95">
            <v>47436.892195406486</v>
          </cell>
          <cell r="CS95">
            <v>48121.203391279822</v>
          </cell>
          <cell r="CT95">
            <v>45094.313074637714</v>
          </cell>
          <cell r="CU95">
            <v>51850.85976541524</v>
          </cell>
          <cell r="CV95">
            <v>54489.022226371482</v>
          </cell>
          <cell r="CW95">
            <v>52695.234764978937</v>
          </cell>
          <cell r="CX95">
            <v>52691.381899769447</v>
          </cell>
          <cell r="CY95">
            <v>49052.373656910495</v>
          </cell>
          <cell r="CZ95">
            <v>46251.43667406639</v>
          </cell>
          <cell r="DA95">
            <v>44836.873790809739</v>
          </cell>
          <cell r="DB95">
            <v>585703.12620377354</v>
          </cell>
          <cell r="DC95">
            <v>48034.058459530977</v>
          </cell>
          <cell r="DD95">
            <v>47508.745402352892</v>
          </cell>
          <cell r="DE95">
            <v>48599.078050947792</v>
          </cell>
          <cell r="DF95">
            <v>49316.140774058542</v>
          </cell>
          <cell r="DG95">
            <v>46211.036017906634</v>
          </cell>
          <cell r="DH95">
            <v>53104.24472564934</v>
          </cell>
          <cell r="DI95">
            <v>55883.953311862744</v>
          </cell>
          <cell r="DJ95">
            <v>53987.201711903857</v>
          </cell>
          <cell r="DK95">
            <v>53967.852927983549</v>
          </cell>
          <cell r="DL95">
            <v>50199.399210260599</v>
          </cell>
          <cell r="DM95">
            <v>47416.517812096572</v>
          </cell>
          <cell r="DN95">
            <v>45998.189947441613</v>
          </cell>
          <cell r="DO95">
            <v>600226.41835199506</v>
          </cell>
          <cell r="DP95">
            <v>49279.60347397266</v>
          </cell>
          <cell r="DQ95">
            <v>48718.262487602318</v>
          </cell>
          <cell r="DR95">
            <v>49808.788492202613</v>
          </cell>
          <cell r="DS95">
            <v>50559.798902516734</v>
          </cell>
          <cell r="DT95">
            <v>47373.317651142366</v>
          </cell>
          <cell r="DU95">
            <v>54409.035305012221</v>
          </cell>
          <cell r="DV95">
            <v>57335.389561061384</v>
          </cell>
          <cell r="DW95">
            <v>55331.991768005319</v>
          </cell>
          <cell r="DX95">
            <v>55296.651294462325</v>
          </cell>
          <cell r="DY95">
            <v>51393.819503033134</v>
          </cell>
          <cell r="DZ95">
            <v>48628.955975722434</v>
          </cell>
          <cell r="EA95">
            <v>47206.432591368779</v>
          </cell>
        </row>
        <row r="96">
          <cell r="A96" t="str">
            <v>TGS</v>
          </cell>
          <cell r="B96">
            <v>135868.56413599412</v>
          </cell>
          <cell r="C96">
            <v>131514.88522192708</v>
          </cell>
          <cell r="D96">
            <v>132927.39578080483</v>
          </cell>
          <cell r="E96">
            <v>146097.96905161388</v>
          </cell>
          <cell r="F96">
            <v>149235.54273253295</v>
          </cell>
          <cell r="G96">
            <v>158134.66078240701</v>
          </cell>
          <cell r="H96">
            <v>168881.2792516296</v>
          </cell>
          <cell r="I96">
            <v>161208.50446418399</v>
          </cell>
          <cell r="J96">
            <v>161362.24564623341</v>
          </cell>
          <cell r="K96">
            <v>151370.02000219893</v>
          </cell>
          <cell r="L96">
            <v>151511.77511143938</v>
          </cell>
          <cell r="M96">
            <v>152661.84699687597</v>
          </cell>
          <cell r="N96">
            <v>1800774.6891778409</v>
          </cell>
          <cell r="O96">
            <v>138272.86004185042</v>
          </cell>
          <cell r="P96">
            <v>133787.45786623826</v>
          </cell>
          <cell r="Q96">
            <v>135254.37219676917</v>
          </cell>
          <cell r="R96">
            <v>148546.94037860038</v>
          </cell>
          <cell r="S96">
            <v>151652.81230159581</v>
          </cell>
          <cell r="T96">
            <v>160810.03719687089</v>
          </cell>
          <cell r="U96">
            <v>171292.15006456853</v>
          </cell>
          <cell r="V96">
            <v>163441.01255394091</v>
          </cell>
          <cell r="W96">
            <v>163617.86600271589</v>
          </cell>
          <cell r="X96">
            <v>153936.14546560086</v>
          </cell>
          <cell r="Y96">
            <v>154036.54885014141</v>
          </cell>
          <cell r="Z96">
            <v>155316.91958720118</v>
          </cell>
          <cell r="AA96">
            <v>1829965.1225060937</v>
          </cell>
          <cell r="AB96">
            <v>140158.12973109639</v>
          </cell>
          <cell r="AC96">
            <v>132959.22366239206</v>
          </cell>
          <cell r="AD96">
            <v>134260.99575231713</v>
          </cell>
          <cell r="AE96">
            <v>141872.08579923594</v>
          </cell>
          <cell r="AF96">
            <v>144473.15360313526</v>
          </cell>
          <cell r="AG96">
            <v>153456.61405327247</v>
          </cell>
          <cell r="AH96">
            <v>166954.76172364992</v>
          </cell>
          <cell r="AI96">
            <v>158550.28635041881</v>
          </cell>
          <cell r="AJ96">
            <v>158221.41862105567</v>
          </cell>
          <cell r="AK96">
            <v>149222.05113779218</v>
          </cell>
          <cell r="AL96">
            <v>149297.63244157028</v>
          </cell>
          <cell r="AM96">
            <v>152231.22359596135</v>
          </cell>
          <cell r="AN96">
            <v>1014134.9643250993</v>
          </cell>
          <cell r="AO96">
            <v>1781657.5764718975</v>
          </cell>
          <cell r="AP96">
            <v>138260.80143760404</v>
          </cell>
          <cell r="AQ96">
            <v>130132.28913826165</v>
          </cell>
          <cell r="AR96">
            <v>134451.7865120013</v>
          </cell>
          <cell r="AS96">
            <v>140146.06154171893</v>
          </cell>
          <cell r="AT96">
            <v>144229.0172108353</v>
          </cell>
          <cell r="AU96">
            <v>152053.36075104412</v>
          </cell>
          <cell r="AV96">
            <v>166102.38779321642</v>
          </cell>
          <cell r="AW96">
            <v>156332.18040383921</v>
          </cell>
          <cell r="AX96">
            <v>155546.93985169224</v>
          </cell>
          <cell r="AY96">
            <v>148807.86817804931</v>
          </cell>
          <cell r="AZ96">
            <v>150442.62301518209</v>
          </cell>
          <cell r="BA96">
            <v>149352.34873991591</v>
          </cell>
          <cell r="BB96">
            <v>1765857.6645733605</v>
          </cell>
          <cell r="BC96">
            <v>141158.17780361674</v>
          </cell>
          <cell r="BD96">
            <v>132827.4689683452</v>
          </cell>
          <cell r="BE96">
            <v>137310.42331556248</v>
          </cell>
          <cell r="BF96">
            <v>143138.65020599787</v>
          </cell>
          <cell r="BG96">
            <v>147145.60062000339</v>
          </cell>
          <cell r="BH96">
            <v>155338.91236464767</v>
          </cell>
          <cell r="BI96">
            <v>169860.05993393014</v>
          </cell>
          <cell r="BJ96">
            <v>159716.46063817237</v>
          </cell>
          <cell r="BK96">
            <v>158862.55627850481</v>
          </cell>
          <cell r="BL96">
            <v>151880.79771993606</v>
          </cell>
          <cell r="BM96">
            <v>153455.69447422295</v>
          </cell>
          <cell r="BN96">
            <v>152588.23234046268</v>
          </cell>
          <cell r="BO96">
            <v>1803283.0346634025</v>
          </cell>
          <cell r="BP96">
            <v>143555.49599198054</v>
          </cell>
          <cell r="BQ96">
            <v>135054.98265004941</v>
          </cell>
          <cell r="BR96">
            <v>139678.91851211269</v>
          </cell>
          <cell r="BS96">
            <v>145619.12843609136</v>
          </cell>
          <cell r="BT96">
            <v>149550.48630545021</v>
          </cell>
          <cell r="BU96">
            <v>158065.20663897728</v>
          </cell>
          <cell r="BV96">
            <v>172990.96596905444</v>
          </cell>
          <cell r="BW96">
            <v>162525.15657845265</v>
          </cell>
          <cell r="BX96">
            <v>161610.33362464682</v>
          </cell>
          <cell r="BY96">
            <v>154419.79478301841</v>
          </cell>
          <cell r="BZ96">
            <v>155937.7634470354</v>
          </cell>
          <cell r="CA96">
            <v>155273.97607262855</v>
          </cell>
          <cell r="CB96">
            <v>1834282.2090094979</v>
          </cell>
          <cell r="CC96">
            <v>146381.94213443506</v>
          </cell>
          <cell r="CD96">
            <v>137683.84390918791</v>
          </cell>
          <cell r="CE96">
            <v>142468.00972369593</v>
          </cell>
          <cell r="CF96">
            <v>148539.04754155359</v>
          </cell>
          <cell r="CG96">
            <v>152394.54511582572</v>
          </cell>
          <cell r="CH96">
            <v>161271.37795818161</v>
          </cell>
          <cell r="CI96">
            <v>176659.58705125924</v>
          </cell>
          <cell r="CJ96">
            <v>165827.73579152816</v>
          </cell>
          <cell r="CK96">
            <v>164845.37556719664</v>
          </cell>
          <cell r="CL96">
            <v>157417.01355796825</v>
          </cell>
          <cell r="CM96">
            <v>158875.59008178877</v>
          </cell>
          <cell r="CN96">
            <v>158431.76892788339</v>
          </cell>
          <cell r="CO96">
            <v>1870795.8373605041</v>
          </cell>
          <cell r="CP96">
            <v>149333.82095660683</v>
          </cell>
          <cell r="CQ96">
            <v>140429.75599103118</v>
          </cell>
          <cell r="CR96">
            <v>145380.377300705</v>
          </cell>
          <cell r="CS96">
            <v>151587.87145373892</v>
          </cell>
          <cell r="CT96">
            <v>155366.10297113881</v>
          </cell>
          <cell r="CU96">
            <v>164618.63032192987</v>
          </cell>
          <cell r="CV96">
            <v>180487.65517643592</v>
          </cell>
          <cell r="CW96">
            <v>169275.56448178296</v>
          </cell>
          <cell r="CX96">
            <v>168223.30340503517</v>
          </cell>
          <cell r="CY96">
            <v>160547.79542349293</v>
          </cell>
          <cell r="CZ96">
            <v>161945.48628114501</v>
          </cell>
          <cell r="DA96">
            <v>161728.41172504768</v>
          </cell>
          <cell r="DB96">
            <v>1908924.7754880902</v>
          </cell>
          <cell r="DC96">
            <v>152412.08941835375</v>
          </cell>
          <cell r="DD96">
            <v>143293.57136790905</v>
          </cell>
          <cell r="DE96">
            <v>148417.01403190318</v>
          </cell>
          <cell r="DF96">
            <v>154766.65451177247</v>
          </cell>
          <cell r="DG96">
            <v>158465.99787733075</v>
          </cell>
          <cell r="DH96">
            <v>168108.16624003096</v>
          </cell>
          <cell r="DI96">
            <v>184476.73912603373</v>
          </cell>
          <cell r="DJ96">
            <v>172869.88849356482</v>
          </cell>
          <cell r="DK96">
            <v>171745.27851038126</v>
          </cell>
          <cell r="DL96">
            <v>163813.10150421422</v>
          </cell>
          <cell r="DM96">
            <v>165148.28200468409</v>
          </cell>
          <cell r="DN96">
            <v>165165.09877644113</v>
          </cell>
          <cell r="DO96">
            <v>1948681.8818626194</v>
          </cell>
          <cell r="DP96">
            <v>155621.43179419162</v>
          </cell>
          <cell r="DQ96">
            <v>146279.65808873033</v>
          </cell>
          <cell r="DR96">
            <v>151582.52779850317</v>
          </cell>
          <cell r="DS96">
            <v>158080.21626217145</v>
          </cell>
          <cell r="DT96">
            <v>161698.98062414027</v>
          </cell>
          <cell r="DU96">
            <v>171745.26435066166</v>
          </cell>
          <cell r="DV96">
            <v>188632.82129839828</v>
          </cell>
          <cell r="DW96">
            <v>176616.14304681178</v>
          </cell>
          <cell r="DX96">
            <v>175416.64258157893</v>
          </cell>
          <cell r="DY96">
            <v>167217.91512857581</v>
          </cell>
          <cell r="DZ96">
            <v>168488.89533423862</v>
          </cell>
          <cell r="EA96">
            <v>168747.02609765437</v>
          </cell>
        </row>
        <row r="97">
          <cell r="A97" t="str">
            <v>SPL</v>
          </cell>
          <cell r="B97">
            <v>6645.4957172652685</v>
          </cell>
          <cell r="C97">
            <v>5699.8805037261282</v>
          </cell>
          <cell r="D97">
            <v>5504.3151048269774</v>
          </cell>
          <cell r="E97">
            <v>5012.7883806506206</v>
          </cell>
          <cell r="F97">
            <v>4479.5175095923132</v>
          </cell>
          <cell r="G97">
            <v>4183.8200793859614</v>
          </cell>
          <cell r="H97">
            <v>4268.3217583376454</v>
          </cell>
          <cell r="I97">
            <v>4524.1526322702994</v>
          </cell>
          <cell r="J97">
            <v>5031.0499992967889</v>
          </cell>
          <cell r="K97">
            <v>5686.189880516522</v>
          </cell>
          <cell r="L97">
            <v>6328.743289885213</v>
          </cell>
          <cell r="M97">
            <v>6614.0622708399687</v>
          </cell>
          <cell r="N97">
            <v>63978.337126593702</v>
          </cell>
          <cell r="O97">
            <v>6660.4817310382923</v>
          </cell>
          <cell r="P97">
            <v>5713.6222762781226</v>
          </cell>
          <cell r="Q97">
            <v>5512.2778463951199</v>
          </cell>
          <cell r="R97">
            <v>5012.6614984564303</v>
          </cell>
          <cell r="S97">
            <v>4474.162049292665</v>
          </cell>
          <cell r="T97">
            <v>4179.8428366284688</v>
          </cell>
          <cell r="U97">
            <v>4253.0047369644262</v>
          </cell>
          <cell r="V97">
            <v>4503.5567973354882</v>
          </cell>
          <cell r="W97">
            <v>5011.0019858255073</v>
          </cell>
          <cell r="X97">
            <v>5696.7707491999427</v>
          </cell>
          <cell r="Y97">
            <v>6345.9724479076094</v>
          </cell>
          <cell r="Z97">
            <v>6626.0790327862469</v>
          </cell>
          <cell r="AA97">
            <v>63989.433988108329</v>
          </cell>
          <cell r="AB97">
            <v>7152.1827400436705</v>
          </cell>
          <cell r="AC97">
            <v>6140.3957168860597</v>
          </cell>
          <cell r="AD97">
            <v>5986.7737799205534</v>
          </cell>
          <cell r="AE97">
            <v>5462.7908849265868</v>
          </cell>
          <cell r="AF97">
            <v>4860.1886918655173</v>
          </cell>
          <cell r="AG97">
            <v>4529.6751547695858</v>
          </cell>
          <cell r="AH97">
            <v>4611.1968773558638</v>
          </cell>
          <cell r="AI97">
            <v>4934.4126275516792</v>
          </cell>
          <cell r="AJ97">
            <v>5490.4290697413162</v>
          </cell>
          <cell r="AK97">
            <v>6158.7804400422719</v>
          </cell>
          <cell r="AL97">
            <v>6804.10633465301</v>
          </cell>
          <cell r="AM97">
            <v>7225.7257786782502</v>
          </cell>
          <cell r="AN97">
            <v>38743.203845767835</v>
          </cell>
          <cell r="AO97">
            <v>69356.658096434374</v>
          </cell>
          <cell r="AP97">
            <v>7703.8271624574754</v>
          </cell>
          <cell r="AQ97">
            <v>6698.0321557034858</v>
          </cell>
          <cell r="AR97">
            <v>6408.4875527955137</v>
          </cell>
          <cell r="AS97">
            <v>5856.8142127835999</v>
          </cell>
          <cell r="AT97">
            <v>5218.7888011332016</v>
          </cell>
          <cell r="AU97">
            <v>4835.0220531803607</v>
          </cell>
          <cell r="AV97">
            <v>4939.4891346323093</v>
          </cell>
          <cell r="AW97">
            <v>5231.6557117884822</v>
          </cell>
          <cell r="AX97">
            <v>5744.5981313552657</v>
          </cell>
          <cell r="AY97">
            <v>6545.4801286245747</v>
          </cell>
          <cell r="AZ97">
            <v>7269.7089117612632</v>
          </cell>
          <cell r="BA97">
            <v>7752.1380422947423</v>
          </cell>
          <cell r="BB97">
            <v>74204.041998510278</v>
          </cell>
          <cell r="BC97">
            <v>7811.386236607681</v>
          </cell>
          <cell r="BD97">
            <v>6791.1696517081837</v>
          </cell>
          <cell r="BE97">
            <v>6493.5136086661005</v>
          </cell>
          <cell r="BF97">
            <v>5946.1585279433639</v>
          </cell>
          <cell r="BG97">
            <v>5293.1482480054992</v>
          </cell>
          <cell r="BH97">
            <v>4905.8294849451822</v>
          </cell>
          <cell r="BI97">
            <v>5008.0660153143635</v>
          </cell>
          <cell r="BJ97">
            <v>5296.2850075247006</v>
          </cell>
          <cell r="BK97">
            <v>5816.9628491890726</v>
          </cell>
          <cell r="BL97">
            <v>6628.8151578732986</v>
          </cell>
          <cell r="BM97">
            <v>7374.5487914371952</v>
          </cell>
          <cell r="BN97">
            <v>7854.1275614266106</v>
          </cell>
          <cell r="BO97">
            <v>75220.011140641262</v>
          </cell>
          <cell r="BP97">
            <v>7931.7556470512045</v>
          </cell>
          <cell r="BQ97">
            <v>6895.544319003222</v>
          </cell>
          <cell r="BR97">
            <v>6590.3619875865852</v>
          </cell>
          <cell r="BS97">
            <v>6043.2567213746752</v>
          </cell>
          <cell r="BT97">
            <v>5375.7936366799358</v>
          </cell>
          <cell r="BU97">
            <v>4983.8112710022333</v>
          </cell>
          <cell r="BV97">
            <v>5084.9580277244459</v>
          </cell>
          <cell r="BW97">
            <v>5371.8194060490769</v>
          </cell>
          <cell r="BX97">
            <v>5900.9351915767584</v>
          </cell>
          <cell r="BY97">
            <v>6725.1449830197726</v>
          </cell>
          <cell r="BZ97">
            <v>7490.6010919568089</v>
          </cell>
          <cell r="CA97">
            <v>7970.6445758877671</v>
          </cell>
          <cell r="CB97">
            <v>76364.626858912496</v>
          </cell>
          <cell r="CC97">
            <v>8087.2873005602287</v>
          </cell>
          <cell r="CD97">
            <v>7030.4880332310495</v>
          </cell>
          <cell r="CE97">
            <v>6716.431120823232</v>
          </cell>
          <cell r="CF97">
            <v>6167.1366782721798</v>
          </cell>
          <cell r="CG97">
            <v>5482.2687456507138</v>
          </cell>
          <cell r="CH97">
            <v>5083.883035097906</v>
          </cell>
          <cell r="CI97">
            <v>5184.3925915412892</v>
          </cell>
          <cell r="CJ97">
            <v>5471.1771351265179</v>
          </cell>
          <cell r="CK97">
            <v>6011.0758359863012</v>
          </cell>
          <cell r="CL97">
            <v>6851.2971517874548</v>
          </cell>
          <cell r="CM97">
            <v>7639.8561680185267</v>
          </cell>
          <cell r="CN97">
            <v>8122.5033067163458</v>
          </cell>
          <cell r="CO97">
            <v>77847.797102811746</v>
          </cell>
          <cell r="CP97">
            <v>8248.769712904108</v>
          </cell>
          <cell r="CQ97">
            <v>7170.594796147243</v>
          </cell>
          <cell r="CR97">
            <v>6847.3237545595166</v>
          </cell>
          <cell r="CS97">
            <v>6295.7563761249021</v>
          </cell>
          <cell r="CT97">
            <v>5592.8176729157403</v>
          </cell>
          <cell r="CU97">
            <v>5187.7836206641678</v>
          </cell>
          <cell r="CV97">
            <v>5287.6315970635551</v>
          </cell>
          <cell r="CW97">
            <v>5574.3363661540716</v>
          </cell>
          <cell r="CX97">
            <v>6125.4305448515952</v>
          </cell>
          <cell r="CY97">
            <v>6982.27599805707</v>
          </cell>
          <cell r="CZ97">
            <v>7794.8218563092159</v>
          </cell>
          <cell r="DA97">
            <v>8280.172267576816</v>
          </cell>
          <cell r="DB97">
            <v>79387.714563328016</v>
          </cell>
          <cell r="DC97">
            <v>8416.3480544289105</v>
          </cell>
          <cell r="DD97">
            <v>7315.9905616991337</v>
          </cell>
          <cell r="DE97">
            <v>6983.1575593743091</v>
          </cell>
          <cell r="DF97">
            <v>6429.2314421753217</v>
          </cell>
          <cell r="DG97">
            <v>5707.5398003568935</v>
          </cell>
          <cell r="DH97">
            <v>5295.6064328201564</v>
          </cell>
          <cell r="DI97">
            <v>5394.767854659518</v>
          </cell>
          <cell r="DJ97">
            <v>5681.3898377838977</v>
          </cell>
          <cell r="DK97">
            <v>6244.1021213969652</v>
          </cell>
          <cell r="DL97">
            <v>7118.1992699113007</v>
          </cell>
          <cell r="DM97">
            <v>7955.6374687345633</v>
          </cell>
          <cell r="DN97">
            <v>8443.7932005776856</v>
          </cell>
          <cell r="DO97">
            <v>80985.763603918662</v>
          </cell>
          <cell r="DP97">
            <v>8590.2524452575617</v>
          </cell>
          <cell r="DQ97">
            <v>7466.874988691894</v>
          </cell>
          <cell r="DR97">
            <v>7124.1190635001749</v>
          </cell>
          <cell r="DS97">
            <v>6567.7451656141984</v>
          </cell>
          <cell r="DT97">
            <v>5826.592665456812</v>
          </cell>
          <cell r="DU97">
            <v>5407.4995348451821</v>
          </cell>
          <cell r="DV97">
            <v>5505.9484848254388</v>
          </cell>
          <cell r="DW97">
            <v>5792.4845568298069</v>
          </cell>
          <cell r="DX97">
            <v>6367.2535265249589</v>
          </cell>
          <cell r="DY97">
            <v>7259.2536184396795</v>
          </cell>
          <cell r="DZ97">
            <v>8122.5238387755726</v>
          </cell>
          <cell r="EA97">
            <v>8613.5907914920244</v>
          </cell>
        </row>
        <row r="98">
          <cell r="A98" t="str">
            <v>CSL</v>
          </cell>
          <cell r="B98">
            <v>772.79808236760687</v>
          </cell>
          <cell r="C98">
            <v>724.31496267224031</v>
          </cell>
          <cell r="D98">
            <v>662.88312621702528</v>
          </cell>
          <cell r="E98">
            <v>564.48433889483397</v>
          </cell>
          <cell r="F98">
            <v>525.52219180151201</v>
          </cell>
          <cell r="G98">
            <v>486.11276993553702</v>
          </cell>
          <cell r="H98">
            <v>507.29536200723112</v>
          </cell>
          <cell r="I98">
            <v>556.95888804825995</v>
          </cell>
          <cell r="J98">
            <v>608.42789283388208</v>
          </cell>
          <cell r="K98">
            <v>691.75839738957552</v>
          </cell>
          <cell r="L98">
            <v>757.4233534678259</v>
          </cell>
          <cell r="M98">
            <v>819.99761819638559</v>
          </cell>
          <cell r="N98">
            <v>7677.9769838319153</v>
          </cell>
          <cell r="O98">
            <v>756.97730187216223</v>
          </cell>
          <cell r="P98">
            <v>709.48752025826934</v>
          </cell>
          <cell r="Q98">
            <v>649.31924551058455</v>
          </cell>
          <cell r="R98">
            <v>548.97326023158405</v>
          </cell>
          <cell r="S98">
            <v>511.08554289096674</v>
          </cell>
          <cell r="T98">
            <v>472.76314404482179</v>
          </cell>
          <cell r="U98">
            <v>494.07426807929363</v>
          </cell>
          <cell r="V98">
            <v>542.43781268425676</v>
          </cell>
          <cell r="W98">
            <v>592.56151523596213</v>
          </cell>
          <cell r="X98">
            <v>678.12994447602591</v>
          </cell>
          <cell r="Y98">
            <v>742.49591131915633</v>
          </cell>
          <cell r="Z98">
            <v>803.83158726755835</v>
          </cell>
          <cell r="AA98">
            <v>7502.1370538706415</v>
          </cell>
          <cell r="AB98">
            <v>825.12545928079908</v>
          </cell>
          <cell r="AC98">
            <v>774.98381096975902</v>
          </cell>
          <cell r="AD98">
            <v>721.77006501721485</v>
          </cell>
          <cell r="AE98">
            <v>616.98222894972662</v>
          </cell>
          <cell r="AF98">
            <v>570.04288886857682</v>
          </cell>
          <cell r="AG98">
            <v>523.62471299366962</v>
          </cell>
          <cell r="AH98">
            <v>547.41862026417198</v>
          </cell>
          <cell r="AI98">
            <v>614.20254896530628</v>
          </cell>
          <cell r="AJ98">
            <v>673.54183848106413</v>
          </cell>
          <cell r="AK98">
            <v>760.1404796632537</v>
          </cell>
          <cell r="AL98">
            <v>827.00186573109067</v>
          </cell>
          <cell r="AM98">
            <v>911.25046298276777</v>
          </cell>
          <cell r="AN98">
            <v>4579.9477863439179</v>
          </cell>
          <cell r="AO98">
            <v>8366.0849821674001</v>
          </cell>
          <cell r="AP98">
            <v>835.53001560860378</v>
          </cell>
          <cell r="AQ98">
            <v>800.10660836648015</v>
          </cell>
          <cell r="AR98">
            <v>716.34832236160548</v>
          </cell>
          <cell r="AS98">
            <v>616.35316007525626</v>
          </cell>
          <cell r="AT98">
            <v>571.18609040326965</v>
          </cell>
          <cell r="AU98">
            <v>520.70369578630118</v>
          </cell>
          <cell r="AV98">
            <v>549.25236538009722</v>
          </cell>
          <cell r="AW98">
            <v>613.61002066832521</v>
          </cell>
          <cell r="AX98">
            <v>670.1614876502781</v>
          </cell>
          <cell r="AY98">
            <v>761.69843124167312</v>
          </cell>
          <cell r="AZ98">
            <v>809.71257017524363</v>
          </cell>
          <cell r="BA98">
            <v>904.25459914814337</v>
          </cell>
          <cell r="BB98">
            <v>8368.9173668652766</v>
          </cell>
          <cell r="BC98">
            <v>824.60523506458821</v>
          </cell>
          <cell r="BD98">
            <v>789.64498696531928</v>
          </cell>
          <cell r="BE98">
            <v>706.99216526166242</v>
          </cell>
          <cell r="BF98">
            <v>608.31283580981312</v>
          </cell>
          <cell r="BG98">
            <v>563.7401757002367</v>
          </cell>
          <cell r="BH98">
            <v>513.92192141829912</v>
          </cell>
          <cell r="BI98">
            <v>542.0946433640047</v>
          </cell>
          <cell r="BJ98">
            <v>605.60338722382471</v>
          </cell>
          <cell r="BK98">
            <v>661.41034833064896</v>
          </cell>
          <cell r="BL98">
            <v>751.74483070575047</v>
          </cell>
          <cell r="BM98">
            <v>799.12793870034409</v>
          </cell>
          <cell r="BN98">
            <v>892.42515026939952</v>
          </cell>
          <cell r="BO98">
            <v>8259.6236188138901</v>
          </cell>
          <cell r="BP98">
            <v>820.99165493597104</v>
          </cell>
          <cell r="BQ98">
            <v>786.18460091254042</v>
          </cell>
          <cell r="BR98">
            <v>703.90162654932578</v>
          </cell>
          <cell r="BS98">
            <v>605.66094094641369</v>
          </cell>
          <cell r="BT98">
            <v>561.28645555169169</v>
          </cell>
          <cell r="BU98">
            <v>511.68953499798448</v>
          </cell>
          <cell r="BV98">
            <v>539.73681973226292</v>
          </cell>
          <cell r="BW98">
            <v>602.96175022632008</v>
          </cell>
          <cell r="BX98">
            <v>658.52038368705144</v>
          </cell>
          <cell r="BY98">
            <v>748.45485299065581</v>
          </cell>
          <cell r="BZ98">
            <v>795.6279192667439</v>
          </cell>
          <cell r="CA98">
            <v>888.50986036904089</v>
          </cell>
          <cell r="CB98">
            <v>8223.5264001660016</v>
          </cell>
          <cell r="CC98">
            <v>821.04320669384606</v>
          </cell>
          <cell r="CD98">
            <v>786.23395852564499</v>
          </cell>
          <cell r="CE98">
            <v>703.95348550993322</v>
          </cell>
          <cell r="CF98">
            <v>605.71286045894408</v>
          </cell>
          <cell r="CG98">
            <v>561.33844535099388</v>
          </cell>
          <cell r="CH98">
            <v>511.74143943994278</v>
          </cell>
          <cell r="CI98">
            <v>539.78850089848788</v>
          </cell>
          <cell r="CJ98">
            <v>603.01188026117245</v>
          </cell>
          <cell r="CK98">
            <v>658.5702210827119</v>
          </cell>
          <cell r="CL98">
            <v>748.50617608616756</v>
          </cell>
          <cell r="CM98">
            <v>795.67979798626482</v>
          </cell>
          <cell r="CN98">
            <v>888.56112935311535</v>
          </cell>
          <cell r="CO98">
            <v>8224.1411016472248</v>
          </cell>
          <cell r="CP98">
            <v>821.09673086101338</v>
          </cell>
          <cell r="CQ98">
            <v>786.28520459840138</v>
          </cell>
          <cell r="CR98">
            <v>704.00732863364215</v>
          </cell>
          <cell r="CS98">
            <v>605.7667664513383</v>
          </cell>
          <cell r="CT98">
            <v>561.39242431938499</v>
          </cell>
          <cell r="CU98">
            <v>511.79532978515351</v>
          </cell>
          <cell r="CV98">
            <v>539.84215942526669</v>
          </cell>
          <cell r="CW98">
            <v>603.06392830911773</v>
          </cell>
          <cell r="CX98">
            <v>658.62196529486812</v>
          </cell>
          <cell r="CY98">
            <v>748.55946284217634</v>
          </cell>
          <cell r="CZ98">
            <v>795.73366162487821</v>
          </cell>
          <cell r="DA98">
            <v>888.61435992734243</v>
          </cell>
          <cell r="DB98">
            <v>8224.7793220725835</v>
          </cell>
          <cell r="DC98">
            <v>821.15227555492288</v>
          </cell>
          <cell r="DD98">
            <v>786.33838520028576</v>
          </cell>
          <cell r="DE98">
            <v>704.06320432463963</v>
          </cell>
          <cell r="DF98">
            <v>605.82270738430157</v>
          </cell>
          <cell r="DG98">
            <v>561.44844098317458</v>
          </cell>
          <cell r="DH98">
            <v>511.85125448025519</v>
          </cell>
          <cell r="DI98">
            <v>539.89784355083623</v>
          </cell>
          <cell r="DJ98">
            <v>603.11794116059593</v>
          </cell>
          <cell r="DK98">
            <v>658.67566284081624</v>
          </cell>
          <cell r="DL98">
            <v>748.61476116270285</v>
          </cell>
          <cell r="DM98">
            <v>795.78955860521376</v>
          </cell>
          <cell r="DN98">
            <v>888.66959994523597</v>
          </cell>
          <cell r="DO98">
            <v>8225.4416351929813</v>
          </cell>
          <cell r="DP98">
            <v>821.20991705005997</v>
          </cell>
          <cell r="DQ98">
            <v>786.39357335939064</v>
          </cell>
          <cell r="DR98">
            <v>704.12118931193936</v>
          </cell>
          <cell r="DS98">
            <v>605.88076007643861</v>
          </cell>
          <cell r="DT98">
            <v>561.50657226496173</v>
          </cell>
          <cell r="DU98">
            <v>511.90929032155447</v>
          </cell>
          <cell r="DV98">
            <v>539.95562974115126</v>
          </cell>
          <cell r="DW98">
            <v>603.17399298655255</v>
          </cell>
          <cell r="DX98">
            <v>658.73138745852123</v>
          </cell>
          <cell r="DY98">
            <v>748.67214698391047</v>
          </cell>
          <cell r="DZ98">
            <v>795.84756568551995</v>
          </cell>
          <cell r="EA98">
            <v>888.72692526289779</v>
          </cell>
        </row>
        <row r="99">
          <cell r="A99" t="str">
            <v>DDC</v>
          </cell>
          <cell r="B99">
            <v>831.21780591920742</v>
          </cell>
          <cell r="C99">
            <v>810.47044995833289</v>
          </cell>
          <cell r="D99">
            <v>831.16771325585501</v>
          </cell>
          <cell r="E99">
            <v>841.37288686221984</v>
          </cell>
          <cell r="F99">
            <v>824.48508830804872</v>
          </cell>
          <cell r="G99">
            <v>899.05772765329652</v>
          </cell>
          <cell r="H99">
            <v>855.75927879839287</v>
          </cell>
          <cell r="I99">
            <v>908.28851814358336</v>
          </cell>
          <cell r="J99">
            <v>947.14529197861532</v>
          </cell>
          <cell r="K99">
            <v>889.34687652874027</v>
          </cell>
          <cell r="L99">
            <v>925.70152496345736</v>
          </cell>
          <cell r="M99">
            <v>868.74390926684714</v>
          </cell>
          <cell r="N99">
            <v>10432.757071636595</v>
          </cell>
          <cell r="O99">
            <v>855.31415679308805</v>
          </cell>
          <cell r="P99">
            <v>833.96535128989319</v>
          </cell>
          <cell r="Q99">
            <v>855.26261198279667</v>
          </cell>
          <cell r="R99">
            <v>865.81216424384979</v>
          </cell>
          <cell r="S99">
            <v>848.43382742813606</v>
          </cell>
          <cell r="T99">
            <v>925.17257106138334</v>
          </cell>
          <cell r="U99">
            <v>875.33522249428245</v>
          </cell>
          <cell r="V99">
            <v>929.06609582380224</v>
          </cell>
          <cell r="W99">
            <v>968.8117388018793</v>
          </cell>
          <cell r="X99">
            <v>914.5019621396242</v>
          </cell>
          <cell r="Y99">
            <v>951.88489809394036</v>
          </cell>
          <cell r="Z99">
            <v>893.31624205204605</v>
          </cell>
          <cell r="AA99">
            <v>10716.876842204721</v>
          </cell>
          <cell r="AB99">
            <v>902.93805502832072</v>
          </cell>
          <cell r="AC99">
            <v>880.00887526112172</v>
          </cell>
          <cell r="AD99">
            <v>902.78365177289652</v>
          </cell>
          <cell r="AE99">
            <v>914.02522303246758</v>
          </cell>
          <cell r="AF99">
            <v>894.80005381648448</v>
          </cell>
          <cell r="AG99">
            <v>978.97099152383169</v>
          </cell>
          <cell r="AH99">
            <v>925.7498377238021</v>
          </cell>
          <cell r="AI99">
            <v>976.650096802343</v>
          </cell>
          <cell r="AJ99">
            <v>1015.5359488977866</v>
          </cell>
          <cell r="AK99">
            <v>946.10678167809692</v>
          </cell>
          <cell r="AL99">
            <v>977.56168656502382</v>
          </cell>
          <cell r="AM99">
            <v>929.00246659425966</v>
          </cell>
          <cell r="AN99">
            <v>6399.276688158925</v>
          </cell>
          <cell r="AO99">
            <v>11244.133668696435</v>
          </cell>
          <cell r="AP99">
            <v>1039.9383986853893</v>
          </cell>
          <cell r="AQ99">
            <v>1018.7471182475796</v>
          </cell>
          <cell r="AR99">
            <v>1055.0659338247128</v>
          </cell>
          <cell r="AS99">
            <v>1051.1887987431837</v>
          </cell>
          <cell r="AT99">
            <v>1034.7059478225963</v>
          </cell>
          <cell r="AU99">
            <v>1124.9435179714555</v>
          </cell>
          <cell r="AV99">
            <v>1065.4341352283736</v>
          </cell>
          <cell r="AW99">
            <v>1113.617481620746</v>
          </cell>
          <cell r="AX99">
            <v>1127.959353155085</v>
          </cell>
          <cell r="AY99">
            <v>1078.2537974418869</v>
          </cell>
          <cell r="AZ99">
            <v>1147.3587261386842</v>
          </cell>
          <cell r="BA99">
            <v>1092.2520959694784</v>
          </cell>
          <cell r="BB99">
            <v>12949.465304849171</v>
          </cell>
          <cell r="BC99">
            <v>1083.0397178447884</v>
          </cell>
          <cell r="BD99">
            <v>1060.970142940017</v>
          </cell>
          <cell r="BE99">
            <v>1098.7942292751684</v>
          </cell>
          <cell r="BF99">
            <v>1094.7564023326747</v>
          </cell>
          <cell r="BG99">
            <v>1077.5904026610815</v>
          </cell>
          <cell r="BH99">
            <v>1171.5679619439811</v>
          </cell>
          <cell r="BI99">
            <v>1109.5921514761121</v>
          </cell>
          <cell r="BJ99">
            <v>1159.7725063390351</v>
          </cell>
          <cell r="BK99">
            <v>1174.7087915262653</v>
          </cell>
          <cell r="BL99">
            <v>1122.943137807745</v>
          </cell>
          <cell r="BM99">
            <v>1194.9121915248447</v>
          </cell>
          <cell r="BN99">
            <v>1137.5216102507234</v>
          </cell>
          <cell r="BO99">
            <v>13486.169245922438</v>
          </cell>
          <cell r="BP99">
            <v>1120.3778007960432</v>
          </cell>
          <cell r="BQ99">
            <v>1097.5473714139005</v>
          </cell>
          <cell r="BR99">
            <v>1136.675453207268</v>
          </cell>
          <cell r="BS99">
            <v>1132.4984211046701</v>
          </cell>
          <cell r="BT99">
            <v>1114.7406190188915</v>
          </cell>
          <cell r="BU99">
            <v>1211.9580797072947</v>
          </cell>
          <cell r="BV99">
            <v>1147.8456366542189</v>
          </cell>
          <cell r="BW99">
            <v>1199.7559726263512</v>
          </cell>
          <cell r="BX99">
            <v>1215.2071902265998</v>
          </cell>
          <cell r="BY99">
            <v>1161.6569017982702</v>
          </cell>
          <cell r="BZ99">
            <v>1236.1071078252407</v>
          </cell>
          <cell r="CA99">
            <v>1176.7379709645354</v>
          </cell>
          <cell r="CB99">
            <v>13951.108525343285</v>
          </cell>
          <cell r="CC99">
            <v>1162.6502422535839</v>
          </cell>
          <cell r="CD99">
            <v>1138.958408808614</v>
          </cell>
          <cell r="CE99">
            <v>1179.562813629607</v>
          </cell>
          <cell r="CF99">
            <v>1175.2281799171794</v>
          </cell>
          <cell r="CG99">
            <v>1156.8003666543207</v>
          </cell>
          <cell r="CH99">
            <v>1257.6858930725887</v>
          </cell>
          <cell r="CI99">
            <v>1191.1544539507443</v>
          </cell>
          <cell r="CJ99">
            <v>1245.0233940980613</v>
          </cell>
          <cell r="CK99">
            <v>1261.057594234192</v>
          </cell>
          <cell r="CL99">
            <v>1205.4868253652357</v>
          </cell>
          <cell r="CM99">
            <v>1282.7460766745573</v>
          </cell>
          <cell r="CN99">
            <v>1221.1369111730257</v>
          </cell>
          <cell r="CO99">
            <v>14477.49115983171</v>
          </cell>
          <cell r="CP99">
            <v>1206.5400593308066</v>
          </cell>
          <cell r="CQ99">
            <v>1181.9538638512936</v>
          </cell>
          <cell r="CR99">
            <v>1224.0910769368504</v>
          </cell>
          <cell r="CS99">
            <v>1219.5928116576613</v>
          </cell>
          <cell r="CT99">
            <v>1200.469352082742</v>
          </cell>
          <cell r="CU99">
            <v>1305.1632872032303</v>
          </cell>
          <cell r="CV99">
            <v>1236.1202993913155</v>
          </cell>
          <cell r="CW99">
            <v>1292.0227813926531</v>
          </cell>
          <cell r="CX99">
            <v>1308.6622694179343</v>
          </cell>
          <cell r="CY99">
            <v>1250.9937149967454</v>
          </cell>
          <cell r="CZ99">
            <v>1331.1694877879847</v>
          </cell>
          <cell r="DA99">
            <v>1267.234588453636</v>
          </cell>
          <cell r="DB99">
            <v>15024.013592502853</v>
          </cell>
          <cell r="DC99">
            <v>1252.0867083365533</v>
          </cell>
          <cell r="DD99">
            <v>1226.5723888322873</v>
          </cell>
          <cell r="DE99">
            <v>1270.3002733917383</v>
          </cell>
          <cell r="DF99">
            <v>1265.6321994864525</v>
          </cell>
          <cell r="DG99">
            <v>1245.786833088549</v>
          </cell>
          <cell r="DH99">
            <v>1354.4329435877876</v>
          </cell>
          <cell r="DI99">
            <v>1282.7835966186631</v>
          </cell>
          <cell r="DJ99">
            <v>1340.796386277483</v>
          </cell>
          <cell r="DK99">
            <v>1358.064011690215</v>
          </cell>
          <cell r="DL99">
            <v>1298.2184807264091</v>
          </cell>
          <cell r="DM99">
            <v>1381.4208731096348</v>
          </cell>
          <cell r="DN99">
            <v>1315.0724439495016</v>
          </cell>
          <cell r="DO99">
            <v>15591.167139095276</v>
          </cell>
          <cell r="DP99">
            <v>1299.3527343489809</v>
          </cell>
          <cell r="DQ99">
            <v>1272.8752543212875</v>
          </cell>
          <cell r="DR99">
            <v>1318.2538578886908</v>
          </cell>
          <cell r="DS99">
            <v>1313.4095651152018</v>
          </cell>
          <cell r="DT99">
            <v>1292.8150400542884</v>
          </cell>
          <cell r="DU99">
            <v>1405.5625197724596</v>
          </cell>
          <cell r="DV99">
            <v>1331.2084241025723</v>
          </cell>
          <cell r="DW99">
            <v>1391.4111851162597</v>
          </cell>
          <cell r="DX99">
            <v>1409.3306599787913</v>
          </cell>
          <cell r="DY99">
            <v>1347.2259720377335</v>
          </cell>
          <cell r="DZ99">
            <v>1433.5692383049306</v>
          </cell>
          <cell r="EA99">
            <v>1364.716169044646</v>
          </cell>
        </row>
        <row r="100">
          <cell r="A100" t="str">
            <v>Total Sales</v>
          </cell>
          <cell r="B100">
            <v>752978.11180434842</v>
          </cell>
          <cell r="C100">
            <v>715248.0037652204</v>
          </cell>
          <cell r="D100">
            <v>689864.90049057221</v>
          </cell>
          <cell r="E100">
            <v>692332.09242061968</v>
          </cell>
          <cell r="F100">
            <v>643119.73676522507</v>
          </cell>
          <cell r="G100">
            <v>719083.5470407987</v>
          </cell>
          <cell r="H100">
            <v>851295.65190956602</v>
          </cell>
          <cell r="I100">
            <v>918504.89189895382</v>
          </cell>
          <cell r="J100">
            <v>870983.84184705582</v>
          </cell>
          <cell r="K100">
            <v>682294.99868915614</v>
          </cell>
          <cell r="L100">
            <v>653486.20494110172</v>
          </cell>
          <cell r="M100">
            <v>680188.79145538236</v>
          </cell>
          <cell r="N100">
            <v>8869380.7730280012</v>
          </cell>
          <cell r="O100">
            <v>763498.59368515259</v>
          </cell>
          <cell r="P100">
            <v>725232.88137208414</v>
          </cell>
          <cell r="Q100">
            <v>699719.39452734136</v>
          </cell>
          <cell r="R100">
            <v>703861.79092289519</v>
          </cell>
          <cell r="S100">
            <v>654426.30181115854</v>
          </cell>
          <cell r="T100">
            <v>732343.02389376541</v>
          </cell>
          <cell r="U100">
            <v>865683.8777261097</v>
          </cell>
          <cell r="V100">
            <v>933989.22673094831</v>
          </cell>
          <cell r="W100">
            <v>885565.52659091691</v>
          </cell>
          <cell r="X100">
            <v>693702.30027019081</v>
          </cell>
          <cell r="Y100">
            <v>663817.31425474188</v>
          </cell>
          <cell r="Z100">
            <v>690291.40944450186</v>
          </cell>
          <cell r="AA100">
            <v>9012131.6412298083</v>
          </cell>
          <cell r="AB100">
            <v>816715.54919260426</v>
          </cell>
          <cell r="AC100">
            <v>776051.20752938814</v>
          </cell>
          <cell r="AD100">
            <v>747112.34102679451</v>
          </cell>
          <cell r="AE100">
            <v>708892.89847282891</v>
          </cell>
          <cell r="AF100">
            <v>653338.5323116139</v>
          </cell>
          <cell r="AG100">
            <v>729697.73176541517</v>
          </cell>
          <cell r="AH100">
            <v>890149.26730226714</v>
          </cell>
          <cell r="AI100">
            <v>959990.91424165014</v>
          </cell>
          <cell r="AJ100">
            <v>902461.62266996503</v>
          </cell>
          <cell r="AK100">
            <v>727746.12945044145</v>
          </cell>
          <cell r="AL100">
            <v>691304.61061585974</v>
          </cell>
          <cell r="AM100">
            <v>735238.62502378528</v>
          </cell>
          <cell r="AN100">
            <v>5321957.5276009124</v>
          </cell>
          <cell r="AO100">
            <v>9338699.4296026155</v>
          </cell>
          <cell r="AP100">
            <v>859810.68212240469</v>
          </cell>
          <cell r="AQ100">
            <v>793943.14915454853</v>
          </cell>
          <cell r="AR100">
            <v>754594.15382228803</v>
          </cell>
          <cell r="AS100">
            <v>731861.57376327761</v>
          </cell>
          <cell r="AT100">
            <v>685714.05327406165</v>
          </cell>
          <cell r="AU100">
            <v>786507.90513234213</v>
          </cell>
          <cell r="AV100">
            <v>986115.71665548766</v>
          </cell>
          <cell r="AW100">
            <v>1030626.6132998189</v>
          </cell>
          <cell r="AX100">
            <v>950222.07598206156</v>
          </cell>
          <cell r="AY100">
            <v>772931.54014744144</v>
          </cell>
          <cell r="AZ100">
            <v>720230.80970719014</v>
          </cell>
          <cell r="BA100">
            <v>774878.11188224691</v>
          </cell>
          <cell r="BB100">
            <v>9847436.3849431705</v>
          </cell>
          <cell r="BC100">
            <v>873275.6770206464</v>
          </cell>
          <cell r="BD100">
            <v>805760.61851902492</v>
          </cell>
          <cell r="BE100">
            <v>765375.80597808619</v>
          </cell>
          <cell r="BF100">
            <v>741860.17262381653</v>
          </cell>
          <cell r="BG100">
            <v>694241.50641740544</v>
          </cell>
          <cell r="BH100">
            <v>797959.87584427488</v>
          </cell>
          <cell r="BI100">
            <v>1003107.1340151826</v>
          </cell>
          <cell r="BJ100">
            <v>1048792.6227813233</v>
          </cell>
          <cell r="BK100">
            <v>966151.17061908264</v>
          </cell>
          <cell r="BL100">
            <v>783897.01296185295</v>
          </cell>
          <cell r="BM100">
            <v>729780.73536896566</v>
          </cell>
          <cell r="BN100">
            <v>786008.6224522969</v>
          </cell>
          <cell r="BO100">
            <v>9996210.9546019584</v>
          </cell>
          <cell r="BP100">
            <v>896946.90227176913</v>
          </cell>
          <cell r="BQ100">
            <v>827510.47951844335</v>
          </cell>
          <cell r="BR100">
            <v>785900.39409780747</v>
          </cell>
          <cell r="BS100">
            <v>761589.93449904665</v>
          </cell>
          <cell r="BT100">
            <v>712416.84401887353</v>
          </cell>
          <cell r="BU100">
            <v>819170.61353514995</v>
          </cell>
          <cell r="BV100">
            <v>1030351.535658408</v>
          </cell>
          <cell r="BW100">
            <v>1077369.677952169</v>
          </cell>
          <cell r="BX100">
            <v>992190.33575512667</v>
          </cell>
          <cell r="BY100">
            <v>804604.31234101474</v>
          </cell>
          <cell r="BZ100">
            <v>748922.94069820293</v>
          </cell>
          <cell r="CA100">
            <v>807038.69204194436</v>
          </cell>
          <cell r="CB100">
            <v>10264012.662387956</v>
          </cell>
          <cell r="CC100">
            <v>921164.05953513994</v>
          </cell>
          <cell r="CD100">
            <v>849881.30677920918</v>
          </cell>
          <cell r="CE100">
            <v>807189.16491126281</v>
          </cell>
          <cell r="CF100">
            <v>782077.41303771327</v>
          </cell>
          <cell r="CG100">
            <v>731581.87393737247</v>
          </cell>
          <cell r="CH100">
            <v>841568.45687498653</v>
          </cell>
          <cell r="CI100">
            <v>1058844.3164304434</v>
          </cell>
          <cell r="CJ100">
            <v>1107152.7376776659</v>
          </cell>
          <cell r="CK100">
            <v>1019460.7769015713</v>
          </cell>
          <cell r="CL100">
            <v>826484.66079476604</v>
          </cell>
          <cell r="CM100">
            <v>769136.49502500333</v>
          </cell>
          <cell r="CN100">
            <v>828889.54122439353</v>
          </cell>
          <cell r="CO100">
            <v>10543430.80312953</v>
          </cell>
          <cell r="CP100">
            <v>946190.7591557632</v>
          </cell>
          <cell r="CQ100">
            <v>873010.0350725227</v>
          </cell>
          <cell r="CR100">
            <v>829209.34822674585</v>
          </cell>
          <cell r="CS100">
            <v>803270.98914861458</v>
          </cell>
          <cell r="CT100">
            <v>751419.13691353961</v>
          </cell>
          <cell r="CU100">
            <v>864746.35350202082</v>
          </cell>
          <cell r="CV100">
            <v>1088304.8953356827</v>
          </cell>
          <cell r="CW100">
            <v>1137940.5813813191</v>
          </cell>
          <cell r="CX100">
            <v>1047662.9037153013</v>
          </cell>
          <cell r="CY100">
            <v>849128.65520482487</v>
          </cell>
          <cell r="CZ100">
            <v>790060.25552174333</v>
          </cell>
          <cell r="DA100">
            <v>851488.25288135046</v>
          </cell>
          <cell r="DB100">
            <v>10832432.166059429</v>
          </cell>
          <cell r="DC100">
            <v>972045.78010883252</v>
          </cell>
          <cell r="DD100">
            <v>896913.82944868994</v>
          </cell>
          <cell r="DE100">
            <v>851977.19121421734</v>
          </cell>
          <cell r="DF100">
            <v>825186.14790165122</v>
          </cell>
          <cell r="DG100">
            <v>771943.09943293477</v>
          </cell>
          <cell r="DH100">
            <v>888721.70750492695</v>
          </cell>
          <cell r="DI100">
            <v>1118756.1443798207</v>
          </cell>
          <cell r="DJ100">
            <v>1169757.2184669888</v>
          </cell>
          <cell r="DK100">
            <v>1076818.3641844527</v>
          </cell>
          <cell r="DL100">
            <v>872553.19407595345</v>
          </cell>
          <cell r="DM100">
            <v>811709.54312677344</v>
          </cell>
          <cell r="DN100">
            <v>874851.66203952383</v>
          </cell>
          <cell r="DO100">
            <v>11131233.881884769</v>
          </cell>
          <cell r="DP100">
            <v>998756.89641302347</v>
          </cell>
          <cell r="DQ100">
            <v>921618.90433681116</v>
          </cell>
          <cell r="DR100">
            <v>875518.19749470067</v>
          </cell>
          <cell r="DS100">
            <v>847847.51356185565</v>
          </cell>
          <cell r="DT100">
            <v>793177.40488598344</v>
          </cell>
          <cell r="DU100">
            <v>913521.91832524014</v>
          </cell>
          <cell r="DV100">
            <v>1150231.6530019997</v>
          </cell>
          <cell r="DW100">
            <v>1202637.3882552257</v>
          </cell>
          <cell r="DX100">
            <v>1106959.5731217342</v>
          </cell>
          <cell r="DY100">
            <v>896785.11329536256</v>
          </cell>
          <cell r="DZ100">
            <v>834109.38693828566</v>
          </cell>
          <cell r="EA100">
            <v>899005.77642901952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MPI-Historical Format"/>
      <sheetName val="FMPI-2016 Compare"/>
      <sheetName val="FMPI-Historical "/>
      <sheetName val="FMPI"/>
      <sheetName val="RPS Costs"/>
      <sheetName val="Forwards"/>
      <sheetName val="Price Input"/>
      <sheetName val="Volume Input"/>
      <sheetName val="Obligation Load Factors"/>
      <sheetName val="Congestion Comparison"/>
      <sheetName val="Congestion - LoadShape 4 years"/>
      <sheetName val="Shaping Multiplier"/>
      <sheetName val="Congestion Multiplier"/>
      <sheetName val="Congestion - LoadShape 1 year"/>
      <sheetName val="Monthly"/>
      <sheetName val="Multipliers comparison"/>
      <sheetName val="swap future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4</v>
          </cell>
        </row>
      </sheetData>
      <sheetData sheetId="5"/>
      <sheetData sheetId="6" refreshError="1"/>
      <sheetData sheetId="7" refreshError="1"/>
      <sheetData sheetId="8">
        <row r="26">
          <cell r="C26">
            <v>1252.3766436541323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3">
          <cell r="B43">
            <v>1838847.7865486029</v>
          </cell>
          <cell r="E43">
            <v>86982666.873043969</v>
          </cell>
          <cell r="G43">
            <v>1637383.1771949572</v>
          </cell>
          <cell r="J43">
            <v>51596836.265332401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7030A0"/>
  </sheetPr>
  <dimension ref="A1:AB649"/>
  <sheetViews>
    <sheetView zoomScale="80" zoomScaleNormal="80" workbookViewId="0">
      <selection activeCell="K571" sqref="K571"/>
    </sheetView>
  </sheetViews>
  <sheetFormatPr defaultRowHeight="12.75" x14ac:dyDescent="0.2"/>
  <cols>
    <col min="1" max="1" width="10.7109375" style="1" customWidth="1"/>
    <col min="2" max="2" width="27.85546875" customWidth="1"/>
    <col min="3" max="3" width="16.42578125" customWidth="1"/>
    <col min="4" max="4" width="16.140625" customWidth="1"/>
    <col min="5" max="5" width="12.7109375" customWidth="1"/>
    <col min="6" max="7" width="13.42578125" customWidth="1"/>
    <col min="8" max="8" width="12.7109375" customWidth="1"/>
    <col min="9" max="9" width="14.85546875" customWidth="1"/>
    <col min="10" max="10" width="12.7109375" customWidth="1"/>
    <col min="11" max="11" width="17.28515625" customWidth="1"/>
    <col min="12" max="12" width="15.28515625" bestFit="1" customWidth="1"/>
    <col min="13" max="13" width="13.42578125" customWidth="1"/>
    <col min="14" max="14" width="12" customWidth="1"/>
    <col min="15" max="15" width="11.140625" customWidth="1"/>
    <col min="16" max="16" width="12.28515625" customWidth="1"/>
    <col min="17" max="17" width="13" customWidth="1"/>
    <col min="18" max="18" width="10" bestFit="1" customWidth="1"/>
    <col min="19" max="19" width="10.7109375" customWidth="1"/>
    <col min="20" max="22" width="11.7109375" customWidth="1"/>
    <col min="24" max="24" width="11.140625" bestFit="1" customWidth="1"/>
    <col min="26" max="26" width="15" bestFit="1" customWidth="1"/>
    <col min="27" max="27" width="15.28515625" customWidth="1"/>
    <col min="28" max="28" width="13.5703125" customWidth="1"/>
  </cols>
  <sheetData>
    <row r="1" spans="1:28" ht="15.75" x14ac:dyDescent="0.25">
      <c r="A1" s="115"/>
      <c r="B1" s="116" t="str">
        <f>"Development of BGS Cost and Bid Factors for Rates Effective June 1, " &amp;M1</f>
        <v>Development of BGS Cost and Bid Factors for Rates Effective June 1, 2020</v>
      </c>
      <c r="C1" s="71"/>
      <c r="D1" s="71"/>
      <c r="E1" s="71"/>
      <c r="F1" s="71"/>
      <c r="G1" s="117"/>
      <c r="H1" s="71"/>
      <c r="I1" s="71"/>
      <c r="J1" s="71"/>
      <c r="K1" s="71"/>
      <c r="L1" s="71"/>
      <c r="M1" s="118">
        <v>2020</v>
      </c>
      <c r="N1" s="71" t="s">
        <v>0</v>
      </c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28" ht="15" x14ac:dyDescent="0.2">
      <c r="A2" s="119"/>
      <c r="B2" s="71"/>
      <c r="C2" s="71"/>
      <c r="D2" s="71"/>
      <c r="E2" s="71"/>
      <c r="F2" s="71"/>
      <c r="G2" s="71"/>
      <c r="H2" s="71"/>
      <c r="I2" s="120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28" x14ac:dyDescent="0.2">
      <c r="A3" s="115"/>
      <c r="B3" s="71"/>
      <c r="C3" s="71"/>
      <c r="D3" s="2" t="str">
        <f>"Based on " &amp;M1-2  &amp;" Load Profile Information"</f>
        <v>Based on 2018 Load Profile Information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28" x14ac:dyDescent="0.2">
      <c r="A4" s="121" t="s">
        <v>1</v>
      </c>
      <c r="B4" s="122" t="s">
        <v>2</v>
      </c>
      <c r="C4" s="123"/>
      <c r="D4" s="7" t="s">
        <v>3</v>
      </c>
      <c r="E4" s="71"/>
      <c r="F4" s="71"/>
      <c r="G4" s="71"/>
      <c r="H4" s="71"/>
      <c r="I4" s="71"/>
      <c r="J4" s="71"/>
      <c r="K4" s="122"/>
      <c r="L4" s="124" t="str">
        <f>"'% usage during Off-Peak period (from "&amp;M1-1&amp;" profiles)"</f>
        <v>'% usage during Off-Peak period (from 2019 profiles)</v>
      </c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</row>
    <row r="5" spans="1:28" ht="25.5" x14ac:dyDescent="0.2">
      <c r="A5" s="6"/>
      <c r="B5" s="71"/>
      <c r="C5" s="125" t="s">
        <v>4</v>
      </c>
      <c r="D5" s="125" t="s">
        <v>4</v>
      </c>
      <c r="E5" s="125" t="s">
        <v>4</v>
      </c>
      <c r="F5" s="7" t="s">
        <v>5</v>
      </c>
      <c r="G5" s="126"/>
      <c r="H5" s="125" t="s">
        <v>4</v>
      </c>
      <c r="I5" s="125"/>
      <c r="J5" s="125"/>
      <c r="K5" s="7"/>
      <c r="L5" s="125" t="s">
        <v>4</v>
      </c>
      <c r="M5" s="125" t="s">
        <v>4</v>
      </c>
      <c r="N5" s="125" t="s">
        <v>4</v>
      </c>
      <c r="O5" s="7" t="s">
        <v>6</v>
      </c>
      <c r="P5" s="126"/>
      <c r="Q5" s="125" t="s">
        <v>4</v>
      </c>
      <c r="R5" s="125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8" x14ac:dyDescent="0.2">
      <c r="A6" s="6"/>
      <c r="B6" s="127"/>
      <c r="C6" s="128" t="s">
        <v>7</v>
      </c>
      <c r="D6" s="128" t="s">
        <v>8</v>
      </c>
      <c r="E6" s="128" t="s">
        <v>9</v>
      </c>
      <c r="F6" s="128" t="s">
        <v>10</v>
      </c>
      <c r="G6" s="128" t="s">
        <v>11</v>
      </c>
      <c r="H6" s="128" t="s">
        <v>12</v>
      </c>
      <c r="I6" s="26"/>
      <c r="J6" s="26"/>
      <c r="K6" s="129"/>
      <c r="L6" s="26" t="str">
        <f t="shared" ref="L6:Q6" si="0">+C6</f>
        <v>SC1/SC5</v>
      </c>
      <c r="M6" s="26" t="str">
        <f t="shared" si="0"/>
        <v>SC3</v>
      </c>
      <c r="N6" s="26" t="str">
        <f t="shared" si="0"/>
        <v>SC2 ND</v>
      </c>
      <c r="O6" s="26" t="str">
        <f t="shared" si="0"/>
        <v>SC4</v>
      </c>
      <c r="P6" s="26" t="str">
        <f t="shared" si="0"/>
        <v>SC6</v>
      </c>
      <c r="Q6" s="26" t="str">
        <f t="shared" si="0"/>
        <v>SC2 Dem</v>
      </c>
      <c r="R6" s="26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8" x14ac:dyDescent="0.2">
      <c r="A7" s="6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28" x14ac:dyDescent="0.2">
      <c r="A8" s="6"/>
      <c r="B8" s="98" t="s">
        <v>13</v>
      </c>
      <c r="C8" s="72">
        <v>0.51454185091913873</v>
      </c>
      <c r="D8" s="72">
        <v>0.43904357263057076</v>
      </c>
      <c r="E8" s="72">
        <v>0.4535914031803937</v>
      </c>
      <c r="F8" s="72">
        <v>0.30414746543778831</v>
      </c>
      <c r="G8" s="72">
        <f>F8</f>
        <v>0.30414746543778831</v>
      </c>
      <c r="H8" s="72">
        <v>0.53058189004898471</v>
      </c>
      <c r="I8" s="130"/>
      <c r="J8" s="130"/>
      <c r="K8" s="131"/>
      <c r="L8" s="130">
        <f t="shared" ref="L8:Q19" si="1">1-C8</f>
        <v>0.48545814908086127</v>
      </c>
      <c r="M8" s="130">
        <f t="shared" si="1"/>
        <v>0.56095642736942919</v>
      </c>
      <c r="N8" s="130">
        <f t="shared" si="1"/>
        <v>0.5464085968196063</v>
      </c>
      <c r="O8" s="130">
        <f t="shared" si="1"/>
        <v>0.69585253456221174</v>
      </c>
      <c r="P8" s="130">
        <f t="shared" si="1"/>
        <v>0.69585253456221174</v>
      </c>
      <c r="Q8" s="130">
        <f t="shared" si="1"/>
        <v>0.46941810995101529</v>
      </c>
      <c r="R8" s="131"/>
      <c r="S8" s="132"/>
      <c r="T8" s="132"/>
      <c r="U8" s="132"/>
      <c r="V8" s="132"/>
      <c r="W8" s="132"/>
      <c r="X8" s="132"/>
      <c r="Y8" s="132"/>
      <c r="Z8" s="132"/>
      <c r="AA8" s="71"/>
      <c r="AB8" s="71"/>
    </row>
    <row r="9" spans="1:28" x14ac:dyDescent="0.2">
      <c r="A9" s="6"/>
      <c r="B9" s="98" t="s">
        <v>14</v>
      </c>
      <c r="C9" s="72">
        <v>0.48853185652658759</v>
      </c>
      <c r="D9" s="72">
        <v>0.46696286893049843</v>
      </c>
      <c r="E9" s="72">
        <v>0.49234553267823988</v>
      </c>
      <c r="F9" s="72">
        <v>0.30612244897959229</v>
      </c>
      <c r="G9" s="72">
        <f t="shared" ref="G9:G19" si="2">F9</f>
        <v>0.30612244897959229</v>
      </c>
      <c r="H9" s="72">
        <v>0.53239783384220507</v>
      </c>
      <c r="I9" s="130"/>
      <c r="J9" s="130"/>
      <c r="K9" s="131"/>
      <c r="L9" s="130">
        <f t="shared" si="1"/>
        <v>0.51146814347341241</v>
      </c>
      <c r="M9" s="130">
        <f t="shared" si="1"/>
        <v>0.53303713106950157</v>
      </c>
      <c r="N9" s="130">
        <f t="shared" si="1"/>
        <v>0.50765446732176012</v>
      </c>
      <c r="O9" s="130">
        <f t="shared" si="1"/>
        <v>0.69387755102040771</v>
      </c>
      <c r="P9" s="130">
        <f t="shared" si="1"/>
        <v>0.69387755102040771</v>
      </c>
      <c r="Q9" s="130">
        <f t="shared" si="1"/>
        <v>0.46760216615779493</v>
      </c>
      <c r="R9" s="131"/>
      <c r="S9" s="132"/>
      <c r="T9" s="132"/>
      <c r="U9" s="132"/>
      <c r="V9" s="132"/>
      <c r="W9" s="132"/>
      <c r="X9" s="132"/>
      <c r="Y9" s="132"/>
      <c r="Z9" s="132"/>
      <c r="AA9" s="71"/>
      <c r="AB9" s="71"/>
    </row>
    <row r="10" spans="1:28" x14ac:dyDescent="0.2">
      <c r="A10" s="6"/>
      <c r="B10" s="98" t="s">
        <v>15</v>
      </c>
      <c r="C10" s="72">
        <v>0.47203888477058231</v>
      </c>
      <c r="D10" s="72">
        <v>0.45980514614039453</v>
      </c>
      <c r="E10" s="72">
        <v>0.48157883140182361</v>
      </c>
      <c r="F10" s="72">
        <v>0.27937263168925919</v>
      </c>
      <c r="G10" s="72">
        <f t="shared" si="2"/>
        <v>0.27937263168925919</v>
      </c>
      <c r="H10" s="72">
        <v>0.50742206080238739</v>
      </c>
      <c r="I10" s="130"/>
      <c r="J10" s="130"/>
      <c r="K10" s="131"/>
      <c r="L10" s="130">
        <f t="shared" si="1"/>
        <v>0.52796111522941769</v>
      </c>
      <c r="M10" s="130">
        <f t="shared" si="1"/>
        <v>0.54019485385960553</v>
      </c>
      <c r="N10" s="130">
        <f t="shared" si="1"/>
        <v>0.51842116859817633</v>
      </c>
      <c r="O10" s="130">
        <f t="shared" si="1"/>
        <v>0.72062736831074081</v>
      </c>
      <c r="P10" s="130">
        <f t="shared" si="1"/>
        <v>0.72062736831074081</v>
      </c>
      <c r="Q10" s="130">
        <f t="shared" si="1"/>
        <v>0.49257793919761261</v>
      </c>
      <c r="R10" s="131"/>
      <c r="S10" s="132"/>
      <c r="T10" s="132"/>
      <c r="U10" s="132"/>
      <c r="V10" s="132"/>
      <c r="W10" s="132"/>
      <c r="X10" s="132"/>
      <c r="Y10" s="132"/>
      <c r="Z10" s="132"/>
      <c r="AA10" s="71"/>
      <c r="AB10" s="71"/>
    </row>
    <row r="11" spans="1:28" x14ac:dyDescent="0.2">
      <c r="A11" s="6"/>
      <c r="B11" s="98" t="s">
        <v>16</v>
      </c>
      <c r="C11" s="72">
        <v>0.51262501117730863</v>
      </c>
      <c r="D11" s="72">
        <v>0.50821375827301385</v>
      </c>
      <c r="E11" s="72">
        <v>0.54687374392879551</v>
      </c>
      <c r="F11" s="72">
        <v>0.2947712530457493</v>
      </c>
      <c r="G11" s="72">
        <f t="shared" si="2"/>
        <v>0.2947712530457493</v>
      </c>
      <c r="H11" s="72">
        <v>0.54717587591239258</v>
      </c>
      <c r="I11" s="130"/>
      <c r="J11" s="130"/>
      <c r="K11" s="131"/>
      <c r="L11" s="130">
        <f t="shared" si="1"/>
        <v>0.48737498882269137</v>
      </c>
      <c r="M11" s="130">
        <f t="shared" si="1"/>
        <v>0.49178624172698615</v>
      </c>
      <c r="N11" s="130">
        <f t="shared" si="1"/>
        <v>0.45312625607120449</v>
      </c>
      <c r="O11" s="130">
        <f t="shared" si="1"/>
        <v>0.70522874695425064</v>
      </c>
      <c r="P11" s="130">
        <f t="shared" si="1"/>
        <v>0.70522874695425064</v>
      </c>
      <c r="Q11" s="130">
        <f t="shared" si="1"/>
        <v>0.45282412408760742</v>
      </c>
      <c r="R11" s="131"/>
      <c r="S11" s="132"/>
      <c r="T11" s="132"/>
      <c r="U11" s="132"/>
      <c r="V11" s="132"/>
      <c r="W11" s="132"/>
      <c r="X11" s="132"/>
      <c r="Y11" s="132"/>
      <c r="Z11" s="132"/>
      <c r="AA11" s="71"/>
      <c r="AB11" s="71"/>
    </row>
    <row r="12" spans="1:28" x14ac:dyDescent="0.2">
      <c r="A12" s="6"/>
      <c r="B12" s="98" t="s">
        <v>17</v>
      </c>
      <c r="C12" s="72">
        <v>0.53775191211934503</v>
      </c>
      <c r="D12" s="72">
        <v>0.49326012188499396</v>
      </c>
      <c r="E12" s="72">
        <v>0.59547939182256204</v>
      </c>
      <c r="F12" s="72">
        <v>0.2312497739423659</v>
      </c>
      <c r="G12" s="72">
        <f t="shared" si="2"/>
        <v>0.2312497739423659</v>
      </c>
      <c r="H12" s="72">
        <v>0.5581719809095872</v>
      </c>
      <c r="I12" s="130"/>
      <c r="J12" s="130"/>
      <c r="K12" s="131"/>
      <c r="L12" s="130">
        <f t="shared" si="1"/>
        <v>0.46224808788065497</v>
      </c>
      <c r="M12" s="130">
        <f t="shared" si="1"/>
        <v>0.50673987811500609</v>
      </c>
      <c r="N12" s="130">
        <f t="shared" si="1"/>
        <v>0.40452060817743796</v>
      </c>
      <c r="O12" s="130">
        <f t="shared" si="1"/>
        <v>0.7687502260576341</v>
      </c>
      <c r="P12" s="130">
        <f t="shared" si="1"/>
        <v>0.7687502260576341</v>
      </c>
      <c r="Q12" s="130">
        <f t="shared" si="1"/>
        <v>0.4418280190904128</v>
      </c>
      <c r="R12" s="131"/>
      <c r="S12" s="132"/>
      <c r="T12" s="132"/>
      <c r="U12" s="132"/>
      <c r="V12" s="132"/>
      <c r="W12" s="132"/>
      <c r="X12" s="132"/>
      <c r="Y12" s="132"/>
      <c r="Z12" s="132"/>
      <c r="AA12" s="71"/>
      <c r="AB12" s="71"/>
    </row>
    <row r="13" spans="1:28" x14ac:dyDescent="0.2">
      <c r="A13" s="6"/>
      <c r="B13" s="98" t="s">
        <v>18</v>
      </c>
      <c r="C13" s="72">
        <v>0.50299000647249448</v>
      </c>
      <c r="D13" s="72">
        <v>0.48083309611917652</v>
      </c>
      <c r="E13" s="72">
        <v>0.52779319540229586</v>
      </c>
      <c r="F13" s="72">
        <v>0.19640558712399339</v>
      </c>
      <c r="G13" s="72">
        <f t="shared" si="2"/>
        <v>0.19640558712399339</v>
      </c>
      <c r="H13" s="72">
        <v>0.52133320619604973</v>
      </c>
      <c r="I13" s="130"/>
      <c r="J13" s="130"/>
      <c r="K13" s="131"/>
      <c r="L13" s="130">
        <f t="shared" si="1"/>
        <v>0.49700999352750552</v>
      </c>
      <c r="M13" s="130">
        <f t="shared" si="1"/>
        <v>0.51916690388082354</v>
      </c>
      <c r="N13" s="130">
        <f t="shared" si="1"/>
        <v>0.47220680459770414</v>
      </c>
      <c r="O13" s="130">
        <f t="shared" si="1"/>
        <v>0.80359441287600664</v>
      </c>
      <c r="P13" s="130">
        <f t="shared" si="1"/>
        <v>0.80359441287600664</v>
      </c>
      <c r="Q13" s="130">
        <f t="shared" si="1"/>
        <v>0.47866679380395027</v>
      </c>
      <c r="R13" s="131"/>
      <c r="S13" s="132"/>
      <c r="T13" s="132"/>
      <c r="U13" s="132"/>
      <c r="V13" s="132"/>
      <c r="W13" s="132"/>
      <c r="X13" s="132"/>
      <c r="Y13" s="132"/>
      <c r="Z13" s="132"/>
      <c r="AA13" s="71"/>
      <c r="AB13" s="71"/>
    </row>
    <row r="14" spans="1:28" x14ac:dyDescent="0.2">
      <c r="A14" s="6"/>
      <c r="B14" s="98" t="s">
        <v>19</v>
      </c>
      <c r="C14" s="72">
        <v>0.55917861397137381</v>
      </c>
      <c r="D14" s="72">
        <v>0.53695425812762299</v>
      </c>
      <c r="E14" s="72">
        <v>0.52112545001031496</v>
      </c>
      <c r="F14" s="72">
        <v>0.20630156490547635</v>
      </c>
      <c r="G14" s="72">
        <f t="shared" si="2"/>
        <v>0.20630156490547635</v>
      </c>
      <c r="H14" s="72">
        <v>0.55259382456506356</v>
      </c>
      <c r="I14" s="130"/>
      <c r="J14" s="130"/>
      <c r="K14" s="131"/>
      <c r="L14" s="130">
        <f t="shared" si="1"/>
        <v>0.44082138602862619</v>
      </c>
      <c r="M14" s="130">
        <f t="shared" si="1"/>
        <v>0.46304574187237701</v>
      </c>
      <c r="N14" s="130">
        <f t="shared" si="1"/>
        <v>0.47887454998968504</v>
      </c>
      <c r="O14" s="130">
        <f t="shared" si="1"/>
        <v>0.79369843509452365</v>
      </c>
      <c r="P14" s="130">
        <f t="shared" si="1"/>
        <v>0.79369843509452365</v>
      </c>
      <c r="Q14" s="130">
        <f t="shared" si="1"/>
        <v>0.44740617543493644</v>
      </c>
      <c r="R14" s="131"/>
      <c r="S14" s="132"/>
      <c r="T14" s="132"/>
      <c r="U14" s="132"/>
      <c r="V14" s="132"/>
      <c r="W14" s="132"/>
      <c r="X14" s="132"/>
      <c r="Y14" s="132"/>
      <c r="Z14" s="132"/>
      <c r="AA14" s="71"/>
      <c r="AB14" s="71"/>
    </row>
    <row r="15" spans="1:28" x14ac:dyDescent="0.2">
      <c r="A15" s="6"/>
      <c r="B15" s="98" t="s">
        <v>20</v>
      </c>
      <c r="C15" s="72">
        <v>0.56849067337379577</v>
      </c>
      <c r="D15" s="72">
        <v>0.5398407010006695</v>
      </c>
      <c r="E15" s="72">
        <v>0.51948951189952608</v>
      </c>
      <c r="F15" s="72">
        <v>0.2136683336527877</v>
      </c>
      <c r="G15" s="72">
        <f t="shared" si="2"/>
        <v>0.2136683336527877</v>
      </c>
      <c r="H15" s="72">
        <v>0.55087570737112512</v>
      </c>
      <c r="I15" s="130"/>
      <c r="J15" s="130"/>
      <c r="K15" s="131"/>
      <c r="L15" s="130">
        <f t="shared" si="1"/>
        <v>0.43150932662620423</v>
      </c>
      <c r="M15" s="130">
        <f t="shared" si="1"/>
        <v>0.4601592989993305</v>
      </c>
      <c r="N15" s="130">
        <f t="shared" si="1"/>
        <v>0.48051048810047392</v>
      </c>
      <c r="O15" s="130">
        <f t="shared" si="1"/>
        <v>0.7863316663472123</v>
      </c>
      <c r="P15" s="130">
        <f t="shared" si="1"/>
        <v>0.7863316663472123</v>
      </c>
      <c r="Q15" s="130">
        <f t="shared" si="1"/>
        <v>0.44912429262887488</v>
      </c>
      <c r="R15" s="131"/>
      <c r="S15" s="132"/>
      <c r="T15" s="132"/>
      <c r="U15" s="132"/>
      <c r="V15" s="132"/>
      <c r="W15" s="132"/>
      <c r="X15" s="132"/>
      <c r="Y15" s="132"/>
      <c r="Z15" s="132"/>
      <c r="AA15" s="71"/>
      <c r="AB15" s="71"/>
    </row>
    <row r="16" spans="1:28" x14ac:dyDescent="0.2">
      <c r="A16" s="6"/>
      <c r="B16" s="98" t="s">
        <v>21</v>
      </c>
      <c r="C16" s="72">
        <v>0.51129398629541389</v>
      </c>
      <c r="D16" s="72">
        <v>0.49668026881068755</v>
      </c>
      <c r="E16" s="72">
        <v>0.50546234635510368</v>
      </c>
      <c r="F16" s="72">
        <v>0.26819923072796958</v>
      </c>
      <c r="G16" s="72">
        <f t="shared" si="2"/>
        <v>0.26819923072796958</v>
      </c>
      <c r="H16" s="72">
        <v>0.51603054711921403</v>
      </c>
      <c r="I16" s="130"/>
      <c r="J16" s="130"/>
      <c r="K16" s="131"/>
      <c r="L16" s="130">
        <f t="shared" si="1"/>
        <v>0.48870601370458611</v>
      </c>
      <c r="M16" s="130">
        <f t="shared" si="1"/>
        <v>0.5033197311893125</v>
      </c>
      <c r="N16" s="130">
        <f t="shared" si="1"/>
        <v>0.49453765364489632</v>
      </c>
      <c r="O16" s="130">
        <f t="shared" si="1"/>
        <v>0.73180076927203042</v>
      </c>
      <c r="P16" s="130">
        <f t="shared" si="1"/>
        <v>0.73180076927203042</v>
      </c>
      <c r="Q16" s="130">
        <f t="shared" si="1"/>
        <v>0.48396945288078597</v>
      </c>
      <c r="R16" s="131"/>
      <c r="S16" s="132"/>
      <c r="T16" s="132"/>
      <c r="U16" s="132"/>
      <c r="V16" s="132"/>
      <c r="W16" s="132"/>
      <c r="X16" s="132"/>
      <c r="Y16" s="132"/>
      <c r="Z16" s="132"/>
      <c r="AA16" s="71"/>
      <c r="AB16" s="71"/>
    </row>
    <row r="17" spans="1:28" x14ac:dyDescent="0.2">
      <c r="A17" s="6"/>
      <c r="B17" s="98" t="s">
        <v>22</v>
      </c>
      <c r="C17" s="72">
        <v>0.53258187140323021</v>
      </c>
      <c r="D17" s="72">
        <v>0.53073776118173543</v>
      </c>
      <c r="E17" s="72">
        <v>0.58493346980173866</v>
      </c>
      <c r="F17" s="73">
        <v>0.30515519909656635</v>
      </c>
      <c r="G17" s="72">
        <f t="shared" si="2"/>
        <v>0.30515519909656635</v>
      </c>
      <c r="H17" s="72">
        <v>0.57859653698641689</v>
      </c>
      <c r="I17" s="130"/>
      <c r="J17" s="130"/>
      <c r="K17" s="131"/>
      <c r="L17" s="130">
        <f t="shared" si="1"/>
        <v>0.46741812859676979</v>
      </c>
      <c r="M17" s="130">
        <f t="shared" si="1"/>
        <v>0.46926223881826457</v>
      </c>
      <c r="N17" s="130">
        <f t="shared" si="1"/>
        <v>0.41506653019826134</v>
      </c>
      <c r="O17" s="130">
        <f t="shared" si="1"/>
        <v>0.69484480090343359</v>
      </c>
      <c r="P17" s="130">
        <f t="shared" si="1"/>
        <v>0.69484480090343359</v>
      </c>
      <c r="Q17" s="130">
        <f t="shared" si="1"/>
        <v>0.42140346301358311</v>
      </c>
      <c r="R17" s="131"/>
      <c r="S17" s="132"/>
      <c r="T17" s="132"/>
      <c r="U17" s="132"/>
      <c r="V17" s="132"/>
      <c r="W17" s="132"/>
      <c r="X17" s="132"/>
      <c r="Y17" s="132"/>
      <c r="Z17" s="132"/>
      <c r="AA17" s="71"/>
      <c r="AB17" s="71"/>
    </row>
    <row r="18" spans="1:28" x14ac:dyDescent="0.2">
      <c r="A18" s="6"/>
      <c r="B18" s="98" t="s">
        <v>23</v>
      </c>
      <c r="C18" s="72">
        <v>0.47357522508042549</v>
      </c>
      <c r="D18" s="72">
        <v>0.43870557901423685</v>
      </c>
      <c r="E18" s="72">
        <v>0.45755782881701063</v>
      </c>
      <c r="F18" s="72">
        <v>0.28395062024691337</v>
      </c>
      <c r="G18" s="72">
        <f t="shared" si="2"/>
        <v>0.28395062024691337</v>
      </c>
      <c r="H18" s="72">
        <v>0.51363606227859804</v>
      </c>
      <c r="I18" s="130"/>
      <c r="J18" s="130"/>
      <c r="K18" s="131"/>
      <c r="L18" s="130">
        <f t="shared" si="1"/>
        <v>0.52642477491957451</v>
      </c>
      <c r="M18" s="130">
        <f t="shared" si="1"/>
        <v>0.5612944209857631</v>
      </c>
      <c r="N18" s="130">
        <f t="shared" si="1"/>
        <v>0.54244217118298943</v>
      </c>
      <c r="O18" s="130">
        <f t="shared" si="1"/>
        <v>0.71604937975308669</v>
      </c>
      <c r="P18" s="130">
        <f t="shared" si="1"/>
        <v>0.71604937975308669</v>
      </c>
      <c r="Q18" s="130">
        <f t="shared" si="1"/>
        <v>0.48636393772140196</v>
      </c>
      <c r="R18" s="131"/>
      <c r="S18" s="132"/>
      <c r="T18" s="132"/>
      <c r="U18" s="132"/>
      <c r="V18" s="132"/>
      <c r="W18" s="132"/>
      <c r="X18" s="132"/>
      <c r="Y18" s="132"/>
      <c r="Z18" s="132"/>
      <c r="AA18" s="71"/>
      <c r="AB18" s="71"/>
    </row>
    <row r="19" spans="1:28" x14ac:dyDescent="0.2">
      <c r="A19" s="6"/>
      <c r="B19" s="98" t="s">
        <v>24</v>
      </c>
      <c r="C19" s="72">
        <v>0.48452524037288069</v>
      </c>
      <c r="D19" s="72">
        <v>0.44134679233434071</v>
      </c>
      <c r="E19" s="72">
        <v>0.43662450156184568</v>
      </c>
      <c r="F19" s="72">
        <v>0.29032258064516159</v>
      </c>
      <c r="G19" s="72">
        <f t="shared" si="2"/>
        <v>0.29032258064516159</v>
      </c>
      <c r="H19" s="72">
        <v>0.51199469681052734</v>
      </c>
      <c r="I19" s="130"/>
      <c r="J19" s="130"/>
      <c r="K19" s="131"/>
      <c r="L19" s="130">
        <f t="shared" si="1"/>
        <v>0.51547475962711931</v>
      </c>
      <c r="M19" s="130">
        <f t="shared" si="1"/>
        <v>0.55865320766565929</v>
      </c>
      <c r="N19" s="130">
        <f t="shared" si="1"/>
        <v>0.56337549843815427</v>
      </c>
      <c r="O19" s="130">
        <f t="shared" si="1"/>
        <v>0.70967741935483841</v>
      </c>
      <c r="P19" s="130">
        <f t="shared" si="1"/>
        <v>0.70967741935483841</v>
      </c>
      <c r="Q19" s="130">
        <f t="shared" si="1"/>
        <v>0.48800530318947266</v>
      </c>
      <c r="R19" s="131"/>
      <c r="S19" s="132"/>
      <c r="T19" s="132"/>
      <c r="U19" s="132"/>
      <c r="V19" s="132"/>
      <c r="W19" s="132"/>
      <c r="X19" s="132"/>
      <c r="Y19" s="132"/>
      <c r="Z19" s="132"/>
      <c r="AA19" s="71"/>
      <c r="AB19" s="71"/>
    </row>
    <row r="20" spans="1:28" x14ac:dyDescent="0.2">
      <c r="A20" s="6"/>
      <c r="B20" s="98"/>
      <c r="C20" s="131"/>
      <c r="D20" s="131"/>
      <c r="E20" s="131"/>
      <c r="F20" s="105"/>
      <c r="G20" s="105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71"/>
      <c r="T20" s="71"/>
      <c r="U20" s="71"/>
      <c r="V20" s="71"/>
      <c r="W20" s="71"/>
      <c r="X20" s="71"/>
      <c r="Y20" s="71"/>
      <c r="Z20" s="71"/>
      <c r="AA20" s="71"/>
      <c r="AB20" s="71"/>
    </row>
    <row r="21" spans="1:28" x14ac:dyDescent="0.2">
      <c r="A21" s="6"/>
      <c r="B21" s="98"/>
      <c r="C21" s="131"/>
      <c r="D21" s="131"/>
      <c r="E21" s="131"/>
      <c r="F21" s="105"/>
      <c r="G21" s="105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71"/>
      <c r="T21" s="71"/>
      <c r="U21" s="71"/>
      <c r="V21" s="71"/>
      <c r="W21" s="71"/>
      <c r="X21" s="71"/>
      <c r="Y21" s="71"/>
      <c r="Z21" s="71"/>
      <c r="AA21" s="71"/>
      <c r="AB21" s="71"/>
    </row>
    <row r="22" spans="1:28" x14ac:dyDescent="0.2">
      <c r="A22" s="121" t="s">
        <v>25</v>
      </c>
      <c r="B22" s="124" t="s">
        <v>26</v>
      </c>
      <c r="C22" s="131"/>
      <c r="D22" s="131"/>
      <c r="E22" s="133" t="s">
        <v>27</v>
      </c>
      <c r="F22" s="105"/>
      <c r="G22" s="105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71"/>
      <c r="T22" s="71"/>
      <c r="U22" s="71"/>
      <c r="V22" s="71"/>
      <c r="W22" s="71"/>
      <c r="X22" s="71"/>
      <c r="Y22" s="71"/>
      <c r="Z22" s="71"/>
      <c r="AA22" s="71"/>
      <c r="AB22" s="71"/>
    </row>
    <row r="23" spans="1:28" ht="38.25" x14ac:dyDescent="0.2">
      <c r="A23" s="6"/>
      <c r="B23" s="71"/>
      <c r="C23" s="125" t="s">
        <v>28</v>
      </c>
      <c r="D23" s="125"/>
      <c r="E23" s="125" t="s">
        <v>28</v>
      </c>
      <c r="F23" s="125" t="s">
        <v>28</v>
      </c>
      <c r="G23" s="125" t="s">
        <v>28</v>
      </c>
      <c r="H23" s="125" t="s">
        <v>28</v>
      </c>
      <c r="I23" s="125"/>
      <c r="J23" s="125"/>
      <c r="K23" s="7"/>
      <c r="L23" s="125" t="s">
        <v>28</v>
      </c>
      <c r="M23" s="134" t="str">
        <f>M1-2&amp;" Forecasted Billed Sales"</f>
        <v>2018 Forecasted Billed Sales</v>
      </c>
      <c r="N23" s="125" t="s">
        <v>28</v>
      </c>
      <c r="O23" s="125" t="s">
        <v>28</v>
      </c>
      <c r="P23" s="125" t="s">
        <v>28</v>
      </c>
      <c r="Q23" s="125" t="s">
        <v>28</v>
      </c>
      <c r="R23" s="125"/>
      <c r="S23" s="71"/>
      <c r="T23" s="71"/>
      <c r="U23" s="71"/>
      <c r="V23" s="71"/>
      <c r="W23" s="71"/>
      <c r="X23" s="71"/>
      <c r="Y23" s="71"/>
      <c r="Z23" s="71"/>
      <c r="AA23" s="71"/>
      <c r="AB23" s="71"/>
    </row>
    <row r="24" spans="1:28" x14ac:dyDescent="0.2">
      <c r="A24" s="6"/>
      <c r="B24" s="127" t="s">
        <v>29</v>
      </c>
      <c r="C24" s="128" t="str">
        <f>+C6</f>
        <v>SC1/SC5</v>
      </c>
      <c r="D24" s="128" t="str">
        <f t="shared" ref="D24:H24" si="3">+D6</f>
        <v>SC3</v>
      </c>
      <c r="E24" s="128" t="str">
        <f t="shared" si="3"/>
        <v>SC2 ND</v>
      </c>
      <c r="F24" s="128" t="str">
        <f t="shared" si="3"/>
        <v>SC4</v>
      </c>
      <c r="G24" s="128" t="str">
        <f t="shared" si="3"/>
        <v>SC6</v>
      </c>
      <c r="H24" s="128" t="str">
        <f t="shared" si="3"/>
        <v>SC2 Dem</v>
      </c>
      <c r="I24" s="26"/>
      <c r="J24" s="26"/>
      <c r="K24" s="129"/>
      <c r="L24" s="26" t="str">
        <f t="shared" ref="L24:Q24" si="4">+C6</f>
        <v>SC1/SC5</v>
      </c>
      <c r="M24" s="26" t="str">
        <f t="shared" si="4"/>
        <v>SC3</v>
      </c>
      <c r="N24" s="26" t="str">
        <f t="shared" si="4"/>
        <v>SC2 ND</v>
      </c>
      <c r="O24" s="26" t="str">
        <f t="shared" si="4"/>
        <v>SC4</v>
      </c>
      <c r="P24" s="26" t="str">
        <f t="shared" si="4"/>
        <v>SC6</v>
      </c>
      <c r="Q24" s="26" t="str">
        <f t="shared" si="4"/>
        <v>SC2 Dem</v>
      </c>
      <c r="R24" s="26"/>
      <c r="S24" s="71"/>
      <c r="T24" s="71"/>
      <c r="U24" s="71"/>
      <c r="V24" s="71"/>
      <c r="W24" s="71"/>
      <c r="X24" s="71"/>
      <c r="Y24" s="71"/>
      <c r="Z24" s="71"/>
      <c r="AA24" s="71"/>
      <c r="AB24" s="71"/>
    </row>
    <row r="25" spans="1:28" x14ac:dyDescent="0.2">
      <c r="A25" s="6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</row>
    <row r="26" spans="1:28" x14ac:dyDescent="0.2">
      <c r="A26" s="6"/>
      <c r="B26" s="98" t="s">
        <v>13</v>
      </c>
      <c r="C26" s="135" t="s">
        <v>30</v>
      </c>
      <c r="D26" s="74">
        <v>0.3408920922009927</v>
      </c>
      <c r="E26" s="135" t="s">
        <v>30</v>
      </c>
      <c r="F26" s="135" t="s">
        <v>30</v>
      </c>
      <c r="G26" s="135" t="s">
        <v>30</v>
      </c>
      <c r="H26" s="135" t="s">
        <v>30</v>
      </c>
      <c r="I26" s="130"/>
      <c r="J26" s="130"/>
      <c r="K26" s="131"/>
      <c r="L26" s="131"/>
      <c r="M26" s="130">
        <f t="shared" ref="M26:M37" si="5">1-D26</f>
        <v>0.6591079077990073</v>
      </c>
      <c r="N26" s="131"/>
      <c r="O26" s="131"/>
      <c r="P26" s="131"/>
      <c r="Q26" s="131"/>
      <c r="R26" s="131"/>
      <c r="S26" s="71"/>
      <c r="T26" s="71"/>
      <c r="U26" s="71"/>
      <c r="V26" s="71"/>
      <c r="W26" s="71"/>
      <c r="X26" s="71"/>
      <c r="Y26" s="71"/>
      <c r="Z26" s="71"/>
      <c r="AA26" s="71"/>
      <c r="AB26" s="71"/>
    </row>
    <row r="27" spans="1:28" x14ac:dyDescent="0.2">
      <c r="A27" s="6"/>
      <c r="B27" s="98" t="s">
        <v>14</v>
      </c>
      <c r="C27" s="135" t="s">
        <v>30</v>
      </c>
      <c r="D27" s="74">
        <v>0.3725081820886641</v>
      </c>
      <c r="E27" s="135" t="s">
        <v>30</v>
      </c>
      <c r="F27" s="135" t="s">
        <v>30</v>
      </c>
      <c r="G27" s="135" t="s">
        <v>30</v>
      </c>
      <c r="H27" s="135" t="s">
        <v>30</v>
      </c>
      <c r="I27" s="130"/>
      <c r="J27" s="130"/>
      <c r="K27" s="131"/>
      <c r="L27" s="131"/>
      <c r="M27" s="130">
        <f t="shared" si="5"/>
        <v>0.6274918179113359</v>
      </c>
      <c r="N27" s="131"/>
      <c r="O27" s="131"/>
      <c r="P27" s="131"/>
      <c r="Q27" s="131"/>
      <c r="R27" s="131"/>
      <c r="S27" s="71"/>
      <c r="T27" s="71"/>
      <c r="U27" s="71"/>
      <c r="V27" s="71"/>
      <c r="W27" s="71"/>
      <c r="X27" s="71"/>
      <c r="Y27" s="71"/>
      <c r="Z27" s="71"/>
      <c r="AA27" s="71"/>
      <c r="AB27" s="71"/>
    </row>
    <row r="28" spans="1:28" x14ac:dyDescent="0.2">
      <c r="A28" s="6"/>
      <c r="B28" s="98" t="s">
        <v>15</v>
      </c>
      <c r="C28" s="135" t="s">
        <v>30</v>
      </c>
      <c r="D28" s="74">
        <v>0.34465868103486663</v>
      </c>
      <c r="E28" s="135" t="s">
        <v>30</v>
      </c>
      <c r="F28" s="135" t="s">
        <v>30</v>
      </c>
      <c r="G28" s="135" t="s">
        <v>30</v>
      </c>
      <c r="H28" s="135" t="s">
        <v>30</v>
      </c>
      <c r="I28" s="130"/>
      <c r="J28" s="130"/>
      <c r="K28" s="131"/>
      <c r="L28" s="131"/>
      <c r="M28" s="130">
        <f t="shared" si="5"/>
        <v>0.65534131896513337</v>
      </c>
      <c r="N28" s="131"/>
      <c r="O28" s="131"/>
      <c r="P28" s="131"/>
      <c r="Q28" s="131"/>
      <c r="R28" s="131"/>
      <c r="S28" s="71"/>
      <c r="T28" s="71"/>
      <c r="U28" s="71"/>
      <c r="V28" s="71"/>
      <c r="W28" s="71"/>
      <c r="X28" s="71"/>
      <c r="Y28" s="71"/>
      <c r="Z28" s="71"/>
      <c r="AA28" s="71"/>
      <c r="AB28" s="71"/>
    </row>
    <row r="29" spans="1:28" x14ac:dyDescent="0.2">
      <c r="A29" s="6"/>
      <c r="B29" s="98" t="s">
        <v>16</v>
      </c>
      <c r="C29" s="135" t="s">
        <v>30</v>
      </c>
      <c r="D29" s="74">
        <v>0.34077012835472581</v>
      </c>
      <c r="E29" s="135" t="s">
        <v>30</v>
      </c>
      <c r="F29" s="135" t="s">
        <v>30</v>
      </c>
      <c r="G29" s="135" t="s">
        <v>30</v>
      </c>
      <c r="H29" s="135" t="s">
        <v>30</v>
      </c>
      <c r="I29" s="130"/>
      <c r="J29" s="130"/>
      <c r="K29" s="131"/>
      <c r="L29" s="131"/>
      <c r="M29" s="130">
        <f t="shared" si="5"/>
        <v>0.65922987164527425</v>
      </c>
      <c r="N29" s="131"/>
      <c r="O29" s="131"/>
      <c r="P29" s="131"/>
      <c r="Q29" s="131"/>
      <c r="R29" s="131"/>
      <c r="S29" s="71"/>
      <c r="T29" s="71"/>
      <c r="U29" s="71"/>
      <c r="V29" s="71"/>
      <c r="W29" s="71"/>
      <c r="X29" s="71"/>
      <c r="Y29" s="71"/>
      <c r="Z29" s="71"/>
      <c r="AA29" s="71"/>
      <c r="AB29" s="71"/>
    </row>
    <row r="30" spans="1:28" x14ac:dyDescent="0.2">
      <c r="A30" s="6"/>
      <c r="B30" s="98" t="s">
        <v>17</v>
      </c>
      <c r="C30" s="135" t="s">
        <v>30</v>
      </c>
      <c r="D30" s="74">
        <v>0.35256965944272445</v>
      </c>
      <c r="E30" s="135" t="s">
        <v>30</v>
      </c>
      <c r="F30" s="135" t="s">
        <v>30</v>
      </c>
      <c r="G30" s="135" t="s">
        <v>30</v>
      </c>
      <c r="H30" s="135" t="s">
        <v>30</v>
      </c>
      <c r="I30" s="130"/>
      <c r="J30" s="130"/>
      <c r="K30" s="131"/>
      <c r="L30" s="131"/>
      <c r="M30" s="130">
        <f t="shared" si="5"/>
        <v>0.64743034055727555</v>
      </c>
      <c r="N30" s="131"/>
      <c r="O30" s="131"/>
      <c r="P30" s="131"/>
      <c r="Q30" s="131"/>
      <c r="R30" s="131"/>
      <c r="S30" s="71"/>
      <c r="T30" s="71"/>
      <c r="U30" s="71"/>
      <c r="V30" s="71"/>
      <c r="W30" s="71"/>
      <c r="X30" s="71"/>
      <c r="Y30" s="71"/>
      <c r="Z30" s="71"/>
      <c r="AA30" s="71"/>
      <c r="AB30" s="71"/>
    </row>
    <row r="31" spans="1:28" x14ac:dyDescent="0.2">
      <c r="A31" s="6"/>
      <c r="B31" s="98" t="s">
        <v>18</v>
      </c>
      <c r="C31" s="135" t="s">
        <v>30</v>
      </c>
      <c r="D31" s="74">
        <v>0.34841918644735548</v>
      </c>
      <c r="E31" s="135" t="s">
        <v>30</v>
      </c>
      <c r="F31" s="135" t="s">
        <v>30</v>
      </c>
      <c r="G31" s="135" t="s">
        <v>30</v>
      </c>
      <c r="H31" s="135" t="s">
        <v>30</v>
      </c>
      <c r="I31" s="130"/>
      <c r="J31" s="130"/>
      <c r="K31" s="131"/>
      <c r="L31" s="131"/>
      <c r="M31" s="130">
        <f t="shared" si="5"/>
        <v>0.65158081355264452</v>
      </c>
      <c r="N31" s="131"/>
      <c r="O31" s="131"/>
      <c r="P31" s="131"/>
      <c r="Q31" s="131"/>
      <c r="R31" s="131"/>
      <c r="S31" s="71"/>
      <c r="T31" s="71"/>
      <c r="U31" s="71"/>
      <c r="V31" s="71"/>
      <c r="W31" s="71"/>
      <c r="X31" s="71"/>
      <c r="Y31" s="71"/>
      <c r="Z31" s="71"/>
      <c r="AA31" s="71"/>
      <c r="AB31" s="71"/>
    </row>
    <row r="32" spans="1:28" x14ac:dyDescent="0.2">
      <c r="A32" s="6"/>
      <c r="B32" s="98" t="s">
        <v>19</v>
      </c>
      <c r="C32" s="135" t="s">
        <v>30</v>
      </c>
      <c r="D32" s="74">
        <v>0.37661495716601068</v>
      </c>
      <c r="E32" s="135" t="s">
        <v>30</v>
      </c>
      <c r="F32" s="135" t="s">
        <v>30</v>
      </c>
      <c r="G32" s="135" t="s">
        <v>30</v>
      </c>
      <c r="H32" s="135" t="s">
        <v>30</v>
      </c>
      <c r="I32" s="130"/>
      <c r="J32" s="130"/>
      <c r="K32" s="131"/>
      <c r="L32" s="131"/>
      <c r="M32" s="130">
        <f t="shared" si="5"/>
        <v>0.62338504283398932</v>
      </c>
      <c r="N32" s="131"/>
      <c r="O32" s="131"/>
      <c r="P32" s="131"/>
      <c r="Q32" s="131"/>
      <c r="R32" s="131"/>
      <c r="S32" s="71"/>
      <c r="T32" s="71"/>
      <c r="U32" s="71"/>
      <c r="V32" s="71"/>
      <c r="W32" s="71"/>
      <c r="X32" s="71"/>
      <c r="Y32" s="71"/>
      <c r="Z32" s="71"/>
      <c r="AA32" s="71"/>
      <c r="AB32" s="71"/>
    </row>
    <row r="33" spans="1:28" x14ac:dyDescent="0.2">
      <c r="A33" s="6"/>
      <c r="B33" s="98" t="s">
        <v>20</v>
      </c>
      <c r="C33" s="135" t="s">
        <v>30</v>
      </c>
      <c r="D33" s="74">
        <v>0.41232900283919816</v>
      </c>
      <c r="E33" s="135" t="s">
        <v>30</v>
      </c>
      <c r="F33" s="135" t="s">
        <v>30</v>
      </c>
      <c r="G33" s="135" t="s">
        <v>30</v>
      </c>
      <c r="H33" s="135" t="s">
        <v>30</v>
      </c>
      <c r="I33" s="130"/>
      <c r="J33" s="130"/>
      <c r="K33" s="131"/>
      <c r="L33" s="131"/>
      <c r="M33" s="130">
        <f t="shared" si="5"/>
        <v>0.58767099716080184</v>
      </c>
      <c r="N33" s="131"/>
      <c r="O33" s="131"/>
      <c r="P33" s="131"/>
      <c r="Q33" s="131"/>
      <c r="R33" s="131"/>
      <c r="S33" s="71"/>
      <c r="T33" s="71"/>
      <c r="U33" s="71"/>
      <c r="V33" s="71"/>
      <c r="W33" s="71"/>
      <c r="X33" s="71"/>
      <c r="Y33" s="71"/>
      <c r="Z33" s="71"/>
      <c r="AA33" s="71"/>
      <c r="AB33" s="71"/>
    </row>
    <row r="34" spans="1:28" x14ac:dyDescent="0.2">
      <c r="A34" s="6"/>
      <c r="B34" s="98" t="s">
        <v>21</v>
      </c>
      <c r="C34" s="135" t="s">
        <v>30</v>
      </c>
      <c r="D34" s="74">
        <v>0.39051999999999998</v>
      </c>
      <c r="E34" s="135" t="s">
        <v>30</v>
      </c>
      <c r="F34" s="135" t="s">
        <v>30</v>
      </c>
      <c r="G34" s="135" t="s">
        <v>30</v>
      </c>
      <c r="H34" s="135" t="s">
        <v>30</v>
      </c>
      <c r="I34" s="130"/>
      <c r="J34" s="130"/>
      <c r="K34" s="131"/>
      <c r="L34" s="131"/>
      <c r="M34" s="130">
        <f t="shared" si="5"/>
        <v>0.60948000000000002</v>
      </c>
      <c r="N34" s="131"/>
      <c r="O34" s="131"/>
      <c r="P34" s="131"/>
      <c r="Q34" s="131"/>
      <c r="R34" s="131"/>
      <c r="S34" s="71"/>
      <c r="T34" s="71"/>
      <c r="U34" s="71"/>
      <c r="V34" s="71"/>
      <c r="W34" s="71"/>
      <c r="X34" s="71"/>
      <c r="Y34" s="71"/>
      <c r="Z34" s="71"/>
      <c r="AA34" s="71"/>
      <c r="AB34" s="71"/>
    </row>
    <row r="35" spans="1:28" x14ac:dyDescent="0.2">
      <c r="A35" s="6"/>
      <c r="B35" s="98" t="s">
        <v>22</v>
      </c>
      <c r="C35" s="135" t="s">
        <v>30</v>
      </c>
      <c r="D35" s="74">
        <v>0.40350776637817387</v>
      </c>
      <c r="E35" s="135" t="s">
        <v>30</v>
      </c>
      <c r="F35" s="135" t="s">
        <v>30</v>
      </c>
      <c r="G35" s="135" t="s">
        <v>30</v>
      </c>
      <c r="H35" s="135" t="s">
        <v>30</v>
      </c>
      <c r="I35" s="130"/>
      <c r="J35" s="130"/>
      <c r="K35" s="131"/>
      <c r="L35" s="131"/>
      <c r="M35" s="130">
        <f t="shared" si="5"/>
        <v>0.59649223362182613</v>
      </c>
      <c r="N35" s="131"/>
      <c r="O35" s="131"/>
      <c r="P35" s="131"/>
      <c r="Q35" s="131"/>
      <c r="R35" s="131"/>
      <c r="S35" s="71"/>
      <c r="T35" s="71"/>
      <c r="U35" s="71"/>
      <c r="V35" s="71"/>
      <c r="W35" s="71"/>
      <c r="X35" s="71"/>
      <c r="Y35" s="71"/>
      <c r="Z35" s="71"/>
      <c r="AA35" s="71"/>
      <c r="AB35" s="71"/>
    </row>
    <row r="36" spans="1:28" x14ac:dyDescent="0.2">
      <c r="A36" s="6"/>
      <c r="B36" s="98" t="s">
        <v>23</v>
      </c>
      <c r="C36" s="135" t="s">
        <v>30</v>
      </c>
      <c r="D36" s="74">
        <v>0.37501985492666912</v>
      </c>
      <c r="E36" s="135" t="s">
        <v>30</v>
      </c>
      <c r="F36" s="135" t="s">
        <v>30</v>
      </c>
      <c r="G36" s="135" t="s">
        <v>30</v>
      </c>
      <c r="H36" s="135" t="s">
        <v>30</v>
      </c>
      <c r="I36" s="130"/>
      <c r="J36" s="130"/>
      <c r="K36" s="131"/>
      <c r="L36" s="131"/>
      <c r="M36" s="130">
        <f t="shared" si="5"/>
        <v>0.62498014507333088</v>
      </c>
      <c r="N36" s="131"/>
      <c r="O36" s="131"/>
      <c r="P36" s="131"/>
      <c r="Q36" s="131"/>
      <c r="R36" s="131"/>
      <c r="S36" s="71"/>
      <c r="T36" s="71"/>
      <c r="U36" s="71"/>
      <c r="V36" s="71"/>
      <c r="W36" s="71"/>
      <c r="X36" s="71"/>
      <c r="Y36" s="71"/>
      <c r="Z36" s="71"/>
      <c r="AA36" s="71"/>
      <c r="AB36" s="71"/>
    </row>
    <row r="37" spans="1:28" x14ac:dyDescent="0.2">
      <c r="A37" s="6"/>
      <c r="B37" s="98" t="s">
        <v>24</v>
      </c>
      <c r="C37" s="135" t="s">
        <v>30</v>
      </c>
      <c r="D37" s="74">
        <v>0.36531613515866107</v>
      </c>
      <c r="E37" s="135" t="s">
        <v>30</v>
      </c>
      <c r="F37" s="135" t="s">
        <v>30</v>
      </c>
      <c r="G37" s="135" t="s">
        <v>30</v>
      </c>
      <c r="H37" s="135" t="s">
        <v>30</v>
      </c>
      <c r="I37" s="130"/>
      <c r="J37" s="130"/>
      <c r="K37" s="131"/>
      <c r="L37" s="131"/>
      <c r="M37" s="130">
        <f t="shared" si="5"/>
        <v>0.63468386484133887</v>
      </c>
      <c r="N37" s="131"/>
      <c r="O37" s="131"/>
      <c r="P37" s="131"/>
      <c r="Q37" s="131"/>
      <c r="R37" s="131"/>
      <c r="S37" s="71"/>
      <c r="T37" s="71"/>
      <c r="U37" s="71"/>
      <c r="V37" s="71"/>
      <c r="W37" s="71"/>
      <c r="X37" s="71"/>
      <c r="Y37" s="71"/>
      <c r="Z37" s="71"/>
      <c r="AA37" s="71"/>
      <c r="AB37" s="71"/>
    </row>
    <row r="38" spans="1:28" x14ac:dyDescent="0.2">
      <c r="A38" s="6"/>
      <c r="B38" s="98"/>
      <c r="C38" s="131"/>
      <c r="D38" s="131"/>
      <c r="E38" s="131"/>
      <c r="F38" s="105"/>
      <c r="G38" s="105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71"/>
      <c r="U38" s="71"/>
      <c r="V38" s="71"/>
      <c r="W38" s="71"/>
      <c r="X38" s="71"/>
      <c r="Y38" s="71"/>
      <c r="Z38" s="71"/>
      <c r="AA38" s="71"/>
      <c r="AB38" s="71"/>
    </row>
    <row r="39" spans="1:28" x14ac:dyDescent="0.2">
      <c r="A39" s="6"/>
      <c r="B39" s="98"/>
      <c r="C39" s="131"/>
      <c r="D39" s="131"/>
      <c r="E39" s="131"/>
      <c r="F39" s="105"/>
      <c r="G39" s="105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71"/>
      <c r="U39" s="71"/>
      <c r="V39" s="71"/>
      <c r="W39" s="71"/>
      <c r="X39" s="71"/>
      <c r="Y39" s="71"/>
      <c r="Z39" s="71"/>
      <c r="AA39" s="71"/>
      <c r="AB39" s="71"/>
    </row>
    <row r="40" spans="1:28" x14ac:dyDescent="0.2">
      <c r="A40" s="121" t="s">
        <v>31</v>
      </c>
      <c r="B40" s="136" t="s">
        <v>32</v>
      </c>
      <c r="C40" s="71"/>
      <c r="D40" s="71"/>
      <c r="E40" s="71"/>
      <c r="F40" s="71"/>
      <c r="G40" s="71"/>
      <c r="H40" s="71"/>
      <c r="I40" s="71"/>
      <c r="J40" s="71"/>
      <c r="K40" s="71"/>
      <c r="L40" s="13" t="s">
        <v>33</v>
      </c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</row>
    <row r="41" spans="1:28" x14ac:dyDescent="0.2">
      <c r="A41" s="6"/>
      <c r="B41" s="137" t="str">
        <f>"Calendar month billed sales forecasted for " &amp;M1</f>
        <v>Calendar month billed sales forecasted for 2020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</row>
    <row r="42" spans="1:28" x14ac:dyDescent="0.2">
      <c r="A42" s="6"/>
      <c r="B42" s="7" t="s">
        <v>34</v>
      </c>
      <c r="C42" s="22" t="str">
        <f>+C6</f>
        <v>SC1/SC5</v>
      </c>
      <c r="D42" s="22" t="str">
        <f t="shared" ref="D42:H42" si="6">+D6</f>
        <v>SC3</v>
      </c>
      <c r="E42" s="22" t="str">
        <f t="shared" si="6"/>
        <v>SC2 ND</v>
      </c>
      <c r="F42" s="22" t="str">
        <f t="shared" si="6"/>
        <v>SC4</v>
      </c>
      <c r="G42" s="22" t="str">
        <f t="shared" si="6"/>
        <v>SC6</v>
      </c>
      <c r="H42" s="22" t="str">
        <f t="shared" si="6"/>
        <v>SC2 Dem</v>
      </c>
      <c r="I42" s="22" t="s">
        <v>35</v>
      </c>
      <c r="J42" s="26"/>
      <c r="K42" s="26"/>
      <c r="L42" s="26" t="str">
        <f t="shared" ref="L42:Q42" si="7">+C6</f>
        <v>SC1/SC5</v>
      </c>
      <c r="M42" s="26" t="str">
        <f t="shared" si="7"/>
        <v>SC3</v>
      </c>
      <c r="N42" s="26" t="str">
        <f t="shared" si="7"/>
        <v>SC2 ND</v>
      </c>
      <c r="O42" s="26" t="str">
        <f t="shared" si="7"/>
        <v>SC4</v>
      </c>
      <c r="P42" s="26" t="str">
        <f t="shared" si="7"/>
        <v>SC6</v>
      </c>
      <c r="Q42" s="26" t="str">
        <f t="shared" si="7"/>
        <v>SC2 Dem</v>
      </c>
      <c r="R42" s="26"/>
      <c r="S42" s="71"/>
      <c r="T42" s="71"/>
      <c r="U42" s="71"/>
      <c r="V42" s="71"/>
      <c r="W42" s="71"/>
      <c r="X42" s="71"/>
      <c r="Y42" s="71"/>
      <c r="Z42" s="71"/>
      <c r="AA42" s="71"/>
      <c r="AB42" s="71"/>
    </row>
    <row r="43" spans="1:28" x14ac:dyDescent="0.2">
      <c r="A43" s="6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</row>
    <row r="44" spans="1:28" x14ac:dyDescent="0.2">
      <c r="A44" s="6"/>
      <c r="B44" s="98" t="s">
        <v>13</v>
      </c>
      <c r="C44" s="75">
        <v>56888</v>
      </c>
      <c r="D44" s="75">
        <v>34.5</v>
      </c>
      <c r="E44" s="75">
        <v>2257</v>
      </c>
      <c r="F44" s="75">
        <v>473.5</v>
      </c>
      <c r="G44" s="75">
        <v>496</v>
      </c>
      <c r="H44" s="75">
        <v>28483.764999999999</v>
      </c>
      <c r="I44" s="75">
        <f t="shared" ref="I44:I55" si="8">SUM(C44:H44)</f>
        <v>88632.764999999999</v>
      </c>
      <c r="J44" s="75"/>
      <c r="K44" s="76" t="s">
        <v>36</v>
      </c>
      <c r="L44" s="77">
        <f t="shared" ref="L44:Q44" si="9">SUM(C44:C48,C53:C55)</f>
        <v>376656.5</v>
      </c>
      <c r="M44" s="75">
        <f t="shared" si="9"/>
        <v>202</v>
      </c>
      <c r="N44" s="75">
        <f t="shared" si="9"/>
        <v>15561</v>
      </c>
      <c r="O44" s="75">
        <f t="shared" si="9"/>
        <v>3409</v>
      </c>
      <c r="P44" s="75">
        <f t="shared" si="9"/>
        <v>3677.5</v>
      </c>
      <c r="Q44" s="75">
        <f t="shared" si="9"/>
        <v>218839.51</v>
      </c>
      <c r="R44" s="75"/>
      <c r="S44" s="71"/>
      <c r="T44" s="71"/>
      <c r="U44" s="71"/>
      <c r="V44" s="71"/>
      <c r="W44" s="71"/>
      <c r="X44" s="71"/>
      <c r="Y44" s="71"/>
      <c r="Z44" s="71"/>
      <c r="AA44" s="71"/>
      <c r="AB44" s="71"/>
    </row>
    <row r="45" spans="1:28" x14ac:dyDescent="0.2">
      <c r="A45" s="6"/>
      <c r="B45" s="98" t="s">
        <v>14</v>
      </c>
      <c r="C45" s="75">
        <v>49260.5</v>
      </c>
      <c r="D45" s="75">
        <v>42</v>
      </c>
      <c r="E45" s="75">
        <v>2610</v>
      </c>
      <c r="F45" s="75">
        <v>433.5</v>
      </c>
      <c r="G45" s="75">
        <v>409.5</v>
      </c>
      <c r="H45" s="75">
        <v>29342.871999999999</v>
      </c>
      <c r="I45" s="75">
        <f t="shared" si="8"/>
        <v>82098.372000000003</v>
      </c>
      <c r="J45" s="75"/>
      <c r="K45" s="76" t="s">
        <v>37</v>
      </c>
      <c r="L45" s="77"/>
      <c r="M45" s="75">
        <f>SUMPRODUCT(D26:D30,D44:D48)+SUMPRODUCT(D35:D37,D53:D55)</f>
        <v>72.887254430941155</v>
      </c>
      <c r="N45" s="71"/>
      <c r="O45" s="71"/>
      <c r="P45" s="71"/>
      <c r="Q45" s="71"/>
      <c r="R45" s="75"/>
      <c r="S45" s="71"/>
      <c r="T45" s="71"/>
      <c r="U45" s="71"/>
      <c r="V45" s="71"/>
      <c r="W45" s="71"/>
      <c r="X45" s="71"/>
      <c r="Y45" s="71"/>
      <c r="Z45" s="71"/>
      <c r="AA45" s="71"/>
      <c r="AB45" s="71"/>
    </row>
    <row r="46" spans="1:28" x14ac:dyDescent="0.2">
      <c r="A46" s="6"/>
      <c r="B46" s="98" t="s">
        <v>15</v>
      </c>
      <c r="C46" s="75">
        <v>45592.5</v>
      </c>
      <c r="D46" s="75">
        <v>23</v>
      </c>
      <c r="E46" s="75">
        <v>2260</v>
      </c>
      <c r="F46" s="75">
        <v>408</v>
      </c>
      <c r="G46" s="75">
        <v>406</v>
      </c>
      <c r="H46" s="75">
        <v>27367.589</v>
      </c>
      <c r="I46" s="75">
        <f t="shared" si="8"/>
        <v>76057.089000000007</v>
      </c>
      <c r="J46" s="75"/>
      <c r="K46" s="76" t="s">
        <v>38</v>
      </c>
      <c r="L46" s="77"/>
      <c r="M46" s="75">
        <f>+M44-M45</f>
        <v>129.11274556905886</v>
      </c>
      <c r="N46" s="71"/>
      <c r="O46" s="71"/>
      <c r="P46" s="71"/>
      <c r="Q46" s="71"/>
      <c r="R46" s="75"/>
      <c r="S46" s="71"/>
      <c r="T46" s="71"/>
      <c r="U46" s="71"/>
      <c r="V46" s="71"/>
      <c r="W46" s="71"/>
      <c r="X46" s="71"/>
      <c r="Y46" s="71"/>
      <c r="Z46" s="71"/>
      <c r="AA46" s="71"/>
      <c r="AB46" s="71"/>
    </row>
    <row r="47" spans="1:28" x14ac:dyDescent="0.2">
      <c r="A47" s="6"/>
      <c r="B47" s="98" t="s">
        <v>16</v>
      </c>
      <c r="C47" s="75">
        <v>40187</v>
      </c>
      <c r="D47" s="75">
        <v>22</v>
      </c>
      <c r="E47" s="75">
        <v>1745</v>
      </c>
      <c r="F47" s="75">
        <v>354.5</v>
      </c>
      <c r="G47" s="75">
        <v>423.5</v>
      </c>
      <c r="H47" s="75">
        <v>26399.733</v>
      </c>
      <c r="I47" s="75">
        <f t="shared" si="8"/>
        <v>69131.733000000007</v>
      </c>
      <c r="J47" s="75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</row>
    <row r="48" spans="1:28" x14ac:dyDescent="0.2">
      <c r="A48" s="6"/>
      <c r="B48" s="98" t="s">
        <v>17</v>
      </c>
      <c r="C48" s="75">
        <v>42283</v>
      </c>
      <c r="D48" s="75">
        <v>16</v>
      </c>
      <c r="E48" s="75">
        <v>1579</v>
      </c>
      <c r="F48" s="75">
        <v>330</v>
      </c>
      <c r="G48" s="75">
        <v>398.5</v>
      </c>
      <c r="H48" s="75">
        <v>25689.821</v>
      </c>
      <c r="I48" s="75">
        <f t="shared" si="8"/>
        <v>70296.320999999996</v>
      </c>
      <c r="J48" s="75"/>
      <c r="K48" s="76" t="s">
        <v>39</v>
      </c>
      <c r="L48" s="77">
        <f>SUM(C49:C52)</f>
        <v>285164</v>
      </c>
      <c r="M48" s="75">
        <f>+SUM(D49:D52)</f>
        <v>86</v>
      </c>
      <c r="N48" s="75">
        <f>+SUM(E49:E52)</f>
        <v>7003</v>
      </c>
      <c r="O48" s="75">
        <f>+SUM(F49:F52)</f>
        <v>1346</v>
      </c>
      <c r="P48" s="75">
        <f>+SUM(G49:G52)</f>
        <v>1474</v>
      </c>
      <c r="Q48" s="75">
        <f>+SUM(H49:H52)</f>
        <v>121541.93000000001</v>
      </c>
      <c r="R48" s="75"/>
      <c r="S48" s="71"/>
      <c r="T48" s="71"/>
      <c r="U48" s="71"/>
      <c r="V48" s="71"/>
      <c r="W48" s="71"/>
      <c r="X48" s="71"/>
      <c r="Y48" s="71"/>
      <c r="Z48" s="71"/>
      <c r="AA48" s="71"/>
      <c r="AB48" s="71"/>
    </row>
    <row r="49" spans="1:28" x14ac:dyDescent="0.2">
      <c r="A49" s="6"/>
      <c r="B49" s="98" t="s">
        <v>18</v>
      </c>
      <c r="C49" s="75">
        <v>56587</v>
      </c>
      <c r="D49" s="75">
        <v>20</v>
      </c>
      <c r="E49" s="75">
        <v>1462</v>
      </c>
      <c r="F49" s="75">
        <v>301.5</v>
      </c>
      <c r="G49" s="75">
        <v>371.5</v>
      </c>
      <c r="H49" s="75">
        <v>26670.762500000001</v>
      </c>
      <c r="I49" s="75">
        <f t="shared" si="8"/>
        <v>85412.762499999997</v>
      </c>
      <c r="J49" s="75"/>
      <c r="K49" s="76" t="s">
        <v>37</v>
      </c>
      <c r="L49" s="77"/>
      <c r="M49" s="75">
        <f>+SUMPRODUCT(D31:D34,D49:D52)</f>
        <v>32.874875720559736</v>
      </c>
      <c r="N49" s="71"/>
      <c r="O49" s="71"/>
      <c r="P49" s="71"/>
      <c r="Q49" s="71"/>
      <c r="R49" s="75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1:28" x14ac:dyDescent="0.2">
      <c r="A50" s="6"/>
      <c r="B50" s="98" t="s">
        <v>19</v>
      </c>
      <c r="C50" s="75">
        <v>79519</v>
      </c>
      <c r="D50" s="75">
        <v>25</v>
      </c>
      <c r="E50" s="75">
        <v>1947</v>
      </c>
      <c r="F50" s="75">
        <v>318.5</v>
      </c>
      <c r="G50" s="75">
        <v>351</v>
      </c>
      <c r="H50" s="75">
        <v>32578.914499999999</v>
      </c>
      <c r="I50" s="75">
        <f t="shared" si="8"/>
        <v>114739.4145</v>
      </c>
      <c r="J50" s="75"/>
      <c r="K50" s="76" t="s">
        <v>38</v>
      </c>
      <c r="L50" s="77"/>
      <c r="M50" s="75">
        <f>+M48-M49</f>
        <v>53.125124279440264</v>
      </c>
      <c r="N50" s="71"/>
      <c r="O50" s="71"/>
      <c r="P50" s="71"/>
      <c r="Q50" s="71"/>
      <c r="R50" s="75"/>
      <c r="S50" s="71"/>
      <c r="T50" s="71"/>
      <c r="U50" s="71"/>
      <c r="V50" s="71"/>
      <c r="W50" s="71"/>
      <c r="X50" s="71"/>
      <c r="Y50" s="71"/>
      <c r="Z50" s="71"/>
      <c r="AA50" s="71"/>
      <c r="AB50" s="71"/>
    </row>
    <row r="51" spans="1:28" x14ac:dyDescent="0.2">
      <c r="A51" s="6"/>
      <c r="B51" s="98" t="s">
        <v>20</v>
      </c>
      <c r="C51" s="75">
        <v>81339</v>
      </c>
      <c r="D51" s="75">
        <v>22</v>
      </c>
      <c r="E51" s="75">
        <v>1863</v>
      </c>
      <c r="F51" s="75">
        <v>337.5</v>
      </c>
      <c r="G51" s="75">
        <v>344.5</v>
      </c>
      <c r="H51" s="75">
        <v>31383.703000000001</v>
      </c>
      <c r="I51" s="75">
        <f t="shared" si="8"/>
        <v>115289.70300000001</v>
      </c>
      <c r="J51" s="75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</row>
    <row r="52" spans="1:28" x14ac:dyDescent="0.2">
      <c r="A52" s="6"/>
      <c r="B52" s="98" t="s">
        <v>21</v>
      </c>
      <c r="C52" s="75">
        <v>67719</v>
      </c>
      <c r="D52" s="75">
        <v>19</v>
      </c>
      <c r="E52" s="75">
        <v>1731</v>
      </c>
      <c r="F52" s="75">
        <v>388.5</v>
      </c>
      <c r="G52" s="75">
        <v>407</v>
      </c>
      <c r="H52" s="75">
        <v>30908.55</v>
      </c>
      <c r="I52" s="75">
        <f t="shared" si="8"/>
        <v>101173.05</v>
      </c>
      <c r="J52" s="75"/>
      <c r="K52" s="76" t="s">
        <v>40</v>
      </c>
      <c r="L52" s="77">
        <f>ROUND(L48*E156,0)</f>
        <v>120054</v>
      </c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</row>
    <row r="53" spans="1:28" x14ac:dyDescent="0.2">
      <c r="A53" s="6"/>
      <c r="B53" s="98" t="s">
        <v>22</v>
      </c>
      <c r="C53" s="75">
        <v>47192</v>
      </c>
      <c r="D53" s="75">
        <v>17</v>
      </c>
      <c r="E53" s="75">
        <v>1419</v>
      </c>
      <c r="F53" s="75">
        <v>432</v>
      </c>
      <c r="G53" s="75">
        <v>480.5</v>
      </c>
      <c r="H53" s="75">
        <v>26598.123500000002</v>
      </c>
      <c r="I53" s="75">
        <f t="shared" si="8"/>
        <v>76138.623500000002</v>
      </c>
      <c r="J53" s="75"/>
      <c r="K53" s="78" t="s">
        <v>41</v>
      </c>
      <c r="L53" s="77">
        <f>L48-L52</f>
        <v>165110</v>
      </c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</row>
    <row r="54" spans="1:28" x14ac:dyDescent="0.2">
      <c r="A54" s="6"/>
      <c r="B54" s="98" t="s">
        <v>23</v>
      </c>
      <c r="C54" s="75">
        <v>43912</v>
      </c>
      <c r="D54" s="75">
        <v>21</v>
      </c>
      <c r="E54" s="75">
        <v>1635</v>
      </c>
      <c r="F54" s="75">
        <v>469.5</v>
      </c>
      <c r="G54" s="75">
        <v>524</v>
      </c>
      <c r="H54" s="75">
        <v>27122.416000000001</v>
      </c>
      <c r="I54" s="75">
        <f t="shared" si="8"/>
        <v>73683.915999999997</v>
      </c>
      <c r="J54" s="75"/>
      <c r="K54" s="78" t="s">
        <v>42</v>
      </c>
      <c r="L54" s="77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</row>
    <row r="55" spans="1:28" x14ac:dyDescent="0.2">
      <c r="A55" s="6"/>
      <c r="B55" s="98" t="s">
        <v>24</v>
      </c>
      <c r="C55" s="4">
        <v>51341.5</v>
      </c>
      <c r="D55" s="4">
        <v>26.5</v>
      </c>
      <c r="E55" s="4">
        <v>2056</v>
      </c>
      <c r="F55" s="4">
        <v>508</v>
      </c>
      <c r="G55" s="4">
        <v>539.5</v>
      </c>
      <c r="H55" s="4">
        <v>27835.190500000001</v>
      </c>
      <c r="I55" s="4">
        <f t="shared" si="8"/>
        <v>82306.690499999997</v>
      </c>
      <c r="J55" s="75"/>
      <c r="K55" s="71"/>
      <c r="L55" s="71"/>
      <c r="M55" s="138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</row>
    <row r="56" spans="1:28" x14ac:dyDescent="0.2">
      <c r="A56" s="6"/>
      <c r="B56" s="139" t="s">
        <v>35</v>
      </c>
      <c r="C56" s="75">
        <f>SUM(C44:C55)</f>
        <v>661820.5</v>
      </c>
      <c r="D56" s="75">
        <f t="shared" ref="D56:H56" si="10">SUM(D44:D55)</f>
        <v>288</v>
      </c>
      <c r="E56" s="75">
        <f t="shared" si="10"/>
        <v>22564</v>
      </c>
      <c r="F56" s="75">
        <f>SUM(F44:F55)</f>
        <v>4755</v>
      </c>
      <c r="G56" s="75">
        <f>SUM(G44:G55)</f>
        <v>5151.5</v>
      </c>
      <c r="H56" s="75">
        <f t="shared" si="10"/>
        <v>340381.44000000006</v>
      </c>
      <c r="I56" s="75">
        <f>SUM(I44:I55)</f>
        <v>1034960.4400000001</v>
      </c>
      <c r="J56" s="75"/>
      <c r="K56" s="71"/>
      <c r="L56" s="71"/>
      <c r="M56" s="138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</row>
    <row r="57" spans="1:28" x14ac:dyDescent="0.2">
      <c r="A57" s="6"/>
      <c r="B57" s="98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138"/>
      <c r="O57" s="13" t="s">
        <v>43</v>
      </c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</row>
    <row r="58" spans="1:28" x14ac:dyDescent="0.2">
      <c r="A58" s="6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90"/>
      <c r="O58" s="140"/>
      <c r="P58" s="141"/>
      <c r="Q58" s="141"/>
      <c r="R58" s="141"/>
      <c r="S58" s="141"/>
      <c r="T58" s="141"/>
      <c r="U58" s="141"/>
      <c r="V58" s="141"/>
      <c r="W58" s="142"/>
      <c r="X58" s="71"/>
      <c r="Y58" s="71"/>
      <c r="Z58" s="71"/>
      <c r="AA58" s="71"/>
      <c r="AB58" s="71"/>
    </row>
    <row r="59" spans="1:28" x14ac:dyDescent="0.2">
      <c r="A59" s="121" t="s">
        <v>44</v>
      </c>
      <c r="B59" s="13" t="s">
        <v>45</v>
      </c>
      <c r="C59" s="71"/>
      <c r="D59" s="71"/>
      <c r="E59" s="71"/>
      <c r="F59" s="71"/>
      <c r="G59" s="143"/>
      <c r="H59" s="13"/>
      <c r="I59" s="71"/>
      <c r="J59" s="71"/>
      <c r="K59" s="71"/>
      <c r="L59" s="71"/>
      <c r="M59" s="71"/>
      <c r="N59" s="138"/>
      <c r="O59" s="144"/>
      <c r="P59" s="90" t="s">
        <v>46</v>
      </c>
      <c r="Q59" s="90"/>
      <c r="R59" s="90"/>
      <c r="S59" s="90"/>
      <c r="T59" s="90"/>
      <c r="U59" s="90"/>
      <c r="V59" s="90"/>
      <c r="W59" s="145"/>
      <c r="X59" s="71"/>
      <c r="Y59" s="71"/>
      <c r="Z59" s="71"/>
      <c r="AA59" s="71"/>
      <c r="AB59" s="71"/>
    </row>
    <row r="60" spans="1:28" s="5" customFormat="1" x14ac:dyDescent="0.2">
      <c r="A60" s="6"/>
      <c r="B60" s="2" t="s">
        <v>47</v>
      </c>
      <c r="C60" s="146"/>
      <c r="D60" s="146"/>
      <c r="E60" s="146"/>
      <c r="F60" s="146"/>
      <c r="G60" s="71"/>
      <c r="H60" s="146"/>
      <c r="I60" s="146"/>
      <c r="J60" s="146"/>
      <c r="K60" s="146"/>
      <c r="L60" s="146"/>
      <c r="M60" s="146"/>
      <c r="N60" s="138"/>
      <c r="O60" s="147"/>
      <c r="P60" s="148"/>
      <c r="Q60" s="148"/>
      <c r="R60" s="148"/>
      <c r="S60" s="149" t="str">
        <f>D6</f>
        <v>SC3</v>
      </c>
      <c r="T60" s="149"/>
      <c r="U60" s="149"/>
      <c r="V60" s="90"/>
      <c r="W60" s="150"/>
      <c r="X60" s="71"/>
      <c r="Y60" s="146"/>
      <c r="Z60" s="146"/>
      <c r="AA60" s="146"/>
      <c r="AB60" s="146"/>
    </row>
    <row r="61" spans="1:28" x14ac:dyDescent="0.2">
      <c r="A61" s="6"/>
      <c r="B61" s="71"/>
      <c r="C61" s="22" t="s">
        <v>48</v>
      </c>
      <c r="D61" s="22" t="s">
        <v>49</v>
      </c>
      <c r="E61" s="71"/>
      <c r="F61" s="71"/>
      <c r="G61" s="26"/>
      <c r="H61" s="26"/>
      <c r="I61" s="26"/>
      <c r="J61" s="71"/>
      <c r="K61" s="71"/>
      <c r="L61" s="71"/>
      <c r="M61" s="71"/>
      <c r="N61" s="138"/>
      <c r="O61" s="151"/>
      <c r="P61" s="90"/>
      <c r="Q61" s="90"/>
      <c r="R61" s="90"/>
      <c r="S61" s="90"/>
      <c r="T61" s="90"/>
      <c r="U61" s="90"/>
      <c r="V61" s="90"/>
      <c r="W61" s="145"/>
      <c r="X61" s="71"/>
      <c r="Y61" s="71"/>
      <c r="Z61" s="71"/>
      <c r="AA61" s="71"/>
      <c r="AB61" s="71"/>
    </row>
    <row r="62" spans="1:28" x14ac:dyDescent="0.2">
      <c r="A62" s="6"/>
      <c r="B62" s="98" t="s">
        <v>13</v>
      </c>
      <c r="C62" s="79">
        <f t="shared" ref="C62:D73" si="11">G428</f>
        <v>47.27</v>
      </c>
      <c r="D62" s="79">
        <f t="shared" si="11"/>
        <v>37.83</v>
      </c>
      <c r="E62" s="71"/>
      <c r="F62" s="71"/>
      <c r="G62" s="71"/>
      <c r="H62" s="26"/>
      <c r="I62" s="26"/>
      <c r="J62" s="71"/>
      <c r="K62" s="71"/>
      <c r="L62" s="71"/>
      <c r="M62" s="90"/>
      <c r="N62" s="90"/>
      <c r="O62" s="147"/>
      <c r="P62" s="152"/>
      <c r="Q62" s="91" t="s">
        <v>36</v>
      </c>
      <c r="R62" s="152"/>
      <c r="S62" s="153">
        <f>SUM(D44:D48,D53:D55)</f>
        <v>202</v>
      </c>
      <c r="T62" s="152"/>
      <c r="U62" s="153"/>
      <c r="V62" s="152"/>
      <c r="W62" s="145"/>
      <c r="X62" s="71"/>
      <c r="Y62" s="71"/>
      <c r="Z62" s="71"/>
      <c r="AA62" s="71"/>
      <c r="AB62" s="71"/>
    </row>
    <row r="63" spans="1:28" x14ac:dyDescent="0.2">
      <c r="A63" s="6"/>
      <c r="B63" s="98" t="s">
        <v>14</v>
      </c>
      <c r="C63" s="79">
        <f t="shared" si="11"/>
        <v>44.9</v>
      </c>
      <c r="D63" s="79">
        <f t="shared" si="11"/>
        <v>35.880000000000003</v>
      </c>
      <c r="E63" s="71"/>
      <c r="F63" s="71"/>
      <c r="G63" s="71"/>
      <c r="H63" s="26"/>
      <c r="I63" s="26"/>
      <c r="J63" s="71"/>
      <c r="K63" s="71"/>
      <c r="L63" s="71"/>
      <c r="M63" s="71"/>
      <c r="N63" s="90"/>
      <c r="O63" s="147"/>
      <c r="P63" s="152"/>
      <c r="Q63" s="91" t="s">
        <v>37</v>
      </c>
      <c r="R63" s="90"/>
      <c r="S63" s="153">
        <f>SUMPRODUCT(D26:D30,D44:D48)+SUMPRODUCT(D35:D37,D53:D55)</f>
        <v>72.887254430941155</v>
      </c>
      <c r="T63" s="90">
        <f>S63/S62</f>
        <v>0.36082799223238193</v>
      </c>
      <c r="U63" s="153"/>
      <c r="V63" s="90"/>
      <c r="W63" s="145"/>
      <c r="X63" s="71"/>
      <c r="Y63" s="71"/>
      <c r="Z63" s="71"/>
      <c r="AA63" s="71"/>
      <c r="AB63" s="71"/>
    </row>
    <row r="64" spans="1:28" x14ac:dyDescent="0.2">
      <c r="A64" s="6"/>
      <c r="B64" s="98" t="s">
        <v>15</v>
      </c>
      <c r="C64" s="79">
        <f t="shared" si="11"/>
        <v>34.57</v>
      </c>
      <c r="D64" s="79">
        <f t="shared" si="11"/>
        <v>27.08</v>
      </c>
      <c r="E64" s="71"/>
      <c r="F64" s="71"/>
      <c r="G64" s="71"/>
      <c r="H64" s="26"/>
      <c r="I64" s="26"/>
      <c r="J64" s="71"/>
      <c r="K64" s="71"/>
      <c r="L64" s="71"/>
      <c r="M64" s="148"/>
      <c r="N64" s="148"/>
      <c r="O64" s="147"/>
      <c r="P64" s="152"/>
      <c r="Q64" s="91" t="s">
        <v>38</v>
      </c>
      <c r="R64" s="90"/>
      <c r="S64" s="153">
        <f>SUMPRODUCT(M26:M30,D44:D48)+SUMPRODUCT(M35:M37,D53:D55)</f>
        <v>129.11274556905886</v>
      </c>
      <c r="T64" s="90"/>
      <c r="U64" s="153"/>
      <c r="V64" s="90"/>
      <c r="W64" s="145"/>
      <c r="X64" s="71"/>
      <c r="Y64" s="71"/>
      <c r="Z64" s="71"/>
      <c r="AA64" s="71"/>
      <c r="AB64" s="71"/>
    </row>
    <row r="65" spans="1:28" x14ac:dyDescent="0.2">
      <c r="A65" s="6"/>
      <c r="B65" s="98" t="s">
        <v>16</v>
      </c>
      <c r="C65" s="79">
        <f t="shared" si="11"/>
        <v>29.54</v>
      </c>
      <c r="D65" s="79">
        <f t="shared" si="11"/>
        <v>22.95</v>
      </c>
      <c r="E65" s="71"/>
      <c r="F65" s="71"/>
      <c r="G65" s="71"/>
      <c r="H65" s="26"/>
      <c r="I65" s="26"/>
      <c r="J65" s="71"/>
      <c r="K65" s="71"/>
      <c r="L65" s="71"/>
      <c r="M65" s="90"/>
      <c r="N65" s="90"/>
      <c r="O65" s="151"/>
      <c r="P65" s="90"/>
      <c r="Q65" s="90"/>
      <c r="R65" s="90"/>
      <c r="S65" s="90"/>
      <c r="T65" s="90"/>
      <c r="U65" s="90"/>
      <c r="V65" s="90"/>
      <c r="W65" s="145"/>
      <c r="X65" s="146"/>
      <c r="Y65" s="71"/>
      <c r="Z65" s="71"/>
      <c r="AA65" s="71"/>
      <c r="AB65" s="71"/>
    </row>
    <row r="66" spans="1:28" x14ac:dyDescent="0.2">
      <c r="A66" s="6"/>
      <c r="B66" s="98" t="s">
        <v>17</v>
      </c>
      <c r="C66" s="79">
        <f t="shared" si="11"/>
        <v>28.93</v>
      </c>
      <c r="D66" s="79">
        <f t="shared" si="11"/>
        <v>22.43</v>
      </c>
      <c r="E66" s="71"/>
      <c r="F66" s="71"/>
      <c r="G66" s="71"/>
      <c r="H66" s="26"/>
      <c r="I66" s="26"/>
      <c r="J66" s="71"/>
      <c r="K66" s="71"/>
      <c r="L66" s="71"/>
      <c r="M66" s="71"/>
      <c r="N66" s="138"/>
      <c r="O66" s="147"/>
      <c r="P66" s="152"/>
      <c r="Q66" s="91" t="s">
        <v>39</v>
      </c>
      <c r="R66" s="152"/>
      <c r="S66" s="153">
        <f>+SUM(D49:D52)</f>
        <v>86</v>
      </c>
      <c r="T66" s="152"/>
      <c r="U66" s="153"/>
      <c r="V66" s="152"/>
      <c r="W66" s="145"/>
      <c r="X66" s="71"/>
      <c r="Y66" s="71"/>
      <c r="Z66" s="71"/>
      <c r="AA66" s="71"/>
      <c r="AB66" s="71"/>
    </row>
    <row r="67" spans="1:28" x14ac:dyDescent="0.2">
      <c r="A67" s="6"/>
      <c r="B67" s="98" t="s">
        <v>18</v>
      </c>
      <c r="C67" s="79">
        <f t="shared" si="11"/>
        <v>29.11</v>
      </c>
      <c r="D67" s="79">
        <f t="shared" si="11"/>
        <v>18.170000000000002</v>
      </c>
      <c r="E67" s="71"/>
      <c r="F67" s="71"/>
      <c r="G67" s="71"/>
      <c r="H67" s="26"/>
      <c r="I67" s="26"/>
      <c r="J67" s="71"/>
      <c r="K67" s="71"/>
      <c r="L67" s="71"/>
      <c r="M67" s="71"/>
      <c r="N67" s="138"/>
      <c r="O67" s="147"/>
      <c r="P67" s="152"/>
      <c r="Q67" s="91" t="s">
        <v>37</v>
      </c>
      <c r="R67" s="90"/>
      <c r="S67" s="153">
        <f>+SUMPRODUCT(D31:D34,D49:D52)</f>
        <v>32.874875720559736</v>
      </c>
      <c r="T67" s="154">
        <f>S67/S66</f>
        <v>0.38226599675069461</v>
      </c>
      <c r="U67" s="153"/>
      <c r="V67" s="154"/>
      <c r="W67" s="155"/>
      <c r="X67" s="71"/>
      <c r="Y67" s="71"/>
      <c r="Z67" s="71"/>
      <c r="AA67" s="71"/>
      <c r="AB67" s="71"/>
    </row>
    <row r="68" spans="1:28" x14ac:dyDescent="0.2">
      <c r="A68" s="6"/>
      <c r="B68" s="98" t="s">
        <v>19</v>
      </c>
      <c r="C68" s="79">
        <f t="shared" si="11"/>
        <v>34.57</v>
      </c>
      <c r="D68" s="79">
        <f t="shared" si="11"/>
        <v>21.58</v>
      </c>
      <c r="E68" s="71"/>
      <c r="F68" s="71"/>
      <c r="G68" s="71"/>
      <c r="H68" s="26"/>
      <c r="I68" s="26"/>
      <c r="J68" s="71"/>
      <c r="K68" s="71"/>
      <c r="L68" s="71"/>
      <c r="M68" s="71"/>
      <c r="N68" s="138"/>
      <c r="O68" s="147"/>
      <c r="P68" s="152"/>
      <c r="Q68" s="91" t="s">
        <v>38</v>
      </c>
      <c r="R68" s="90"/>
      <c r="S68" s="153">
        <f>SUMPRODUCT(M31:M34,D49:D52)</f>
        <v>53.125124279440264</v>
      </c>
      <c r="T68" s="90"/>
      <c r="U68" s="153"/>
      <c r="V68" s="90"/>
      <c r="W68" s="145"/>
      <c r="X68" s="71"/>
      <c r="Y68" s="71"/>
      <c r="Z68" s="71"/>
      <c r="AA68" s="71"/>
      <c r="AB68" s="71"/>
    </row>
    <row r="69" spans="1:28" x14ac:dyDescent="0.2">
      <c r="A69" s="6"/>
      <c r="B69" s="98" t="s">
        <v>20</v>
      </c>
      <c r="C69" s="79">
        <f t="shared" si="11"/>
        <v>31.55</v>
      </c>
      <c r="D69" s="79">
        <f t="shared" si="11"/>
        <v>19.72</v>
      </c>
      <c r="E69" s="71"/>
      <c r="F69" s="71"/>
      <c r="G69" s="71"/>
      <c r="H69" s="26"/>
      <c r="I69" s="26"/>
      <c r="J69" s="71"/>
      <c r="K69" s="71"/>
      <c r="L69" s="71"/>
      <c r="M69" s="71"/>
      <c r="N69" s="90"/>
      <c r="O69" s="147"/>
      <c r="P69" s="90"/>
      <c r="Q69" s="90"/>
      <c r="R69" s="90"/>
      <c r="S69" s="90"/>
      <c r="T69" s="90"/>
      <c r="U69" s="90"/>
      <c r="V69" s="90"/>
      <c r="W69" s="145"/>
      <c r="X69" s="71"/>
      <c r="Y69" s="71"/>
      <c r="Z69" s="71"/>
      <c r="AA69" s="71"/>
      <c r="AB69" s="71"/>
    </row>
    <row r="70" spans="1:28" x14ac:dyDescent="0.2">
      <c r="A70" s="6"/>
      <c r="B70" s="98" t="s">
        <v>21</v>
      </c>
      <c r="C70" s="79">
        <f t="shared" si="11"/>
        <v>29.77</v>
      </c>
      <c r="D70" s="79">
        <f t="shared" si="11"/>
        <v>18.579999999999998</v>
      </c>
      <c r="E70" s="71"/>
      <c r="F70" s="71"/>
      <c r="G70" s="71"/>
      <c r="H70" s="26"/>
      <c r="I70" s="26"/>
      <c r="J70" s="71"/>
      <c r="K70" s="71"/>
      <c r="L70" s="71"/>
      <c r="M70" s="71"/>
      <c r="N70" s="138"/>
      <c r="O70" s="144"/>
      <c r="P70" s="90" t="s">
        <v>50</v>
      </c>
      <c r="Q70" s="90"/>
      <c r="R70" s="90"/>
      <c r="S70" s="90"/>
      <c r="T70" s="90"/>
      <c r="U70" s="90"/>
      <c r="V70" s="90"/>
      <c r="W70" s="145"/>
      <c r="X70" s="71"/>
      <c r="Y70" s="71"/>
      <c r="Z70" s="71"/>
      <c r="AA70" s="71"/>
      <c r="AB70" s="71"/>
    </row>
    <row r="71" spans="1:28" x14ac:dyDescent="0.2">
      <c r="A71" s="6"/>
      <c r="B71" s="98" t="s">
        <v>22</v>
      </c>
      <c r="C71" s="79">
        <f t="shared" si="11"/>
        <v>28.52</v>
      </c>
      <c r="D71" s="79">
        <f t="shared" si="11"/>
        <v>22.05</v>
      </c>
      <c r="E71" s="71"/>
      <c r="F71" s="71"/>
      <c r="G71" s="71"/>
      <c r="H71" s="26"/>
      <c r="I71" s="26"/>
      <c r="J71" s="71"/>
      <c r="K71" s="71"/>
      <c r="L71" s="71"/>
      <c r="M71" s="71"/>
      <c r="N71" s="138"/>
      <c r="O71" s="147"/>
      <c r="P71" s="148"/>
      <c r="Q71" s="148"/>
      <c r="R71" s="148"/>
      <c r="S71" s="148" t="str">
        <f>S60</f>
        <v>SC3</v>
      </c>
      <c r="T71" s="148"/>
      <c r="U71" s="148"/>
      <c r="V71" s="148"/>
      <c r="W71" s="145"/>
      <c r="X71" s="71"/>
      <c r="Y71" s="71"/>
      <c r="Z71" s="71"/>
      <c r="AA71" s="71"/>
      <c r="AB71" s="71"/>
    </row>
    <row r="72" spans="1:28" x14ac:dyDescent="0.2">
      <c r="A72" s="6"/>
      <c r="B72" s="98" t="s">
        <v>23</v>
      </c>
      <c r="C72" s="79">
        <f t="shared" si="11"/>
        <v>29.32</v>
      </c>
      <c r="D72" s="79">
        <f t="shared" si="11"/>
        <v>22.97</v>
      </c>
      <c r="E72" s="71"/>
      <c r="F72" s="71"/>
      <c r="G72" s="71"/>
      <c r="H72" s="26"/>
      <c r="I72" s="26"/>
      <c r="J72" s="71"/>
      <c r="K72" s="71"/>
      <c r="L72" s="71"/>
      <c r="M72" s="71"/>
      <c r="N72" s="138"/>
      <c r="O72" s="151"/>
      <c r="P72" s="90"/>
      <c r="Q72" s="90"/>
      <c r="R72" s="90"/>
      <c r="S72" s="90"/>
      <c r="T72" s="90"/>
      <c r="U72" s="90"/>
      <c r="V72" s="90"/>
      <c r="W72" s="145"/>
      <c r="X72" s="71"/>
      <c r="Y72" s="71"/>
      <c r="Z72" s="71"/>
      <c r="AA72" s="71"/>
      <c r="AB72" s="71"/>
    </row>
    <row r="73" spans="1:28" x14ac:dyDescent="0.2">
      <c r="A73" s="6"/>
      <c r="B73" s="98" t="s">
        <v>24</v>
      </c>
      <c r="C73" s="79">
        <f t="shared" si="11"/>
        <v>33.700000000000003</v>
      </c>
      <c r="D73" s="79">
        <f t="shared" si="11"/>
        <v>26.68</v>
      </c>
      <c r="E73" s="71"/>
      <c r="F73" s="71"/>
      <c r="G73" s="71"/>
      <c r="H73" s="26"/>
      <c r="I73" s="26"/>
      <c r="J73" s="71"/>
      <c r="K73" s="71"/>
      <c r="L73" s="71"/>
      <c r="M73" s="71"/>
      <c r="N73" s="90"/>
      <c r="O73" s="147"/>
      <c r="P73" s="152"/>
      <c r="Q73" s="91" t="s">
        <v>36</v>
      </c>
      <c r="R73" s="152"/>
      <c r="S73" s="153">
        <f>SUM(D44:D48,D53:D55)</f>
        <v>202</v>
      </c>
      <c r="T73" s="152"/>
      <c r="U73" s="153"/>
      <c r="V73" s="152"/>
      <c r="W73" s="145"/>
      <c r="X73" s="71"/>
      <c r="Y73" s="71"/>
      <c r="Z73" s="71"/>
      <c r="AA73" s="71"/>
      <c r="AB73" s="71"/>
    </row>
    <row r="74" spans="1:28" x14ac:dyDescent="0.2">
      <c r="A74" s="6"/>
      <c r="B74" s="98"/>
      <c r="C74" s="79"/>
      <c r="D74" s="79"/>
      <c r="E74" s="71"/>
      <c r="F74" s="71"/>
      <c r="G74" s="20"/>
      <c r="H74" s="71"/>
      <c r="I74" s="71"/>
      <c r="J74" s="71"/>
      <c r="K74" s="71"/>
      <c r="L74" s="71"/>
      <c r="M74" s="148"/>
      <c r="N74" s="148"/>
      <c r="O74" s="147"/>
      <c r="P74" s="152"/>
      <c r="Q74" s="91" t="s">
        <v>37</v>
      </c>
      <c r="R74" s="90"/>
      <c r="S74" s="153">
        <f>SUMPRODUCT(D8:D12,D44:D48)+SUMPRODUCT(D17:D19,D53:D55)</f>
        <v>94.338875840479417</v>
      </c>
      <c r="T74" s="90">
        <f>S74/S73</f>
        <v>0.46702413782415553</v>
      </c>
      <c r="U74" s="153"/>
      <c r="V74" s="90"/>
      <c r="W74" s="145"/>
      <c r="X74" s="71"/>
      <c r="Y74" s="71"/>
      <c r="Z74" s="71"/>
      <c r="AA74" s="71"/>
      <c r="AB74" s="71"/>
    </row>
    <row r="75" spans="1:28" x14ac:dyDescent="0.2">
      <c r="A75" s="6"/>
      <c r="B75" s="98"/>
      <c r="C75" s="79"/>
      <c r="D75" s="79"/>
      <c r="E75" s="71"/>
      <c r="F75" s="71"/>
      <c r="G75" s="71"/>
      <c r="H75" s="71"/>
      <c r="I75" s="20"/>
      <c r="J75" s="71"/>
      <c r="K75" s="71"/>
      <c r="L75" s="71"/>
      <c r="M75" s="90"/>
      <c r="N75" s="90"/>
      <c r="O75" s="147"/>
      <c r="P75" s="152"/>
      <c r="Q75" s="91" t="s">
        <v>38</v>
      </c>
      <c r="R75" s="90"/>
      <c r="S75" s="153">
        <f>SUMPRODUCT(M8:M12,D44:D48)+SUMPRODUCT(M17:M19,D53:D55)</f>
        <v>107.6611241595206</v>
      </c>
      <c r="T75" s="90"/>
      <c r="U75" s="153"/>
      <c r="V75" s="90"/>
      <c r="W75" s="145"/>
      <c r="X75" s="71"/>
      <c r="Y75" s="71"/>
      <c r="Z75" s="71"/>
      <c r="AA75" s="71"/>
      <c r="AB75" s="71"/>
    </row>
    <row r="76" spans="1:28" x14ac:dyDescent="0.2">
      <c r="A76" s="156" t="s">
        <v>51</v>
      </c>
      <c r="B76" s="136" t="s">
        <v>52</v>
      </c>
      <c r="C76" s="22" t="str">
        <f t="shared" ref="C76:H76" si="12">+C6</f>
        <v>SC1/SC5</v>
      </c>
      <c r="D76" s="22" t="str">
        <f t="shared" si="12"/>
        <v>SC3</v>
      </c>
      <c r="E76" s="22" t="str">
        <f t="shared" si="12"/>
        <v>SC2 ND</v>
      </c>
      <c r="F76" s="22" t="str">
        <f t="shared" si="12"/>
        <v>SC4</v>
      </c>
      <c r="G76" s="22" t="str">
        <f t="shared" si="12"/>
        <v>SC6</v>
      </c>
      <c r="H76" s="22" t="str">
        <f t="shared" si="12"/>
        <v>SC2 Dem</v>
      </c>
      <c r="I76" s="26"/>
      <c r="J76" s="26"/>
      <c r="K76" s="71"/>
      <c r="L76" s="71"/>
      <c r="M76" s="71"/>
      <c r="N76" s="138"/>
      <c r="O76" s="151"/>
      <c r="P76" s="90"/>
      <c r="Q76" s="90"/>
      <c r="R76" s="90"/>
      <c r="S76" s="90"/>
      <c r="T76" s="90"/>
      <c r="U76" s="90"/>
      <c r="V76" s="90"/>
      <c r="W76" s="145"/>
      <c r="X76" s="71"/>
      <c r="Y76" s="71"/>
      <c r="Z76" s="71"/>
      <c r="AA76" s="71"/>
      <c r="AB76" s="71"/>
    </row>
    <row r="77" spans="1:28" x14ac:dyDescent="0.2">
      <c r="A77" s="6"/>
      <c r="B77" s="98"/>
      <c r="C77" s="157"/>
      <c r="D77" s="157"/>
      <c r="E77" s="157"/>
      <c r="F77" s="71"/>
      <c r="G77" s="71"/>
      <c r="H77" s="71"/>
      <c r="I77" s="71"/>
      <c r="J77" s="71"/>
      <c r="K77" s="71"/>
      <c r="L77" s="71"/>
      <c r="M77" s="71"/>
      <c r="N77" s="138"/>
      <c r="O77" s="147"/>
      <c r="P77" s="148"/>
      <c r="Q77" s="91" t="s">
        <v>39</v>
      </c>
      <c r="R77" s="148"/>
      <c r="S77" s="153">
        <f>+SUM(D49:D52)</f>
        <v>86</v>
      </c>
      <c r="T77" s="148"/>
      <c r="U77" s="153"/>
      <c r="V77" s="148"/>
      <c r="W77" s="145"/>
      <c r="X77" s="71"/>
      <c r="Y77" s="71"/>
      <c r="Z77" s="71"/>
      <c r="AA77" s="71"/>
      <c r="AB77" s="71"/>
    </row>
    <row r="78" spans="1:28" x14ac:dyDescent="0.2">
      <c r="A78" s="6"/>
      <c r="B78" s="71" t="s">
        <v>53</v>
      </c>
      <c r="C78" s="80">
        <v>1.085244197051586</v>
      </c>
      <c r="D78" s="80">
        <v>1.085244197051586</v>
      </c>
      <c r="E78" s="80">
        <v>1.085244197051586</v>
      </c>
      <c r="F78" s="80">
        <v>1.081465484631652</v>
      </c>
      <c r="G78" s="80">
        <v>1.081465484631652</v>
      </c>
      <c r="H78" s="80">
        <v>1.085244197051586</v>
      </c>
      <c r="I78" s="80"/>
      <c r="J78" s="80"/>
      <c r="K78" s="71"/>
      <c r="L78" s="71"/>
      <c r="M78" s="71"/>
      <c r="N78" s="138"/>
      <c r="O78" s="147"/>
      <c r="P78" s="152"/>
      <c r="Q78" s="91" t="s">
        <v>37</v>
      </c>
      <c r="R78" s="90"/>
      <c r="S78" s="153">
        <f>+SUMPRODUCT(D13:D16,D49:D52)</f>
        <v>44.353938904991892</v>
      </c>
      <c r="T78" s="90">
        <f>S78/S77</f>
        <v>0.51574347563944056</v>
      </c>
      <c r="U78" s="153"/>
      <c r="V78" s="90"/>
      <c r="W78" s="145"/>
      <c r="X78" s="71"/>
      <c r="Y78" s="71"/>
      <c r="Z78" s="71"/>
      <c r="AA78" s="71"/>
      <c r="AB78" s="71"/>
    </row>
    <row r="79" spans="1:28" x14ac:dyDescent="0.2">
      <c r="A79" s="6"/>
      <c r="B79" s="71"/>
      <c r="C79" s="71"/>
      <c r="D79" s="71"/>
      <c r="E79" s="71"/>
      <c r="F79" s="71"/>
      <c r="G79" s="71"/>
      <c r="H79" s="71"/>
      <c r="I79" s="80"/>
      <c r="J79" s="80"/>
      <c r="K79" s="71"/>
      <c r="L79" s="71"/>
      <c r="M79" s="71"/>
      <c r="N79" s="90"/>
      <c r="O79" s="147"/>
      <c r="P79" s="152"/>
      <c r="Q79" s="91" t="s">
        <v>38</v>
      </c>
      <c r="R79" s="90"/>
      <c r="S79" s="153">
        <f>SUMPRODUCT(M13:M16,D49:D52)</f>
        <v>41.646061095008108</v>
      </c>
      <c r="T79" s="90"/>
      <c r="U79" s="153"/>
      <c r="V79" s="90"/>
      <c r="W79" s="145"/>
      <c r="X79" s="71"/>
      <c r="Y79" s="71"/>
      <c r="Z79" s="71"/>
      <c r="AA79" s="71"/>
      <c r="AB79" s="71"/>
    </row>
    <row r="80" spans="1:28" x14ac:dyDescent="0.2">
      <c r="A80" s="6"/>
      <c r="B80" s="71" t="s">
        <v>54</v>
      </c>
      <c r="C80" s="80"/>
      <c r="D80" s="71"/>
      <c r="E80" s="71"/>
      <c r="F80" s="71"/>
      <c r="G80" s="71"/>
      <c r="H80" s="71"/>
      <c r="I80" s="80"/>
      <c r="J80" s="80"/>
      <c r="K80" s="71"/>
      <c r="L80" s="71"/>
      <c r="M80" s="71"/>
      <c r="N80" s="90"/>
      <c r="O80" s="147"/>
      <c r="P80" s="152"/>
      <c r="Q80" s="91"/>
      <c r="R80" s="90"/>
      <c r="S80" s="153"/>
      <c r="T80" s="90"/>
      <c r="U80" s="153"/>
      <c r="V80" s="90"/>
      <c r="W80" s="145"/>
      <c r="X80" s="71"/>
      <c r="Y80" s="71"/>
      <c r="Z80" s="71"/>
      <c r="AA80" s="71"/>
      <c r="AB80" s="71"/>
    </row>
    <row r="81" spans="1:28" x14ac:dyDescent="0.2">
      <c r="A81" s="6"/>
      <c r="B81" s="71" t="s">
        <v>55</v>
      </c>
      <c r="C81" s="80">
        <v>1.0749609784320973</v>
      </c>
      <c r="D81" s="80">
        <v>1.0749609784320973</v>
      </c>
      <c r="E81" s="80">
        <v>1.0749609784320973</v>
      </c>
      <c r="F81" s="80">
        <v>1.0712180711572354</v>
      </c>
      <c r="G81" s="80">
        <v>1.0712180711572354</v>
      </c>
      <c r="H81" s="80">
        <v>1.0749609784320973</v>
      </c>
      <c r="I81" s="80"/>
      <c r="J81" s="80"/>
      <c r="K81" s="71"/>
      <c r="L81" s="71"/>
      <c r="M81" s="71"/>
      <c r="N81" s="90"/>
      <c r="O81" s="147"/>
      <c r="P81" s="152"/>
      <c r="Q81" s="91"/>
      <c r="R81" s="90"/>
      <c r="S81" s="153"/>
      <c r="T81" s="90"/>
      <c r="U81" s="153"/>
      <c r="V81" s="90"/>
      <c r="W81" s="145"/>
      <c r="X81" s="71"/>
      <c r="Y81" s="71"/>
      <c r="Z81" s="71"/>
      <c r="AA81" s="71"/>
      <c r="AB81" s="71"/>
    </row>
    <row r="82" spans="1:28" x14ac:dyDescent="0.2">
      <c r="A82" s="6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138"/>
      <c r="O82" s="144"/>
      <c r="P82" s="90"/>
      <c r="Q82" s="90"/>
      <c r="R82" s="90"/>
      <c r="S82" s="90"/>
      <c r="T82" s="90"/>
      <c r="U82" s="90"/>
      <c r="V82" s="90"/>
      <c r="W82" s="145"/>
      <c r="X82" s="71"/>
      <c r="Y82" s="71"/>
      <c r="Z82" s="71"/>
      <c r="AA82" s="71"/>
      <c r="AB82" s="71"/>
    </row>
    <row r="83" spans="1:28" x14ac:dyDescent="0.2">
      <c r="A83" s="156" t="s">
        <v>56</v>
      </c>
      <c r="B83" s="13" t="s">
        <v>57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138"/>
      <c r="O83" s="147"/>
      <c r="P83" s="90" t="s">
        <v>58</v>
      </c>
      <c r="Q83" s="90"/>
      <c r="R83" s="90"/>
      <c r="S83" s="90"/>
      <c r="T83" s="90"/>
      <c r="U83" s="90"/>
      <c r="V83" s="90"/>
      <c r="W83" s="145"/>
      <c r="X83" s="71"/>
      <c r="Y83" s="71"/>
      <c r="Z83" s="71"/>
      <c r="AA83" s="71"/>
      <c r="AB83" s="71"/>
    </row>
    <row r="84" spans="1:28" x14ac:dyDescent="0.2">
      <c r="A84" s="6"/>
      <c r="B84" s="2" t="s">
        <v>59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138"/>
      <c r="O84" s="151"/>
      <c r="P84" s="148"/>
      <c r="Q84" s="148"/>
      <c r="R84" s="148"/>
      <c r="S84" s="148" t="str">
        <f>S60</f>
        <v>SC3</v>
      </c>
      <c r="T84" s="148"/>
      <c r="U84" s="148"/>
      <c r="V84" s="148"/>
      <c r="W84" s="145"/>
      <c r="X84" s="71"/>
      <c r="Y84" s="71"/>
      <c r="Z84" s="71"/>
      <c r="AA84" s="71"/>
      <c r="AB84" s="71"/>
    </row>
    <row r="85" spans="1:28" x14ac:dyDescent="0.2">
      <c r="A85" s="6"/>
      <c r="B85" s="7" t="s">
        <v>60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90"/>
      <c r="O85" s="147"/>
      <c r="P85" s="90"/>
      <c r="Q85" s="90"/>
      <c r="R85" s="90"/>
      <c r="S85" s="90"/>
      <c r="T85" s="90"/>
      <c r="U85" s="90"/>
      <c r="V85" s="90"/>
      <c r="W85" s="145"/>
      <c r="X85" s="71"/>
      <c r="Y85" s="71"/>
      <c r="Z85" s="71"/>
      <c r="AA85" s="71"/>
      <c r="AB85" s="71"/>
    </row>
    <row r="86" spans="1:28" x14ac:dyDescent="0.2">
      <c r="A86" s="6"/>
      <c r="B86" s="13"/>
      <c r="C86" s="22" t="str">
        <f t="shared" ref="C86:H86" si="13">+C6</f>
        <v>SC1/SC5</v>
      </c>
      <c r="D86" s="22" t="str">
        <f t="shared" si="13"/>
        <v>SC3</v>
      </c>
      <c r="E86" s="22" t="str">
        <f t="shared" si="13"/>
        <v>SC2 ND</v>
      </c>
      <c r="F86" s="22" t="str">
        <f t="shared" si="13"/>
        <v>SC4</v>
      </c>
      <c r="G86" s="22" t="str">
        <f t="shared" si="13"/>
        <v>SC6</v>
      </c>
      <c r="H86" s="22" t="str">
        <f t="shared" si="13"/>
        <v>SC2 Dem</v>
      </c>
      <c r="I86" s="26"/>
      <c r="J86" s="26"/>
      <c r="K86" s="71"/>
      <c r="L86" s="71"/>
      <c r="M86" s="90"/>
      <c r="N86" s="90"/>
      <c r="O86" s="147"/>
      <c r="P86" s="152"/>
      <c r="Q86" s="91" t="s">
        <v>61</v>
      </c>
      <c r="R86" s="152"/>
      <c r="S86" s="152"/>
      <c r="T86" s="152"/>
      <c r="U86" s="152"/>
      <c r="V86" s="152"/>
      <c r="W86" s="145"/>
      <c r="X86" s="71"/>
      <c r="Y86" s="71"/>
      <c r="Z86" s="71"/>
      <c r="AA86" s="71"/>
      <c r="AB86" s="71"/>
    </row>
    <row r="87" spans="1:28" x14ac:dyDescent="0.2">
      <c r="A87" s="6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90"/>
      <c r="N87" s="90"/>
      <c r="O87" s="147"/>
      <c r="P87" s="152"/>
      <c r="Q87" s="158" t="s">
        <v>62</v>
      </c>
      <c r="R87" s="90"/>
      <c r="S87" s="152">
        <f>S74-S63</f>
        <v>21.451621409538262</v>
      </c>
      <c r="T87" s="90"/>
      <c r="U87" s="152"/>
      <c r="V87" s="90"/>
      <c r="W87" s="145"/>
      <c r="X87" s="71"/>
      <c r="Y87" s="71"/>
      <c r="Z87" s="71"/>
      <c r="AA87" s="71"/>
      <c r="AB87" s="71"/>
    </row>
    <row r="88" spans="1:28" x14ac:dyDescent="0.2">
      <c r="A88" s="6"/>
      <c r="B88" s="98" t="s">
        <v>63</v>
      </c>
      <c r="C88" s="10">
        <f t="shared" ref="C88:H88" si="14">(SUMPRODUCT(C13:C16,C49:C52,$C67:$C70)*C78+SUMPRODUCT(L13:L16,C49:C52,$D67:$D70)*C78)/SUM(C49:C52)</f>
        <v>28.275805896029475</v>
      </c>
      <c r="D88" s="10">
        <f t="shared" si="14"/>
        <v>27.956903951809092</v>
      </c>
      <c r="E88" s="10">
        <f t="shared" si="14"/>
        <v>27.947448167718214</v>
      </c>
      <c r="F88" s="10">
        <f t="shared" si="14"/>
        <v>23.899679984170056</v>
      </c>
      <c r="G88" s="10">
        <f t="shared" si="14"/>
        <v>23.853473091820035</v>
      </c>
      <c r="H88" s="10">
        <f t="shared" si="14"/>
        <v>28.124473448837332</v>
      </c>
      <c r="I88" s="10"/>
      <c r="J88" s="10"/>
      <c r="K88" s="71"/>
      <c r="L88" s="71"/>
      <c r="M88" s="90"/>
      <c r="N88" s="90"/>
      <c r="O88" s="151"/>
      <c r="P88" s="152"/>
      <c r="Q88" s="91" t="s">
        <v>64</v>
      </c>
      <c r="R88" s="90"/>
      <c r="S88" s="159">
        <f>S87*(D93-D94)</f>
        <v>169.71553487558211</v>
      </c>
      <c r="T88" s="90"/>
      <c r="U88" s="159"/>
      <c r="V88" s="90"/>
      <c r="W88" s="145"/>
      <c r="X88" s="71"/>
      <c r="Y88" s="71"/>
      <c r="Z88" s="71"/>
      <c r="AA88" s="71"/>
      <c r="AB88" s="71"/>
    </row>
    <row r="89" spans="1:28" x14ac:dyDescent="0.2">
      <c r="A89" s="6"/>
      <c r="B89" s="99" t="s">
        <v>65</v>
      </c>
      <c r="C89" s="10">
        <f t="shared" ref="C89:H89" si="15">(SUMPRODUCT(C13:C16,C49:C52,$C67:$C70)*C78)/SUMPRODUCT(C13:C16,C49:C52)</f>
        <v>34.262070730042943</v>
      </c>
      <c r="D89" s="10">
        <f t="shared" si="15"/>
        <v>34.246248267067664</v>
      </c>
      <c r="E89" s="10">
        <f t="shared" si="15"/>
        <v>34.127007334451832</v>
      </c>
      <c r="F89" s="10">
        <f t="shared" si="15"/>
        <v>33.648059379291517</v>
      </c>
      <c r="G89" s="10">
        <f t="shared" si="15"/>
        <v>33.613849774448731</v>
      </c>
      <c r="H89" s="10">
        <f t="shared" si="15"/>
        <v>34.107043710328121</v>
      </c>
      <c r="I89" s="10"/>
      <c r="J89" s="10"/>
      <c r="K89" s="71"/>
      <c r="L89" s="71"/>
      <c r="M89" s="71"/>
      <c r="N89" s="71"/>
      <c r="O89" s="147"/>
      <c r="P89" s="90"/>
      <c r="Q89" s="91" t="s">
        <v>66</v>
      </c>
      <c r="R89" s="90"/>
      <c r="S89" s="160">
        <f>ROUND(S88/S73,2)</f>
        <v>0.84</v>
      </c>
      <c r="T89" s="90"/>
      <c r="U89" s="160"/>
      <c r="V89" s="90"/>
      <c r="W89" s="145"/>
      <c r="X89" s="71"/>
      <c r="Y89" s="71"/>
      <c r="Z89" s="71"/>
      <c r="AA89" s="71"/>
      <c r="AB89" s="71"/>
    </row>
    <row r="90" spans="1:28" x14ac:dyDescent="0.2">
      <c r="A90" s="6"/>
      <c r="B90" s="99" t="s">
        <v>67</v>
      </c>
      <c r="C90" s="10">
        <f t="shared" ref="C90:H90" si="16">(SUMPRODUCT(L13:L16,C49:C52,$D67:$D70)*C78)/SUMPRODUCT(L13:L16,C49:C52)</f>
        <v>21.267843489611295</v>
      </c>
      <c r="D90" s="10">
        <f t="shared" si="16"/>
        <v>21.258618779652107</v>
      </c>
      <c r="E90" s="10">
        <f t="shared" si="16"/>
        <v>21.300739646248331</v>
      </c>
      <c r="F90" s="10">
        <f t="shared" si="16"/>
        <v>21.088987784069154</v>
      </c>
      <c r="G90" s="10">
        <f t="shared" si="16"/>
        <v>21.058367629962589</v>
      </c>
      <c r="H90" s="10">
        <f t="shared" si="16"/>
        <v>21.213787728729695</v>
      </c>
      <c r="I90" s="10"/>
      <c r="J90" s="10"/>
      <c r="K90" s="71"/>
      <c r="L90" s="71"/>
      <c r="M90" s="71"/>
      <c r="N90" s="71"/>
      <c r="O90" s="147"/>
      <c r="P90" s="148"/>
      <c r="Q90" s="71"/>
      <c r="R90" s="71"/>
      <c r="S90" s="71"/>
      <c r="T90" s="71"/>
      <c r="U90" s="71"/>
      <c r="V90" s="148"/>
      <c r="W90" s="145"/>
      <c r="X90" s="71"/>
      <c r="Y90" s="71"/>
      <c r="Z90" s="71"/>
      <c r="AA90" s="71"/>
      <c r="AB90" s="71"/>
    </row>
    <row r="91" spans="1:28" x14ac:dyDescent="0.2">
      <c r="A91" s="6"/>
      <c r="B91" s="71"/>
      <c r="C91" s="161"/>
      <c r="D91" s="161"/>
      <c r="E91" s="161"/>
      <c r="F91" s="161"/>
      <c r="G91" s="161"/>
      <c r="H91" s="161"/>
      <c r="I91" s="161"/>
      <c r="J91" s="161"/>
      <c r="K91" s="71"/>
      <c r="L91" s="71"/>
      <c r="M91" s="71"/>
      <c r="N91" s="71"/>
      <c r="O91" s="147"/>
      <c r="P91" s="152"/>
      <c r="Q91" s="91" t="s">
        <v>68</v>
      </c>
      <c r="R91" s="148"/>
      <c r="S91" s="162"/>
      <c r="T91" s="148"/>
      <c r="U91" s="162"/>
      <c r="V91" s="90"/>
      <c r="W91" s="145"/>
      <c r="X91" s="71"/>
      <c r="Y91" s="71"/>
      <c r="Z91" s="71"/>
      <c r="AA91" s="71"/>
      <c r="AB91" s="71"/>
    </row>
    <row r="92" spans="1:28" x14ac:dyDescent="0.2">
      <c r="A92" s="6"/>
      <c r="B92" s="98" t="s">
        <v>69</v>
      </c>
      <c r="C92" s="10">
        <f t="shared" ref="C92:H92" si="17">(SUMPRODUCT(C8:C12,C44:C48,$C62:$C66)*C78+SUMPRODUCT(L8:L12,C44:C48,$D62:$D66)*C78+SUMPRODUCT(C17:C19,C53:C55,$C71:$C73)*C78+SUMPRODUCT(L17:L19,C53:C55,$D71:$D73)*C78)/SUM(C44:C48,C53:C55)</f>
        <v>34.146803146656652</v>
      </c>
      <c r="D92" s="10">
        <f t="shared" si="17"/>
        <v>35.383357776533572</v>
      </c>
      <c r="E92" s="10">
        <f t="shared" si="17"/>
        <v>34.704918991514624</v>
      </c>
      <c r="F92" s="10">
        <f t="shared" si="17"/>
        <v>32.119095252105787</v>
      </c>
      <c r="G92" s="10">
        <f t="shared" si="17"/>
        <v>31.746393578946677</v>
      </c>
      <c r="H92" s="10">
        <f t="shared" si="17"/>
        <v>34.067819073337375</v>
      </c>
      <c r="I92" s="10"/>
      <c r="J92" s="10"/>
      <c r="K92" s="71"/>
      <c r="L92" s="71"/>
      <c r="M92" s="71"/>
      <c r="N92" s="71"/>
      <c r="O92" s="147"/>
      <c r="P92" s="152"/>
      <c r="Q92" s="158" t="s">
        <v>62</v>
      </c>
      <c r="R92" s="90"/>
      <c r="S92" s="152">
        <f>S78-S67</f>
        <v>11.479063184432157</v>
      </c>
      <c r="T92" s="90"/>
      <c r="U92" s="152"/>
      <c r="V92" s="90"/>
      <c r="W92" s="145"/>
      <c r="X92" s="71"/>
      <c r="Y92" s="71"/>
      <c r="Z92" s="71"/>
      <c r="AA92" s="71"/>
      <c r="AB92" s="71"/>
    </row>
    <row r="93" spans="1:28" x14ac:dyDescent="0.2">
      <c r="A93" s="6"/>
      <c r="B93" s="99" t="s">
        <v>65</v>
      </c>
      <c r="C93" s="10">
        <f t="shared" ref="C93" si="18">(SUMPRODUCT(C8:C12,C44:C48,$C62:$C66)*C78+SUMPRODUCT(C17:C19,C53:C55,$C71:$C73)*C78)/(SUMPRODUCT(C8:C12,C44:C48)+SUMPRODUCT(C17:C19,C53:C55))</f>
        <v>38.123236280267882</v>
      </c>
      <c r="D93" s="10">
        <f>(SUMPRODUCT(D8:D12,D44:D48,$C62:$C66)*D78+SUMPRODUCT(D17:D19,D53:D55,$C71:$C73)*D78)/(SUMPRODUCT(D8:D12,D44:D48)+SUMPRODUCT(D17:D19,D53:D55))</f>
        <v>39.600021953010611</v>
      </c>
      <c r="E93" s="10">
        <f>(SUMPRODUCT(E8:E12,E44:E48,$C62:$C66)*E78+SUMPRODUCT(E17:E19,E53:E55,$C71:$C73)*E78)/(SUMPRODUCT(E8:E12,E44:E48)+SUMPRODUCT(E17:E19,E53:E55))</f>
        <v>38.41702409800282</v>
      </c>
      <c r="F93" s="10">
        <f>(SUMPRODUCT(F8:F12,F44:F48,$C62:$C66)*F78+SUMPRODUCT(F17:F19,F53:F55,$C71:$C73)*F78)/(SUMPRODUCT(F8:F12,F44:F48)+SUMPRODUCT(F17:F19,F53:F55))</f>
        <v>38.065405219887126</v>
      </c>
      <c r="G93" s="10">
        <f>(SUMPRODUCT(G8:G12,G44:G48,$C62:$C66)*G78+SUMPRODUCT(G17:G19,G53:G55,$C71:$C73)*G78)/(SUMPRODUCT(G8:G12,G44:G48)+SUMPRODUCT(G17:G19,G53:G55))</f>
        <v>37.650479458256292</v>
      </c>
      <c r="H93" s="10">
        <f>(SUMPRODUCT(H8:H12,H44:H48,$C62:$C66)*H78+SUMPRODUCT(H17:H19,H53:H55,$C71:$C73)*H78)/(SUMPRODUCT(H8:H12,H44:H48)+SUMPRODUCT(H17:H19,H53:H55))</f>
        <v>37.712951788473625</v>
      </c>
      <c r="I93" s="10"/>
      <c r="J93" s="10"/>
      <c r="K93" s="71"/>
      <c r="L93" s="71"/>
      <c r="M93" s="71"/>
      <c r="N93" s="71"/>
      <c r="O93" s="90"/>
      <c r="P93" s="90"/>
      <c r="Q93" s="91" t="s">
        <v>64</v>
      </c>
      <c r="R93" s="90"/>
      <c r="S93" s="159">
        <f>S92*(D89-D90)</f>
        <v>149.0858195020374</v>
      </c>
      <c r="T93" s="90"/>
      <c r="U93" s="159"/>
      <c r="V93" s="90"/>
      <c r="W93" s="90"/>
      <c r="X93" s="71"/>
      <c r="Y93" s="71"/>
      <c r="Z93" s="71"/>
      <c r="AA93" s="71"/>
      <c r="AB93" s="71"/>
    </row>
    <row r="94" spans="1:28" x14ac:dyDescent="0.2">
      <c r="A94" s="6"/>
      <c r="B94" s="99" t="s">
        <v>67</v>
      </c>
      <c r="C94" s="10">
        <f t="shared" ref="C94:H94" si="19">(SUMPRODUCT(L8:L12,C44:C48,$D62:$D66)*C78+SUMPRODUCT(L17:L19,C53:C55,$D71:$D73)*C78)/(SUMPRODUCT(L8:L12,C44:C48)+SUMPRODUCT(L17:L19,C53:C55))</f>
        <v>30.141810704188519</v>
      </c>
      <c r="D94" s="10">
        <f t="shared" si="19"/>
        <v>31.688473840376119</v>
      </c>
      <c r="E94" s="10">
        <f t="shared" si="19"/>
        <v>31.005169302595494</v>
      </c>
      <c r="F94" s="10">
        <f t="shared" si="19"/>
        <v>29.705771472526706</v>
      </c>
      <c r="G94" s="10">
        <f t="shared" si="19"/>
        <v>29.359634752263805</v>
      </c>
      <c r="H94" s="10">
        <f t="shared" si="19"/>
        <v>29.881685566682414</v>
      </c>
      <c r="I94" s="10"/>
      <c r="J94" s="10"/>
      <c r="K94" s="71"/>
      <c r="L94" s="71"/>
      <c r="M94" s="71"/>
      <c r="N94" s="71"/>
      <c r="O94" s="90"/>
      <c r="P94" s="90"/>
      <c r="Q94" s="91" t="s">
        <v>66</v>
      </c>
      <c r="R94" s="90"/>
      <c r="S94" s="160">
        <f>ROUND(S93/S77,2)</f>
        <v>1.73</v>
      </c>
      <c r="T94" s="90"/>
      <c r="U94" s="160"/>
      <c r="V94" s="90"/>
      <c r="W94" s="90"/>
      <c r="X94" s="71"/>
      <c r="Y94" s="71"/>
      <c r="Z94" s="71"/>
      <c r="AA94" s="71"/>
      <c r="AB94" s="71"/>
    </row>
    <row r="95" spans="1:28" x14ac:dyDescent="0.2">
      <c r="A95" s="6"/>
      <c r="B95" s="71"/>
      <c r="C95" s="161"/>
      <c r="D95" s="161"/>
      <c r="E95" s="161"/>
      <c r="F95" s="161"/>
      <c r="G95" s="161"/>
      <c r="H95" s="161"/>
      <c r="I95" s="161"/>
      <c r="J95" s="161"/>
      <c r="K95" s="71"/>
      <c r="L95" s="71"/>
      <c r="M95" s="71"/>
      <c r="N95" s="71"/>
      <c r="O95" s="90"/>
      <c r="P95" s="90"/>
      <c r="Q95" s="90"/>
      <c r="R95" s="90"/>
      <c r="S95" s="90"/>
      <c r="T95" s="90"/>
      <c r="U95" s="90"/>
      <c r="V95" s="90"/>
      <c r="W95" s="71"/>
      <c r="X95" s="71"/>
      <c r="Y95" s="71"/>
      <c r="Z95" s="71"/>
      <c r="AA95" s="71"/>
      <c r="AB95" s="71"/>
    </row>
    <row r="96" spans="1:28" x14ac:dyDescent="0.2">
      <c r="A96" s="6"/>
      <c r="B96" s="71" t="s">
        <v>70</v>
      </c>
      <c r="C96" s="10">
        <f t="shared" ref="C96" si="20">(C88*SUM(C49:C52)+C92*SUM(C44:C48,C53:C55))/C56</f>
        <v>31.617118647645444</v>
      </c>
      <c r="D96" s="161">
        <f>(D88*SUM(D49:D52)+D92*SUM(D44:D48,D53:D55))/D56</f>
        <v>33.165736148317229</v>
      </c>
      <c r="E96" s="161">
        <f>(E88*SUM(E49:E52)+E92*SUM(E44:E48,E53:E55))/E56</f>
        <v>32.607659277853649</v>
      </c>
      <c r="F96" s="161">
        <f>(F88*SUM(F49:F52)+F92*SUM(F44:F48,F53:F55))/F56</f>
        <v>29.792421655756367</v>
      </c>
      <c r="G96" s="161">
        <f>(G88*SUM(G49:G52)+G92*SUM(G44:G48,G53:G55))/G56</f>
        <v>29.487990240496774</v>
      </c>
      <c r="H96" s="161">
        <f>(H88*SUM(H49:H52)+H92*SUM(H44:H48,H53:H55))/H56</f>
        <v>31.945594965410717</v>
      </c>
      <c r="I96" s="161"/>
      <c r="J96" s="16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</row>
    <row r="97" spans="1:28" x14ac:dyDescent="0.2">
      <c r="A97" s="6"/>
      <c r="B97" s="71"/>
      <c r="C97" s="10"/>
      <c r="D97" s="161"/>
      <c r="E97" s="161"/>
      <c r="F97" s="161"/>
      <c r="G97" s="161"/>
      <c r="H97" s="161"/>
      <c r="I97" s="161"/>
      <c r="J97" s="16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</row>
    <row r="98" spans="1:28" x14ac:dyDescent="0.2">
      <c r="A98" s="6"/>
      <c r="B98" s="71" t="s">
        <v>71</v>
      </c>
      <c r="C98" s="81">
        <f>SUMPRODUCT(C96:H96,C56:H56)/SUM(C56:H56)</f>
        <v>31.728194548750604</v>
      </c>
      <c r="D98" s="161"/>
      <c r="E98" s="161"/>
      <c r="F98" s="161"/>
      <c r="G98" s="161"/>
      <c r="H98" s="161"/>
      <c r="I98" s="161"/>
      <c r="J98" s="16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</row>
    <row r="99" spans="1:28" x14ac:dyDescent="0.2">
      <c r="A99" s="6"/>
      <c r="B99" s="71"/>
      <c r="C99" s="10"/>
      <c r="D99" s="161"/>
      <c r="E99" s="161"/>
      <c r="F99" s="161"/>
      <c r="G99" s="161"/>
      <c r="H99" s="161"/>
      <c r="I99" s="161"/>
      <c r="J99" s="161"/>
      <c r="K99" s="16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</row>
    <row r="100" spans="1:28" x14ac:dyDescent="0.2">
      <c r="A100" s="6"/>
      <c r="B100" s="71"/>
      <c r="C100" s="161"/>
      <c r="D100" s="161"/>
      <c r="E100" s="161"/>
      <c r="F100" s="161"/>
      <c r="G100" s="161"/>
      <c r="H100" s="161"/>
      <c r="I100" s="161"/>
      <c r="J100" s="161"/>
      <c r="K100" s="16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</row>
    <row r="101" spans="1:28" x14ac:dyDescent="0.2">
      <c r="A101" s="156" t="s">
        <v>72</v>
      </c>
      <c r="B101" s="13" t="s">
        <v>73</v>
      </c>
      <c r="C101" s="161"/>
      <c r="D101" s="161"/>
      <c r="E101" s="161"/>
      <c r="F101" s="161"/>
      <c r="G101" s="161"/>
      <c r="H101" s="161"/>
      <c r="I101" s="161"/>
      <c r="J101" s="161"/>
      <c r="K101" s="16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</row>
    <row r="102" spans="1:28" x14ac:dyDescent="0.2">
      <c r="A102" s="6"/>
      <c r="B102" s="7" t="s">
        <v>59</v>
      </c>
      <c r="C102" s="161"/>
      <c r="D102" s="161"/>
      <c r="E102" s="161"/>
      <c r="F102" s="161"/>
      <c r="G102" s="161"/>
      <c r="H102" s="161"/>
      <c r="I102" s="161"/>
      <c r="J102" s="161"/>
      <c r="K102" s="16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</row>
    <row r="103" spans="1:28" x14ac:dyDescent="0.2">
      <c r="A103" s="6"/>
      <c r="B103" s="7" t="s">
        <v>74</v>
      </c>
      <c r="C103" s="161"/>
      <c r="D103" s="161"/>
      <c r="E103" s="161"/>
      <c r="F103" s="161"/>
      <c r="G103" s="161"/>
      <c r="H103" s="161"/>
      <c r="I103" s="161"/>
      <c r="J103" s="161"/>
      <c r="K103" s="16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</row>
    <row r="104" spans="1:28" x14ac:dyDescent="0.2">
      <c r="A104" s="6"/>
      <c r="B104" s="13"/>
      <c r="C104" s="22" t="str">
        <f t="shared" ref="C104:H104" si="21">+C6</f>
        <v>SC1/SC5</v>
      </c>
      <c r="D104" s="22" t="str">
        <f t="shared" si="21"/>
        <v>SC3</v>
      </c>
      <c r="E104" s="22" t="str">
        <f t="shared" si="21"/>
        <v>SC2 ND</v>
      </c>
      <c r="F104" s="22" t="str">
        <f t="shared" si="21"/>
        <v>SC4</v>
      </c>
      <c r="G104" s="22" t="str">
        <f t="shared" si="21"/>
        <v>SC6</v>
      </c>
      <c r="H104" s="22" t="str">
        <f t="shared" si="21"/>
        <v>SC2 Dem</v>
      </c>
      <c r="I104" s="26"/>
      <c r="J104" s="26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</row>
    <row r="105" spans="1:28" x14ac:dyDescent="0.2">
      <c r="A105" s="6"/>
      <c r="B105" s="71"/>
      <c r="C105" s="96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</row>
    <row r="106" spans="1:28" x14ac:dyDescent="0.2">
      <c r="A106" s="6"/>
      <c r="B106" s="98" t="s">
        <v>63</v>
      </c>
      <c r="C106" s="82">
        <f t="shared" ref="C106" si="22">SUM(C49:C52)*C88/1000</f>
        <v>8063.241912535349</v>
      </c>
      <c r="D106" s="82">
        <f>SUM(D49:D52)*D88/1000</f>
        <v>2.4042937398555817</v>
      </c>
      <c r="E106" s="82">
        <f>SUM(E49:E52)*E88/1000</f>
        <v>195.71597951853065</v>
      </c>
      <c r="F106" s="82">
        <f>SUM(F49:F52)*F88/1000</f>
        <v>32.168969258692897</v>
      </c>
      <c r="G106" s="82">
        <f>SUM(G49:G52)*G88/1000</f>
        <v>35.160019337342732</v>
      </c>
      <c r="H106" s="82">
        <f>SUM(H49:H52)*H88/1000</f>
        <v>3418.3027832054458</v>
      </c>
      <c r="I106" s="82"/>
      <c r="J106" s="82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</row>
    <row r="107" spans="1:28" x14ac:dyDescent="0.2">
      <c r="A107" s="6"/>
      <c r="B107" s="99" t="s">
        <v>65</v>
      </c>
      <c r="C107" s="82">
        <f t="shared" ref="C107" si="23">SUMPRODUCT(C49:C52,C13:C16)*C89/1000</f>
        <v>5269.2597927465958</v>
      </c>
      <c r="D107" s="82">
        <f>SUMPRODUCT(D49:D52,D13:D16)*D89/1000</f>
        <v>1.5189560033627036</v>
      </c>
      <c r="E107" s="82">
        <f>SUMPRODUCT(E49:E52,E13:E16)*E89/1000</f>
        <v>123.8479056154053</v>
      </c>
      <c r="F107" s="82">
        <f>SUMPRODUCT(F49:F52,F13:F16)*F89/1000</f>
        <v>10.135865381818178</v>
      </c>
      <c r="G107" s="82">
        <f>SUMPRODUCT(G49:G52,G13:G16)*G89/1000</f>
        <v>11.030127749907276</v>
      </c>
      <c r="H107" s="82">
        <f>SUMPRODUCT(H49:H52,H13:H16)*H89/1000</f>
        <v>2221.9216659439439</v>
      </c>
      <c r="I107" s="82"/>
      <c r="J107" s="82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</row>
    <row r="108" spans="1:28" x14ac:dyDescent="0.2">
      <c r="A108" s="6"/>
      <c r="B108" s="99" t="s">
        <v>67</v>
      </c>
      <c r="C108" s="82">
        <f t="shared" ref="C108:H108" si="24">SUMPRODUCT(C49:C52,L13:L16)*C90/1000</f>
        <v>2793.9821197887527</v>
      </c>
      <c r="D108" s="82">
        <f t="shared" si="24"/>
        <v>0.88533773649287828</v>
      </c>
      <c r="E108" s="82">
        <f t="shared" si="24"/>
        <v>71.868073903125364</v>
      </c>
      <c r="F108" s="82">
        <f t="shared" si="24"/>
        <v>22.033103876874716</v>
      </c>
      <c r="G108" s="82">
        <f t="shared" si="24"/>
        <v>24.129891587435456</v>
      </c>
      <c r="H108" s="82">
        <f t="shared" si="24"/>
        <v>1196.3811172615021</v>
      </c>
      <c r="I108" s="82"/>
      <c r="J108" s="82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</row>
    <row r="109" spans="1:28" x14ac:dyDescent="0.2">
      <c r="A109" s="6"/>
      <c r="B109" s="71"/>
      <c r="C109" s="19"/>
      <c r="D109" s="19"/>
      <c r="E109" s="19"/>
      <c r="F109" s="19"/>
      <c r="G109" s="19"/>
      <c r="H109" s="19"/>
      <c r="I109" s="19"/>
      <c r="J109" s="19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</row>
    <row r="110" spans="1:28" x14ac:dyDescent="0.2">
      <c r="A110" s="6"/>
      <c r="B110" s="98" t="s">
        <v>69</v>
      </c>
      <c r="C110" s="19">
        <f t="shared" ref="C110" si="25">SUM(C44:C48,C53:C55)*C92/1000</f>
        <v>12861.615359408681</v>
      </c>
      <c r="D110" s="19">
        <f>SUM(D44:D48,D53:D55)*D92/1000</f>
        <v>7.147438270859781</v>
      </c>
      <c r="E110" s="19">
        <f>SUM(E44:E48,E53:E55)*E92/1000</f>
        <v>540.04324442695906</v>
      </c>
      <c r="F110" s="19">
        <f>SUM(F44:F48,F53:F55)*F92/1000</f>
        <v>109.49399571442864</v>
      </c>
      <c r="G110" s="19">
        <f>SUM(G44:G48,G53:G55)*G92/1000</f>
        <v>116.74736238657641</v>
      </c>
      <c r="H110" s="19">
        <f>SUM(H44:H48,H53:H55)*H92/1000</f>
        <v>7455.384832777806</v>
      </c>
      <c r="I110" s="19"/>
      <c r="J110" s="19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</row>
    <row r="111" spans="1:28" x14ac:dyDescent="0.2">
      <c r="A111" s="6"/>
      <c r="B111" s="99" t="s">
        <v>65</v>
      </c>
      <c r="C111" s="82">
        <f t="shared" ref="C111" si="26">(SUMPRODUCT(C44:C48,C8:C12)+SUMPRODUCT(C53:C55,C17:C19))*C93/1000</f>
        <v>7205.3728670634164</v>
      </c>
      <c r="D111" s="82">
        <f>(SUMPRODUCT(D44:D48,D8:D12)+SUMPRODUCT(D53:D55,D17:D19))*D93/1000</f>
        <v>3.7358215543053275</v>
      </c>
      <c r="E111" s="82">
        <f>(SUMPRODUCT(E44:E48,E8:E12)+SUMPRODUCT(E53:E55,E17:E19))*E93/1000</f>
        <v>298.40538942228648</v>
      </c>
      <c r="F111" s="82">
        <f>(SUMPRODUCT(F44:F48,F8:F12)+SUMPRODUCT(F53:F55,F17:F19))*F93/1000</f>
        <v>37.461554970065421</v>
      </c>
      <c r="G111" s="82">
        <f>(SUMPRODUCT(G44:G48,G8:G12)+SUMPRODUCT(G53:G55,G17:G19))*G93/1000</f>
        <v>39.859601204781477</v>
      </c>
      <c r="H111" s="82">
        <f>(SUMPRODUCT(H44:H48,H8:H12)+SUMPRODUCT(H53:H55,H17:H19))*H93/1000</f>
        <v>4411.6123787504166</v>
      </c>
      <c r="I111" s="82"/>
      <c r="J111" s="82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</row>
    <row r="112" spans="1:28" x14ac:dyDescent="0.2">
      <c r="A112" s="6"/>
      <c r="B112" s="99" t="s">
        <v>67</v>
      </c>
      <c r="C112" s="82">
        <f t="shared" ref="C112:H112" si="27">+(SUMPRODUCT(C44:C48,L8:L12)+SUMPRODUCT(C53:C55,L17:L19))*C94/1000</f>
        <v>5656.2424923452663</v>
      </c>
      <c r="D112" s="82">
        <f t="shared" si="27"/>
        <v>3.411616716554454</v>
      </c>
      <c r="E112" s="82">
        <f t="shared" si="27"/>
        <v>241.63785500467259</v>
      </c>
      <c r="F112" s="82">
        <f t="shared" si="27"/>
        <v>72.0324407443632</v>
      </c>
      <c r="G112" s="82">
        <f t="shared" si="27"/>
        <v>76.887761181794929</v>
      </c>
      <c r="H112" s="82">
        <f t="shared" si="27"/>
        <v>3043.7724540273894</v>
      </c>
      <c r="I112" s="82"/>
      <c r="J112" s="82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</row>
    <row r="113" spans="1:28" x14ac:dyDescent="0.2">
      <c r="A113" s="6"/>
      <c r="B113" s="71"/>
      <c r="C113" s="161"/>
      <c r="D113" s="161"/>
      <c r="E113" s="161"/>
      <c r="F113" s="161"/>
      <c r="G113" s="161"/>
      <c r="H113" s="161"/>
      <c r="I113" s="161"/>
      <c r="J113" s="16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</row>
    <row r="114" spans="1:28" x14ac:dyDescent="0.2">
      <c r="A114" s="6"/>
      <c r="B114" s="71" t="s">
        <v>70</v>
      </c>
      <c r="C114" s="19">
        <f>+C106+C110</f>
        <v>20924.857271944031</v>
      </c>
      <c r="D114" s="19">
        <f t="shared" ref="D114:H114" si="28">+D106+D110</f>
        <v>9.5517320107153623</v>
      </c>
      <c r="E114" s="19">
        <f t="shared" si="28"/>
        <v>735.75922394548968</v>
      </c>
      <c r="F114" s="19">
        <f t="shared" si="28"/>
        <v>141.66296497312152</v>
      </c>
      <c r="G114" s="19">
        <f t="shared" si="28"/>
        <v>151.90738172391914</v>
      </c>
      <c r="H114" s="19">
        <f t="shared" si="28"/>
        <v>10873.687615983252</v>
      </c>
      <c r="I114" s="19"/>
      <c r="J114" s="19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</row>
    <row r="115" spans="1:28" x14ac:dyDescent="0.2">
      <c r="A115" s="6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</row>
    <row r="116" spans="1:28" x14ac:dyDescent="0.2">
      <c r="A116" s="6"/>
      <c r="B116" s="71" t="s">
        <v>71</v>
      </c>
      <c r="C116" s="82">
        <f>SUM(C114:H114)</f>
        <v>32837.426190580525</v>
      </c>
      <c r="D116" s="163"/>
      <c r="E116" s="10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</row>
    <row r="117" spans="1:28" x14ac:dyDescent="0.2">
      <c r="A117" s="6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</row>
    <row r="118" spans="1:28" x14ac:dyDescent="0.2">
      <c r="A118" s="6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</row>
    <row r="119" spans="1:28" x14ac:dyDescent="0.2">
      <c r="A119" s="156" t="s">
        <v>75</v>
      </c>
      <c r="B119" s="18" t="s">
        <v>76</v>
      </c>
      <c r="C119" s="16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</row>
    <row r="120" spans="1:28" x14ac:dyDescent="0.2">
      <c r="A120" s="6"/>
      <c r="B120" s="2" t="s">
        <v>77</v>
      </c>
      <c r="C120" s="16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</row>
    <row r="121" spans="1:28" x14ac:dyDescent="0.2">
      <c r="A121" s="6"/>
      <c r="B121" s="7"/>
      <c r="C121" s="16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</row>
    <row r="122" spans="1:28" x14ac:dyDescent="0.2">
      <c r="A122" s="6"/>
      <c r="B122" s="13"/>
      <c r="C122" s="22" t="str">
        <f t="shared" ref="C122:H122" si="29">+C6</f>
        <v>SC1/SC5</v>
      </c>
      <c r="D122" s="22" t="str">
        <f t="shared" si="29"/>
        <v>SC3</v>
      </c>
      <c r="E122" s="22" t="str">
        <f t="shared" si="29"/>
        <v>SC2 ND</v>
      </c>
      <c r="F122" s="22" t="str">
        <f t="shared" si="29"/>
        <v>SC4</v>
      </c>
      <c r="G122" s="22" t="str">
        <f t="shared" si="29"/>
        <v>SC6</v>
      </c>
      <c r="H122" s="22" t="str">
        <f t="shared" si="29"/>
        <v>SC2 Dem</v>
      </c>
      <c r="I122" s="26"/>
      <c r="J122" s="26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</row>
    <row r="123" spans="1:28" x14ac:dyDescent="0.2">
      <c r="A123" s="6"/>
      <c r="B123" s="71"/>
      <c r="C123" s="96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</row>
    <row r="124" spans="1:28" x14ac:dyDescent="0.2">
      <c r="A124" s="6"/>
      <c r="B124" s="98" t="s">
        <v>63</v>
      </c>
      <c r="C124" s="81">
        <f t="shared" ref="C124" si="30">+C106/SUM(C49:C52)*1000</f>
        <v>28.275805896029475</v>
      </c>
      <c r="D124" s="81">
        <f>+D106/SUM(D49:D52)*1000</f>
        <v>27.956903951809089</v>
      </c>
      <c r="E124" s="81">
        <f>+E106/SUM(E49:E52)*1000</f>
        <v>27.947448167718214</v>
      </c>
      <c r="F124" s="81">
        <f>+F106/SUM(F49:F52)*1000</f>
        <v>23.899679984170056</v>
      </c>
      <c r="G124" s="81">
        <f>+G106/SUM(G49:G52)*1000</f>
        <v>23.853473091820035</v>
      </c>
      <c r="H124" s="81">
        <f>+H106/SUM(H49:H52)*1000</f>
        <v>28.124473448837332</v>
      </c>
      <c r="I124" s="81"/>
      <c r="J124" s="8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</row>
    <row r="125" spans="1:28" x14ac:dyDescent="0.2">
      <c r="A125" s="6"/>
      <c r="B125" s="99" t="s">
        <v>78</v>
      </c>
      <c r="C125" s="82"/>
      <c r="D125" s="81">
        <f>D89+S94</f>
        <v>35.97624826706766</v>
      </c>
      <c r="E125" s="82"/>
      <c r="F125" s="82"/>
      <c r="G125" s="82"/>
      <c r="H125" s="82"/>
      <c r="I125" s="81"/>
      <c r="J125" s="8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</row>
    <row r="126" spans="1:28" x14ac:dyDescent="0.2">
      <c r="A126" s="6"/>
      <c r="B126" s="99" t="s">
        <v>79</v>
      </c>
      <c r="C126" s="82"/>
      <c r="D126" s="81">
        <f>D90+S94</f>
        <v>22.988618779652107</v>
      </c>
      <c r="E126" s="82"/>
      <c r="F126" s="82"/>
      <c r="G126" s="82"/>
      <c r="H126" s="82"/>
      <c r="I126" s="81"/>
      <c r="J126" s="8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</row>
    <row r="127" spans="1:28" x14ac:dyDescent="0.2">
      <c r="A127" s="6"/>
      <c r="B127" s="71"/>
      <c r="C127" s="19"/>
      <c r="D127" s="19"/>
      <c r="E127" s="19"/>
      <c r="F127" s="19"/>
      <c r="G127" s="19"/>
      <c r="H127" s="19"/>
      <c r="I127" s="19"/>
      <c r="J127" s="19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</row>
    <row r="128" spans="1:28" x14ac:dyDescent="0.2">
      <c r="A128" s="6"/>
      <c r="B128" s="98" t="s">
        <v>69</v>
      </c>
      <c r="C128" s="161">
        <f t="shared" ref="C128" si="31">+C110/SUM(C44:C48,C53:C55)*1000</f>
        <v>34.146803146656652</v>
      </c>
      <c r="D128" s="161">
        <f>+D110/SUM(D44:D48,D53:D55)*1000</f>
        <v>35.383357776533572</v>
      </c>
      <c r="E128" s="161">
        <f>+E110/SUM(E44:E48,E53:E55)*1000</f>
        <v>34.704918991514624</v>
      </c>
      <c r="F128" s="161">
        <f>+F110/SUM(F44:F48,F53:F55)*1000</f>
        <v>32.119095252105787</v>
      </c>
      <c r="G128" s="161">
        <f>+G110/SUM(G44:G48,G53:G55)*1000</f>
        <v>31.74639357894668</v>
      </c>
      <c r="H128" s="161">
        <f>+H110/SUM(H44:H48,H53:H55)*1000</f>
        <v>34.067819073337375</v>
      </c>
      <c r="I128" s="161"/>
      <c r="J128" s="16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</row>
    <row r="129" spans="1:28" x14ac:dyDescent="0.2">
      <c r="A129" s="6"/>
      <c r="B129" s="99" t="s">
        <v>78</v>
      </c>
      <c r="C129" s="82"/>
      <c r="D129" s="81">
        <f>D93+S89</f>
        <v>40.440021953010614</v>
      </c>
      <c r="E129" s="82"/>
      <c r="F129" s="82"/>
      <c r="G129" s="82"/>
      <c r="H129" s="82"/>
      <c r="I129" s="81"/>
      <c r="J129" s="8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</row>
    <row r="130" spans="1:28" x14ac:dyDescent="0.2">
      <c r="A130" s="6"/>
      <c r="B130" s="99" t="s">
        <v>79</v>
      </c>
      <c r="C130" s="82"/>
      <c r="D130" s="81">
        <f>D94+S89</f>
        <v>32.528473840376122</v>
      </c>
      <c r="E130" s="82"/>
      <c r="F130" s="82"/>
      <c r="G130" s="82"/>
      <c r="H130" s="82"/>
      <c r="I130" s="81"/>
      <c r="J130" s="8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</row>
    <row r="131" spans="1:28" x14ac:dyDescent="0.2">
      <c r="A131" s="6"/>
      <c r="B131" s="71"/>
      <c r="C131" s="161"/>
      <c r="D131" s="161"/>
      <c r="E131" s="161"/>
      <c r="F131" s="161"/>
      <c r="G131" s="161"/>
      <c r="H131" s="161"/>
      <c r="I131" s="161"/>
      <c r="J131" s="16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</row>
    <row r="132" spans="1:28" x14ac:dyDescent="0.2">
      <c r="A132" s="6"/>
      <c r="B132" s="71" t="s">
        <v>80</v>
      </c>
      <c r="C132" s="10">
        <f t="shared" ref="C132" si="32">(C124*SUM(C49:C52)+C128*SUM(C44:C48,C53:C55))/C56</f>
        <v>31.617118647645444</v>
      </c>
      <c r="D132" s="10">
        <f>(D124*SUM(D49:D52)+D128*SUM(D44:D48,D53:D55))/D56</f>
        <v>33.165736148317229</v>
      </c>
      <c r="E132" s="10">
        <f>(E124*SUM(E49:E52)+E128*SUM(E44:E48,E53:E55))/E56</f>
        <v>32.607659277853649</v>
      </c>
      <c r="F132" s="10">
        <f>(F124*SUM(F49:F52)+F128*SUM(F44:F48,F53:F55))/F56</f>
        <v>29.792421655756367</v>
      </c>
      <c r="G132" s="10">
        <f>(G124*SUM(G49:G52)+G128*SUM(G44:G48,G53:G55))/G56</f>
        <v>29.487990240496774</v>
      </c>
      <c r="H132" s="10">
        <f>(H124*SUM(H49:H52)+H128*SUM(H44:H48,H53:H55))/H56</f>
        <v>31.945594965410717</v>
      </c>
      <c r="I132" s="10"/>
      <c r="J132" s="10"/>
      <c r="K132" s="71"/>
      <c r="L132" s="71">
        <v>42644</v>
      </c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</row>
    <row r="133" spans="1:28" x14ac:dyDescent="0.2">
      <c r="A133" s="6"/>
      <c r="B133" s="71" t="s">
        <v>81</v>
      </c>
      <c r="C133" s="81">
        <f>+C116/SUM(C56:H56)*1000</f>
        <v>31.728194548750601</v>
      </c>
      <c r="D133" s="71"/>
      <c r="E133" s="71"/>
      <c r="F133" s="71"/>
      <c r="G133" s="71"/>
      <c r="H133" s="71"/>
      <c r="I133" s="71"/>
      <c r="J133" s="71"/>
      <c r="K133" s="71"/>
      <c r="L133" s="71">
        <f>L136-L132</f>
        <v>1704</v>
      </c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</row>
    <row r="134" spans="1:28" x14ac:dyDescent="0.2">
      <c r="A134" s="6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</row>
    <row r="135" spans="1:28" x14ac:dyDescent="0.2">
      <c r="A135" s="156" t="s">
        <v>82</v>
      </c>
      <c r="B135" s="18" t="s">
        <v>83</v>
      </c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</row>
    <row r="136" spans="1:28" x14ac:dyDescent="0.2">
      <c r="A136" s="6"/>
      <c r="B136" s="2" t="str">
        <f>"Obligations - annual average forecasted for " &amp;M1-1 &amp;"; costs are market estimates"</f>
        <v>Obligations - annual average forecasted for 2019; costs are market estimates</v>
      </c>
      <c r="C136" s="71"/>
      <c r="D136" s="71"/>
      <c r="E136" s="71"/>
      <c r="F136" s="71"/>
      <c r="G136" s="71"/>
      <c r="H136" s="71"/>
      <c r="I136" s="71"/>
      <c r="J136" s="71"/>
      <c r="K136" s="71"/>
      <c r="L136" s="164">
        <f>(DATE($M$1+1,6,1))</f>
        <v>44348</v>
      </c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</row>
    <row r="137" spans="1:28" x14ac:dyDescent="0.2">
      <c r="A137" s="6"/>
      <c r="B137" s="7" t="s">
        <v>84</v>
      </c>
      <c r="C137" s="22" t="str">
        <f t="shared" ref="C137:H137" si="33">+C6</f>
        <v>SC1/SC5</v>
      </c>
      <c r="D137" s="22" t="str">
        <f t="shared" si="33"/>
        <v>SC3</v>
      </c>
      <c r="E137" s="22" t="str">
        <f t="shared" si="33"/>
        <v>SC2 ND</v>
      </c>
      <c r="F137" s="22" t="str">
        <f t="shared" si="33"/>
        <v>SC4</v>
      </c>
      <c r="G137" s="22" t="str">
        <f t="shared" si="33"/>
        <v>SC6</v>
      </c>
      <c r="H137" s="22" t="str">
        <f t="shared" si="33"/>
        <v>SC2 Dem</v>
      </c>
      <c r="I137" s="22" t="s">
        <v>85</v>
      </c>
      <c r="J137" s="26"/>
      <c r="K137" s="71"/>
      <c r="L137" s="164">
        <f>(DATE($M$1,10,1))</f>
        <v>44105</v>
      </c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</row>
    <row r="138" spans="1:28" x14ac:dyDescent="0.2">
      <c r="A138" s="6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>
        <f>L136-L137</f>
        <v>243</v>
      </c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</row>
    <row r="139" spans="1:28" x14ac:dyDescent="0.2">
      <c r="A139" s="6"/>
      <c r="B139" s="71" t="s">
        <v>86</v>
      </c>
      <c r="C139" s="83">
        <v>301.78100000000001</v>
      </c>
      <c r="D139" s="83">
        <v>8.5999999999999993E-2</v>
      </c>
      <c r="E139" s="83">
        <v>4.2359999999999998</v>
      </c>
      <c r="F139" s="84">
        <v>0</v>
      </c>
      <c r="G139" s="84">
        <v>0</v>
      </c>
      <c r="H139" s="83">
        <v>83.03</v>
      </c>
      <c r="I139" s="83">
        <f>SUM(C139:H139)</f>
        <v>389.13300000000004</v>
      </c>
      <c r="J139" s="84" t="b">
        <v>0</v>
      </c>
      <c r="K139" s="83"/>
      <c r="L139" s="83"/>
      <c r="M139" s="83"/>
      <c r="N139" s="83"/>
      <c r="O139" s="83"/>
      <c r="P139" s="83"/>
      <c r="Q139" s="83"/>
      <c r="R139" s="79"/>
      <c r="S139" s="79"/>
      <c r="T139" s="79"/>
      <c r="U139" s="79"/>
      <c r="V139" s="71"/>
      <c r="W139" s="71"/>
      <c r="X139" s="71"/>
      <c r="Y139" s="71"/>
      <c r="Z139" s="71"/>
      <c r="AA139" s="71"/>
      <c r="AB139" s="71"/>
    </row>
    <row r="140" spans="1:28" x14ac:dyDescent="0.2">
      <c r="A140" s="6"/>
      <c r="B140" s="71"/>
      <c r="C140" s="83"/>
      <c r="D140" s="83"/>
      <c r="E140" s="83"/>
      <c r="F140" s="83"/>
      <c r="G140" s="83"/>
      <c r="H140" s="83"/>
      <c r="I140" s="83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</row>
    <row r="141" spans="1:28" x14ac:dyDescent="0.2">
      <c r="A141" s="6"/>
      <c r="B141" s="71" t="s">
        <v>87</v>
      </c>
      <c r="C141" s="83">
        <v>269.74800000000005</v>
      </c>
      <c r="D141" s="83">
        <v>0.08</v>
      </c>
      <c r="E141" s="83">
        <v>4.8550000000000004</v>
      </c>
      <c r="F141" s="84">
        <v>0</v>
      </c>
      <c r="G141" s="84">
        <v>0</v>
      </c>
      <c r="H141" s="83">
        <v>92.635999999999996</v>
      </c>
      <c r="I141" s="83">
        <f>SUM(C141:H141)</f>
        <v>367.31900000000007</v>
      </c>
      <c r="J141" s="84" t="b">
        <v>0</v>
      </c>
      <c r="K141" s="83"/>
      <c r="L141" s="83"/>
      <c r="M141" s="71"/>
      <c r="N141" s="71"/>
      <c r="O141" s="71"/>
      <c r="P141" s="83"/>
      <c r="Q141" s="83"/>
      <c r="R141" s="79"/>
      <c r="S141" s="79"/>
      <c r="T141" s="79"/>
      <c r="U141" s="79"/>
      <c r="V141" s="71"/>
      <c r="W141" s="71"/>
      <c r="X141" s="71"/>
      <c r="Y141" s="71"/>
      <c r="Z141" s="71"/>
      <c r="AA141" s="71"/>
      <c r="AB141" s="71"/>
    </row>
    <row r="142" spans="1:28" x14ac:dyDescent="0.2">
      <c r="A142" s="6"/>
      <c r="B142" s="71"/>
      <c r="C142" s="84"/>
      <c r="D142" s="84"/>
      <c r="E142" s="84"/>
      <c r="F142" s="84"/>
      <c r="G142" s="84"/>
      <c r="H142" s="84"/>
      <c r="I142" s="84"/>
      <c r="J142" s="84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</row>
    <row r="143" spans="1:28" x14ac:dyDescent="0.2">
      <c r="A143" s="6"/>
      <c r="B143" s="71" t="s">
        <v>88</v>
      </c>
      <c r="C143" s="71"/>
      <c r="D143" s="71"/>
      <c r="E143" s="71"/>
      <c r="F143" s="84"/>
      <c r="G143" s="84"/>
      <c r="H143" s="84"/>
      <c r="I143" s="84"/>
      <c r="J143" s="84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</row>
    <row r="144" spans="1:28" x14ac:dyDescent="0.2">
      <c r="A144" s="6"/>
      <c r="B144" s="71"/>
      <c r="C144" s="71"/>
      <c r="D144" s="76" t="s">
        <v>89</v>
      </c>
      <c r="E144" s="85">
        <f>(DATE($M$1,10,1))-(DATE($M$1,6,1))</f>
        <v>122</v>
      </c>
      <c r="F144" s="71"/>
      <c r="G144" s="76" t="s">
        <v>90</v>
      </c>
      <c r="H144" s="71">
        <v>4</v>
      </c>
      <c r="I144" s="84"/>
      <c r="J144" s="84"/>
      <c r="K144" s="165"/>
      <c r="L144" s="166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</row>
    <row r="145" spans="1:28" x14ac:dyDescent="0.2">
      <c r="A145" s="6"/>
      <c r="B145" s="71"/>
      <c r="C145" s="71"/>
      <c r="D145" s="78" t="s">
        <v>91</v>
      </c>
      <c r="E145" s="85">
        <f>(DATE($M$1+1,6,1))-(DATE($M$1,10,1))</f>
        <v>243</v>
      </c>
      <c r="F145" s="71"/>
      <c r="G145" s="78" t="s">
        <v>92</v>
      </c>
      <c r="H145" s="71">
        <v>8</v>
      </c>
      <c r="I145" s="84"/>
      <c r="J145" s="84"/>
      <c r="K145" s="165"/>
      <c r="L145" s="166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</row>
    <row r="146" spans="1:28" x14ac:dyDescent="0.2">
      <c r="A146" s="6"/>
      <c r="B146" s="71"/>
      <c r="C146" s="71"/>
      <c r="D146" s="71"/>
      <c r="E146" s="71"/>
      <c r="F146" s="71"/>
      <c r="G146" s="76" t="s">
        <v>93</v>
      </c>
      <c r="H146" s="71">
        <f>+H144+H145</f>
        <v>12</v>
      </c>
      <c r="I146" s="84"/>
      <c r="J146" s="84"/>
      <c r="K146" s="84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</row>
    <row r="147" spans="1:28" x14ac:dyDescent="0.2">
      <c r="A147" s="6"/>
      <c r="B147" s="71" t="s">
        <v>94</v>
      </c>
      <c r="C147" s="19">
        <v>42548</v>
      </c>
      <c r="D147" s="95" t="s">
        <v>95</v>
      </c>
      <c r="E147" s="167">
        <f>C147/365</f>
        <v>116.56986301369864</v>
      </c>
      <c r="F147" s="167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</row>
    <row r="148" spans="1:28" x14ac:dyDescent="0.2">
      <c r="A148" s="6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</row>
    <row r="149" spans="1:28" x14ac:dyDescent="0.2">
      <c r="A149" s="6"/>
      <c r="B149" s="71" t="s">
        <v>96</v>
      </c>
      <c r="C149" s="71" t="s">
        <v>97</v>
      </c>
      <c r="D149" s="86">
        <f>F449</f>
        <v>168.05</v>
      </c>
      <c r="E149" s="95" t="s">
        <v>98</v>
      </c>
      <c r="F149" s="71"/>
      <c r="G149" s="78" t="s">
        <v>99</v>
      </c>
      <c r="H149" s="76" t="s">
        <v>100</v>
      </c>
      <c r="I149" s="161">
        <f>+D149*365/1000</f>
        <v>61.338250000000009</v>
      </c>
      <c r="J149" s="71" t="s">
        <v>101</v>
      </c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</row>
    <row r="150" spans="1:28" x14ac:dyDescent="0.2">
      <c r="A150" s="6"/>
      <c r="B150" s="87" t="s">
        <v>102</v>
      </c>
      <c r="C150" s="71" t="s">
        <v>103</v>
      </c>
      <c r="D150" s="86">
        <f>F451</f>
        <v>152.22999999999999</v>
      </c>
      <c r="E150" s="95" t="s">
        <v>98</v>
      </c>
      <c r="F150" s="71"/>
      <c r="G150" s="71"/>
      <c r="H150" s="76" t="s">
        <v>104</v>
      </c>
      <c r="I150" s="161">
        <f>+D150*365/1000</f>
        <v>55.563949999999998</v>
      </c>
      <c r="J150" s="71" t="s">
        <v>101</v>
      </c>
      <c r="K150" s="71"/>
      <c r="L150" s="164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</row>
    <row r="151" spans="1:28" s="3" customFormat="1" x14ac:dyDescent="0.2">
      <c r="A151" s="6"/>
      <c r="B151" s="71"/>
      <c r="C151" s="71"/>
      <c r="D151" s="86"/>
      <c r="E151" s="95"/>
      <c r="F151" s="71"/>
      <c r="G151" s="71"/>
      <c r="H151" s="76"/>
      <c r="I151" s="161"/>
      <c r="J151" s="71"/>
      <c r="K151" s="71"/>
      <c r="L151" s="164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</row>
    <row r="152" spans="1:28" s="3" customFormat="1" x14ac:dyDescent="0.2">
      <c r="A152" s="6"/>
      <c r="B152" s="87" t="s">
        <v>105</v>
      </c>
      <c r="C152" s="71"/>
      <c r="D152" s="71"/>
      <c r="E152" s="71"/>
      <c r="F152" s="71"/>
      <c r="G152" s="71"/>
      <c r="H152" s="71"/>
      <c r="I152" s="71"/>
      <c r="J152" s="71"/>
      <c r="K152" s="71"/>
      <c r="L152" s="166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</row>
    <row r="153" spans="1:28" s="3" customFormat="1" x14ac:dyDescent="0.2">
      <c r="A153" s="6"/>
      <c r="B153" s="2" t="s">
        <v>106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</row>
    <row r="154" spans="1:28" s="3" customFormat="1" x14ac:dyDescent="0.2">
      <c r="A154" s="6"/>
      <c r="B154" s="7"/>
      <c r="C154" s="8" t="str">
        <f>" ---------- "&amp;C6&amp;" ----------"</f>
        <v xml:space="preserve"> ---------- SC1/SC5 ----------</v>
      </c>
      <c r="D154" s="88"/>
      <c r="E154" s="89"/>
      <c r="F154" s="90"/>
      <c r="G154" s="71"/>
      <c r="H154" s="8"/>
      <c r="I154" s="88"/>
      <c r="J154" s="88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</row>
    <row r="155" spans="1:28" s="3" customFormat="1" x14ac:dyDescent="0.2">
      <c r="A155" s="6"/>
      <c r="B155" s="71"/>
      <c r="C155" s="76" t="s">
        <v>107</v>
      </c>
      <c r="D155" s="76"/>
      <c r="E155" s="91" t="s">
        <v>108</v>
      </c>
      <c r="F155" s="90"/>
      <c r="G155" s="71"/>
      <c r="H155" s="8"/>
      <c r="I155" s="88"/>
      <c r="J155" s="88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</row>
    <row r="156" spans="1:28" s="3" customFormat="1" x14ac:dyDescent="0.2">
      <c r="A156" s="6"/>
      <c r="B156" s="78" t="s">
        <v>109</v>
      </c>
      <c r="C156" s="92">
        <v>6.4740000000000002</v>
      </c>
      <c r="D156" s="71" t="s">
        <v>110</v>
      </c>
      <c r="E156" s="93">
        <v>0.42099999999999999</v>
      </c>
      <c r="F156" s="90"/>
      <c r="G156" s="71"/>
      <c r="H156" s="8"/>
      <c r="I156" s="88"/>
      <c r="J156" s="88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</row>
    <row r="157" spans="1:28" s="3" customFormat="1" x14ac:dyDescent="0.2">
      <c r="A157" s="6"/>
      <c r="B157" s="78" t="s">
        <v>111</v>
      </c>
      <c r="C157" s="92">
        <v>9.8350000000000009</v>
      </c>
      <c r="D157" s="71" t="s">
        <v>110</v>
      </c>
      <c r="E157" s="93">
        <v>0.57899999999999996</v>
      </c>
      <c r="F157" s="90"/>
      <c r="G157" s="71"/>
      <c r="H157" s="8"/>
      <c r="I157" s="88"/>
      <c r="J157" s="88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</row>
    <row r="158" spans="1:28" s="3" customFormat="1" x14ac:dyDescent="0.2">
      <c r="A158" s="6"/>
      <c r="B158" s="76" t="s">
        <v>112</v>
      </c>
      <c r="C158" s="92">
        <f>+C157-C156</f>
        <v>3.3610000000000007</v>
      </c>
      <c r="D158" s="71" t="s">
        <v>110</v>
      </c>
      <c r="E158" s="90"/>
      <c r="F158" s="90"/>
      <c r="G158" s="71"/>
      <c r="H158" s="8"/>
      <c r="I158" s="88"/>
      <c r="J158" s="88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</row>
    <row r="159" spans="1:28" s="3" customFormat="1" x14ac:dyDescent="0.2">
      <c r="A159" s="71"/>
      <c r="B159" s="71"/>
      <c r="C159" s="71"/>
      <c r="D159" s="71"/>
      <c r="E159" s="90"/>
      <c r="F159" s="9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</row>
    <row r="160" spans="1:28" x14ac:dyDescent="0.2">
      <c r="A160" s="156" t="s">
        <v>113</v>
      </c>
      <c r="B160" s="13" t="s">
        <v>114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</row>
    <row r="161" spans="1:28" x14ac:dyDescent="0.2">
      <c r="A161" s="6"/>
      <c r="B161" s="7" t="s">
        <v>115</v>
      </c>
      <c r="C161" s="71"/>
      <c r="D161" s="94">
        <f>H461</f>
        <v>18.239999999999998</v>
      </c>
      <c r="E161" s="87" t="s">
        <v>116</v>
      </c>
      <c r="F161" s="95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</row>
    <row r="162" spans="1:28" x14ac:dyDescent="0.2">
      <c r="A162" s="6"/>
      <c r="B162" s="7"/>
      <c r="C162" s="71"/>
      <c r="D162" s="71"/>
      <c r="E162" s="71"/>
      <c r="F162" s="95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</row>
    <row r="163" spans="1:28" x14ac:dyDescent="0.2">
      <c r="A163" s="156" t="s">
        <v>117</v>
      </c>
      <c r="B163" s="13" t="s">
        <v>118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</row>
    <row r="164" spans="1:28" x14ac:dyDescent="0.2">
      <c r="A164" s="121"/>
      <c r="B164" s="13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</row>
    <row r="165" spans="1:28" x14ac:dyDescent="0.2">
      <c r="A165" s="121"/>
      <c r="B165" s="13"/>
      <c r="C165" s="22" t="str">
        <f t="shared" ref="C165" si="34">+C6</f>
        <v>SC1/SC5</v>
      </c>
      <c r="D165" s="22" t="str">
        <f>+D6</f>
        <v>SC3</v>
      </c>
      <c r="E165" s="22" t="str">
        <f>+E6</f>
        <v>SC2 ND</v>
      </c>
      <c r="F165" s="22" t="str">
        <f>+F6</f>
        <v>SC4</v>
      </c>
      <c r="G165" s="22" t="str">
        <f>+G6</f>
        <v>SC6</v>
      </c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</row>
    <row r="166" spans="1:28" x14ac:dyDescent="0.2">
      <c r="A166" s="121"/>
      <c r="B166" s="13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</row>
    <row r="167" spans="1:28" x14ac:dyDescent="0.2">
      <c r="A167" s="6"/>
      <c r="B167" s="76" t="s">
        <v>119</v>
      </c>
      <c r="C167" s="10">
        <f t="shared" ref="C167" si="35">(+$C$147*C141*$H$146/12)/C56</f>
        <v>17.341919605089302</v>
      </c>
      <c r="D167" s="10">
        <f>(+$C$147*D141*$H$146/12)/D56</f>
        <v>11.818888888888889</v>
      </c>
      <c r="E167" s="10">
        <f>(+$C$147*E141*$H$146/12)/E56</f>
        <v>9.1548723630561959</v>
      </c>
      <c r="F167" s="10">
        <f>(+$C$147*F141*$H$146/12)/F56</f>
        <v>0</v>
      </c>
      <c r="G167" s="10">
        <f>(+$C$147*G141*$H$146/12)/G56</f>
        <v>0</v>
      </c>
      <c r="H167" s="10"/>
      <c r="I167" s="10"/>
      <c r="J167" s="10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</row>
    <row r="168" spans="1:28" x14ac:dyDescent="0.2">
      <c r="A168" s="6"/>
      <c r="B168" s="76"/>
      <c r="C168" s="10"/>
      <c r="D168" s="10"/>
      <c r="E168" s="10"/>
      <c r="F168" s="10"/>
      <c r="G168" s="10"/>
      <c r="H168" s="10"/>
      <c r="I168" s="10"/>
      <c r="J168" s="10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</row>
    <row r="169" spans="1:28" x14ac:dyDescent="0.2">
      <c r="A169" s="6"/>
      <c r="B169" s="76" t="s">
        <v>120</v>
      </c>
      <c r="C169" s="10"/>
      <c r="D169" s="10"/>
      <c r="E169" s="10"/>
      <c r="F169" s="10"/>
      <c r="G169" s="10"/>
      <c r="H169" s="10"/>
      <c r="I169" s="10"/>
      <c r="J169" s="10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</row>
    <row r="170" spans="1:28" x14ac:dyDescent="0.2">
      <c r="A170" s="6"/>
      <c r="B170" s="76" t="s">
        <v>121</v>
      </c>
      <c r="C170" s="10">
        <f t="shared" ref="C170" si="36">((+$D$149*$E$144*C139)+($D$150*$E$145*C139))/C56</f>
        <v>26.216464730527388</v>
      </c>
      <c r="D170" s="10">
        <f>((+$D$149*$E$144*D139)+($D$150*$E$145*D139))/D56</f>
        <v>17.16834423611111</v>
      </c>
      <c r="E170" s="10">
        <f>((+$D$149*$E$144*E139)+($D$150*$E$145*E139))/E56</f>
        <v>10.793500338592448</v>
      </c>
      <c r="F170" s="10">
        <f>((+$D$149*$E$144*F139)+($D$150*$E$145*F139))/F56</f>
        <v>0</v>
      </c>
      <c r="G170" s="10">
        <f>((+$D$149*$E$144*G139)+($D$150*$E$145*G139))/G56</f>
        <v>0</v>
      </c>
      <c r="H170" s="10"/>
      <c r="I170" s="10"/>
      <c r="J170" s="10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</row>
    <row r="171" spans="1:28" x14ac:dyDescent="0.2">
      <c r="A171" s="6"/>
      <c r="B171" s="76" t="s">
        <v>122</v>
      </c>
      <c r="C171" s="10">
        <f t="shared" ref="C171" si="37">C$139*$D149*$E144/SUM(C$49:C$52)</f>
        <v>21.696792863404919</v>
      </c>
      <c r="D171" s="10">
        <f>D$139*$D149*$E144/SUM(D$49:D$52)</f>
        <v>20.502099999999999</v>
      </c>
      <c r="E171" s="10">
        <f>E$139*$D149*$E144/SUM(E$49:E$52)</f>
        <v>12.401384492360418</v>
      </c>
      <c r="F171" s="10">
        <f>F$139*$D149*$E144/SUM(F$49:F$52)</f>
        <v>0</v>
      </c>
      <c r="G171" s="10">
        <f>G$139*$D149*$E144/SUM(G$49:G$52)</f>
        <v>0</v>
      </c>
      <c r="H171" s="10"/>
      <c r="I171" s="10"/>
      <c r="J171" s="10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</row>
    <row r="172" spans="1:28" x14ac:dyDescent="0.2">
      <c r="A172" s="6"/>
      <c r="B172" s="76" t="s">
        <v>123</v>
      </c>
      <c r="C172" s="10">
        <f t="shared" ref="C172" si="38">C$139*$D150*$E145/(SUM(C$44:C$48)+SUM(C$53:C$55))</f>
        <v>29.638276668768491</v>
      </c>
      <c r="D172" s="10">
        <f>D$139*$D150*$E145/(SUM(D$44:D$48)+SUM(D$53:D$55))</f>
        <v>15.749022475247523</v>
      </c>
      <c r="E172" s="10">
        <f>E$139*$D150*$E145/(SUM(E$44:E$48)+SUM(E$53:E$55))</f>
        <v>10.069895639097743</v>
      </c>
      <c r="F172" s="10">
        <f>F$139*$D150*$E145/(SUM(F$44:F$48)+SUM(F$53:F$55))</f>
        <v>0</v>
      </c>
      <c r="G172" s="10">
        <f>G$139*$D150*$E145/(SUM(G$44:G$48)+SUM(G$53:G$55))</f>
        <v>0</v>
      </c>
      <c r="H172" s="10"/>
      <c r="I172" s="10"/>
      <c r="J172" s="10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</row>
    <row r="173" spans="1:28" x14ac:dyDescent="0.2">
      <c r="A173" s="6"/>
      <c r="B173" s="71"/>
      <c r="C173" s="96"/>
      <c r="D173" s="96"/>
      <c r="E173" s="96"/>
      <c r="F173" s="96"/>
      <c r="G173" s="96"/>
      <c r="H173" s="96"/>
      <c r="I173" s="10"/>
      <c r="J173" s="10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</row>
    <row r="174" spans="1:28" x14ac:dyDescent="0.2">
      <c r="A174" s="6"/>
      <c r="B174" s="71"/>
      <c r="C174" s="97"/>
      <c r="D174" s="97"/>
      <c r="E174" s="97"/>
      <c r="F174" s="97"/>
      <c r="G174" s="97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</row>
    <row r="175" spans="1:28" x14ac:dyDescent="0.2">
      <c r="A175" s="156" t="s">
        <v>124</v>
      </c>
      <c r="B175" s="13" t="s">
        <v>125</v>
      </c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</row>
    <row r="176" spans="1:28" x14ac:dyDescent="0.2">
      <c r="A176" s="6"/>
      <c r="B176" s="13"/>
      <c r="C176" s="96"/>
      <c r="D176" s="96"/>
      <c r="E176" s="96"/>
      <c r="F176" s="96"/>
      <c r="G176" s="96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</row>
    <row r="177" spans="1:28" x14ac:dyDescent="0.2">
      <c r="A177" s="6"/>
      <c r="B177" s="18" t="s">
        <v>126</v>
      </c>
      <c r="C177" s="97"/>
      <c r="D177" s="97"/>
      <c r="E177" s="97"/>
      <c r="F177" s="97"/>
      <c r="G177" s="97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</row>
    <row r="178" spans="1:28" x14ac:dyDescent="0.2">
      <c r="A178" s="6"/>
      <c r="B178" s="7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</row>
    <row r="179" spans="1:28" x14ac:dyDescent="0.2">
      <c r="A179" s="6"/>
      <c r="B179" s="71"/>
      <c r="C179" s="22" t="str">
        <f t="shared" ref="C179" si="39">+C6</f>
        <v>SC1/SC5</v>
      </c>
      <c r="D179" s="22" t="str">
        <f>+D6</f>
        <v>SC3</v>
      </c>
      <c r="E179" s="22" t="str">
        <f>+E6</f>
        <v>SC2 ND</v>
      </c>
      <c r="F179" s="22" t="str">
        <f>+F6</f>
        <v>SC4</v>
      </c>
      <c r="G179" s="22" t="str">
        <f>+G6</f>
        <v>SC6</v>
      </c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</row>
    <row r="180" spans="1:28" x14ac:dyDescent="0.2">
      <c r="A180" s="6"/>
      <c r="B180" s="71"/>
      <c r="C180" s="26"/>
      <c r="D180" s="10"/>
      <c r="E180" s="26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</row>
    <row r="181" spans="1:28" x14ac:dyDescent="0.2">
      <c r="A181" s="6"/>
      <c r="B181" s="98" t="s">
        <v>63</v>
      </c>
      <c r="C181" s="12">
        <f t="shared" ref="C181" si="40">+C124+$D$161+C$167+C171</f>
        <v>85.554518364523702</v>
      </c>
      <c r="D181" s="10">
        <f>+D124+$D$161+D$167+D171</f>
        <v>78.517892840697982</v>
      </c>
      <c r="E181" s="10">
        <f>+E124+$D$161+E$167+E171</f>
        <v>67.743705023134837</v>
      </c>
      <c r="F181" s="10">
        <f>+F124+$D$161+F$167+F171</f>
        <v>42.139679984170058</v>
      </c>
      <c r="G181" s="10">
        <f>+G124+$D$161+G$167+G171</f>
        <v>42.09347309182003</v>
      </c>
      <c r="H181" s="10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</row>
    <row r="182" spans="1:28" x14ac:dyDescent="0.2">
      <c r="A182" s="6"/>
      <c r="B182" s="99" t="s">
        <v>78</v>
      </c>
      <c r="C182" s="10"/>
      <c r="D182" s="12">
        <f>+D125+$D$161+D$167+(D171*M48/M49)</f>
        <v>119.66820987042823</v>
      </c>
      <c r="E182" s="10"/>
      <c r="F182" s="10"/>
      <c r="G182" s="10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</row>
    <row r="183" spans="1:28" x14ac:dyDescent="0.2">
      <c r="A183" s="6"/>
      <c r="B183" s="99" t="s">
        <v>79</v>
      </c>
      <c r="C183" s="10"/>
      <c r="D183" s="12">
        <f>+D126+$D$161+D$167</f>
        <v>53.047507668541002</v>
      </c>
      <c r="E183" s="10"/>
      <c r="F183" s="10"/>
      <c r="G183" s="10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</row>
    <row r="184" spans="1:28" x14ac:dyDescent="0.2">
      <c r="A184" s="6"/>
      <c r="B184" s="76" t="s">
        <v>127</v>
      </c>
      <c r="C184" s="10">
        <f>(C181*SUM(C49:C52)-C158*10*E157*SUM(C49:C52))/SUM(C49:C52)</f>
        <v>66.094328364523705</v>
      </c>
      <c r="D184" s="10"/>
      <c r="E184" s="10"/>
      <c r="F184" s="10"/>
      <c r="G184" s="10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</row>
    <row r="185" spans="1:28" x14ac:dyDescent="0.2">
      <c r="A185" s="6"/>
      <c r="B185" s="76" t="s">
        <v>128</v>
      </c>
      <c r="C185" s="10">
        <f>C184+C158*10</f>
        <v>99.704328364523718</v>
      </c>
      <c r="D185" s="10"/>
      <c r="E185" s="10"/>
      <c r="F185" s="10"/>
      <c r="G185" s="10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</row>
    <row r="186" spans="1:28" x14ac:dyDescent="0.2">
      <c r="A186" s="6"/>
      <c r="B186" s="10"/>
      <c r="C186" s="10"/>
      <c r="D186" s="10"/>
      <c r="E186" s="10"/>
      <c r="F186" s="10"/>
      <c r="G186" s="10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</row>
    <row r="187" spans="1:28" x14ac:dyDescent="0.2">
      <c r="A187" s="6"/>
      <c r="B187" s="71"/>
      <c r="C187" s="10"/>
      <c r="D187" s="10"/>
      <c r="E187" s="10"/>
      <c r="F187" s="10"/>
      <c r="G187" s="10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</row>
    <row r="188" spans="1:28" x14ac:dyDescent="0.2">
      <c r="A188" s="6"/>
      <c r="B188" s="98" t="s">
        <v>69</v>
      </c>
      <c r="C188" s="12">
        <f t="shared" ref="C188" si="41">+C128+$D$161+C$167+C172</f>
        <v>99.366999420514446</v>
      </c>
      <c r="D188" s="10">
        <f>+D128+$D$161+D$167+D172</f>
        <v>81.191269140669988</v>
      </c>
      <c r="E188" s="10">
        <f>+E128+$D$161+E$167+E172</f>
        <v>72.169686993668563</v>
      </c>
      <c r="F188" s="10">
        <f>+F128+$D$161+F$167+F172</f>
        <v>50.359095252105789</v>
      </c>
      <c r="G188" s="10">
        <f>+G128+$D$161+G$167+G172</f>
        <v>49.986393578946675</v>
      </c>
      <c r="H188" s="10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</row>
    <row r="189" spans="1:28" x14ac:dyDescent="0.2">
      <c r="A189" s="6"/>
      <c r="B189" s="99" t="s">
        <v>78</v>
      </c>
      <c r="C189" s="10"/>
      <c r="D189" s="12">
        <f>+D129+$D$161+D$167+(D172*M44/M45)</f>
        <v>114.14580857234158</v>
      </c>
      <c r="E189" s="10"/>
      <c r="F189" s="10"/>
      <c r="G189" s="10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</row>
    <row r="190" spans="1:28" x14ac:dyDescent="0.2">
      <c r="A190" s="6"/>
      <c r="B190" s="99" t="s">
        <v>79</v>
      </c>
      <c r="C190" s="10"/>
      <c r="D190" s="12">
        <f>+D130+$D$161+D$167</f>
        <v>62.58736272926501</v>
      </c>
      <c r="E190" s="10"/>
      <c r="F190" s="10"/>
      <c r="G190" s="10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</row>
    <row r="191" spans="1:28" x14ac:dyDescent="0.2">
      <c r="A191" s="6"/>
      <c r="B191" s="71"/>
      <c r="C191" s="10"/>
      <c r="D191" s="10"/>
      <c r="E191" s="10"/>
      <c r="F191" s="10"/>
      <c r="G191" s="10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</row>
    <row r="192" spans="1:28" x14ac:dyDescent="0.2">
      <c r="A192" s="6"/>
      <c r="B192" s="71" t="s">
        <v>129</v>
      </c>
      <c r="C192" s="12">
        <f t="shared" ref="C192" si="42">+C132+$D$161+C$167+C170</f>
        <v>93.41550298326213</v>
      </c>
      <c r="D192" s="10">
        <f>+D132+$D$161+D$167+D170</f>
        <v>80.392969273317235</v>
      </c>
      <c r="E192" s="10">
        <f>+E132+$D$161+E$167+E170</f>
        <v>70.796031979502303</v>
      </c>
      <c r="F192" s="10">
        <f>+F132+$D$161+F$167+F170</f>
        <v>48.032421655756366</v>
      </c>
      <c r="G192" s="10">
        <f>+G132+$D$161+G$167+G170</f>
        <v>47.727990240496773</v>
      </c>
      <c r="H192" s="10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</row>
    <row r="193" spans="1:28" x14ac:dyDescent="0.2">
      <c r="A193" s="6"/>
      <c r="B193" s="71"/>
      <c r="C193" s="10"/>
      <c r="D193" s="10"/>
      <c r="E193" s="10"/>
      <c r="F193" s="10"/>
      <c r="G193" s="10"/>
      <c r="H193" s="10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</row>
    <row r="194" spans="1:28" x14ac:dyDescent="0.2">
      <c r="A194" s="6"/>
      <c r="B194" s="18" t="s">
        <v>130</v>
      </c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</row>
    <row r="195" spans="1:28" x14ac:dyDescent="0.2">
      <c r="A195" s="6"/>
      <c r="B195" s="7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</row>
    <row r="196" spans="1:28" x14ac:dyDescent="0.2">
      <c r="A196" s="6"/>
      <c r="B196" s="71"/>
      <c r="C196" s="22" t="str">
        <f>+H6</f>
        <v>SC2 Dem</v>
      </c>
      <c r="D196" s="26"/>
      <c r="E196" s="71"/>
      <c r="F196" s="13" t="s">
        <v>131</v>
      </c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</row>
    <row r="197" spans="1:28" x14ac:dyDescent="0.2">
      <c r="A197" s="6"/>
      <c r="B197" s="71"/>
      <c r="C197" s="26"/>
      <c r="D197" s="71"/>
      <c r="E197" s="13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</row>
    <row r="198" spans="1:28" x14ac:dyDescent="0.2">
      <c r="A198" s="6"/>
      <c r="B198" s="98" t="s">
        <v>63</v>
      </c>
      <c r="C198" s="10">
        <f>+H124+$D$161</f>
        <v>46.36447344883733</v>
      </c>
      <c r="D198" s="71"/>
      <c r="E198" s="71"/>
      <c r="F198" s="25" t="s">
        <v>132</v>
      </c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</row>
    <row r="199" spans="1:28" x14ac:dyDescent="0.2">
      <c r="A199" s="6"/>
      <c r="B199" s="99"/>
      <c r="C199" s="10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</row>
    <row r="200" spans="1:28" x14ac:dyDescent="0.2">
      <c r="A200" s="6"/>
      <c r="B200" s="99"/>
      <c r="C200" s="10"/>
      <c r="D200" s="71"/>
      <c r="E200" s="71"/>
      <c r="F200" s="71"/>
      <c r="G200" s="22"/>
      <c r="H200" s="15" t="s">
        <v>133</v>
      </c>
      <c r="I200" s="15" t="s">
        <v>134</v>
      </c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</row>
    <row r="201" spans="1:28" x14ac:dyDescent="0.2">
      <c r="A201" s="6"/>
      <c r="B201" s="71"/>
      <c r="C201" s="10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</row>
    <row r="202" spans="1:28" x14ac:dyDescent="0.2">
      <c r="A202" s="6"/>
      <c r="B202" s="98" t="s">
        <v>69</v>
      </c>
      <c r="C202" s="10">
        <f>+H128+$D$161</f>
        <v>52.30781907333737</v>
      </c>
      <c r="D202" s="71"/>
      <c r="E202" s="71"/>
      <c r="F202" s="76" t="s">
        <v>97</v>
      </c>
      <c r="G202" s="100"/>
      <c r="H202" s="168">
        <f>H213</f>
        <v>1.3560000000000001</v>
      </c>
      <c r="I202" s="168">
        <f>I213</f>
        <v>4.6970000000000001</v>
      </c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</row>
    <row r="203" spans="1:28" x14ac:dyDescent="0.2">
      <c r="A203" s="6"/>
      <c r="B203" s="99"/>
      <c r="C203" s="10"/>
      <c r="D203" s="71"/>
      <c r="E203" s="71"/>
      <c r="F203" s="76" t="s">
        <v>103</v>
      </c>
      <c r="G203" s="100"/>
      <c r="H203" s="168">
        <f>H214</f>
        <v>1.339</v>
      </c>
      <c r="I203" s="168">
        <f>I214</f>
        <v>4.7329999999999997</v>
      </c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</row>
    <row r="204" spans="1:28" x14ac:dyDescent="0.2">
      <c r="A204" s="6"/>
      <c r="B204" s="99"/>
      <c r="C204" s="10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</row>
    <row r="205" spans="1:28" x14ac:dyDescent="0.2">
      <c r="A205" s="6"/>
      <c r="B205" s="99"/>
      <c r="C205" s="10"/>
      <c r="D205" s="71"/>
      <c r="E205" s="71"/>
      <c r="F205" s="169" t="s">
        <v>135</v>
      </c>
      <c r="G205" s="71"/>
      <c r="H205" s="95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</row>
    <row r="206" spans="1:28" x14ac:dyDescent="0.2">
      <c r="A206" s="6"/>
      <c r="B206" s="71" t="s">
        <v>136</v>
      </c>
      <c r="C206" s="10">
        <f>+H132+$D$161</f>
        <v>50.185594965410715</v>
      </c>
      <c r="D206" s="71"/>
      <c r="E206" s="71"/>
      <c r="F206" s="76" t="s">
        <v>137</v>
      </c>
      <c r="G206" s="170">
        <f>+C147/1000/12</f>
        <v>3.545666666666667</v>
      </c>
      <c r="H206" s="95" t="s">
        <v>138</v>
      </c>
      <c r="I206" s="71"/>
      <c r="J206" s="71"/>
      <c r="K206" s="71"/>
      <c r="L206" s="71"/>
      <c r="M206" s="71"/>
      <c r="N206" s="71"/>
      <c r="O206" s="71"/>
      <c r="P206" s="109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</row>
    <row r="207" spans="1:28" x14ac:dyDescent="0.2">
      <c r="A207" s="156" t="s">
        <v>124</v>
      </c>
      <c r="B207" s="171" t="s">
        <v>139</v>
      </c>
      <c r="C207" s="10"/>
      <c r="D207" s="71"/>
      <c r="E207" s="71"/>
      <c r="F207" s="71"/>
      <c r="G207" s="71"/>
      <c r="H207" s="71"/>
      <c r="I207" s="71"/>
      <c r="J207" s="71"/>
      <c r="K207" s="172" t="s">
        <v>131</v>
      </c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  <c r="Y207" s="173"/>
      <c r="Z207" s="173"/>
      <c r="AA207" s="71"/>
      <c r="AB207" s="71"/>
    </row>
    <row r="208" spans="1:28" x14ac:dyDescent="0.2">
      <c r="A208" s="156"/>
      <c r="B208" s="71"/>
      <c r="C208" s="10"/>
      <c r="D208" s="71"/>
      <c r="E208" s="71"/>
      <c r="F208" s="71"/>
      <c r="G208" s="71"/>
      <c r="H208" s="71"/>
      <c r="I208" s="71"/>
      <c r="J208" s="71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  <c r="V208" s="173"/>
      <c r="W208" s="173"/>
      <c r="X208" s="173"/>
      <c r="Y208" s="173"/>
      <c r="Z208" s="173"/>
      <c r="AA208" s="71"/>
      <c r="AB208" s="71"/>
    </row>
    <row r="209" spans="1:28" x14ac:dyDescent="0.2">
      <c r="A209" s="6"/>
      <c r="B209" s="174" t="s">
        <v>140</v>
      </c>
      <c r="C209" s="10"/>
      <c r="D209" s="10"/>
      <c r="E209" s="71"/>
      <c r="F209" s="175" t="s">
        <v>132</v>
      </c>
      <c r="G209" s="71"/>
      <c r="H209" s="71"/>
      <c r="I209" s="71"/>
      <c r="J209" s="71"/>
      <c r="K209" s="176" t="s">
        <v>132</v>
      </c>
      <c r="L209" s="173"/>
      <c r="M209" s="173"/>
      <c r="N209" s="173"/>
      <c r="O209" s="173"/>
      <c r="P209" s="173"/>
      <c r="Q209" s="173"/>
      <c r="R209" s="173"/>
      <c r="S209" s="173"/>
      <c r="T209" s="173"/>
      <c r="U209" s="173"/>
      <c r="V209" s="173"/>
      <c r="W209" s="173"/>
      <c r="X209" s="173"/>
      <c r="Y209" s="173"/>
      <c r="Z209" s="173"/>
      <c r="AA209" s="71"/>
      <c r="AB209" s="71"/>
    </row>
    <row r="210" spans="1:28" x14ac:dyDescent="0.2">
      <c r="A210" s="6"/>
      <c r="B210" s="98" t="s">
        <v>63</v>
      </c>
      <c r="C210" s="12">
        <f>(C198*Q48+($H213*($M$223/4*H144))+($I213*($M$223/4*H144))+($G206*$H144*H141*1000))/Q48</f>
        <v>74.178341919662927</v>
      </c>
      <c r="D210" s="12"/>
      <c r="E210" s="71"/>
      <c r="F210" s="147"/>
      <c r="G210" s="71"/>
      <c r="H210" s="71"/>
      <c r="I210" s="71"/>
      <c r="J210" s="71"/>
      <c r="K210" s="173"/>
      <c r="L210" s="173"/>
      <c r="M210" s="173"/>
      <c r="N210" s="173"/>
      <c r="O210" s="173"/>
      <c r="P210" s="173"/>
      <c r="Q210" s="173"/>
      <c r="R210" s="173"/>
      <c r="S210" s="173"/>
      <c r="T210" s="310" t="s">
        <v>141</v>
      </c>
      <c r="U210" s="310"/>
      <c r="V210" s="177"/>
      <c r="W210" s="177"/>
      <c r="X210" s="173"/>
      <c r="Y210" s="173"/>
      <c r="Z210" s="173" t="s">
        <v>142</v>
      </c>
      <c r="AA210" s="71">
        <v>3</v>
      </c>
      <c r="AB210" s="71"/>
    </row>
    <row r="211" spans="1:28" x14ac:dyDescent="0.2">
      <c r="A211" s="6"/>
      <c r="B211" s="99"/>
      <c r="C211" s="10"/>
      <c r="D211" s="10"/>
      <c r="E211" s="71"/>
      <c r="F211" s="71"/>
      <c r="G211" s="71"/>
      <c r="H211" s="71"/>
      <c r="I211" s="71"/>
      <c r="J211" s="71"/>
      <c r="K211" s="173"/>
      <c r="L211" s="178" t="str">
        <f>H6</f>
        <v>SC2 Dem</v>
      </c>
      <c r="M211" s="179" t="s">
        <v>143</v>
      </c>
      <c r="N211" s="179" t="s">
        <v>134</v>
      </c>
      <c r="O211" s="173"/>
      <c r="P211" s="173" t="s">
        <v>144</v>
      </c>
      <c r="Q211" s="180" t="s">
        <v>143</v>
      </c>
      <c r="R211" s="180" t="s">
        <v>134</v>
      </c>
      <c r="S211" s="180" t="s">
        <v>145</v>
      </c>
      <c r="T211" s="173" t="s">
        <v>146</v>
      </c>
      <c r="U211" s="173" t="s">
        <v>147</v>
      </c>
      <c r="V211" s="173" t="s">
        <v>148</v>
      </c>
      <c r="W211" s="173" t="s">
        <v>149</v>
      </c>
      <c r="X211" s="181">
        <v>0.33</v>
      </c>
      <c r="Y211" s="173"/>
      <c r="Z211" s="173"/>
      <c r="AA211" s="71"/>
      <c r="AB211" s="71"/>
    </row>
    <row r="212" spans="1:28" x14ac:dyDescent="0.2">
      <c r="A212" s="6"/>
      <c r="B212" s="99"/>
      <c r="C212" s="10"/>
      <c r="D212" s="10"/>
      <c r="E212" s="71"/>
      <c r="F212" s="147"/>
      <c r="G212" s="22"/>
      <c r="H212" s="15" t="s">
        <v>133</v>
      </c>
      <c r="I212" s="15" t="s">
        <v>134</v>
      </c>
      <c r="J212" s="71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  <c r="U212" s="173"/>
      <c r="V212" s="173"/>
      <c r="W212" s="173"/>
      <c r="X212" s="173"/>
      <c r="Y212" s="173"/>
      <c r="Z212" s="173"/>
      <c r="AA212" s="71"/>
      <c r="AB212" s="71"/>
    </row>
    <row r="213" spans="1:28" x14ac:dyDescent="0.2">
      <c r="A213" s="6"/>
      <c r="B213" s="71"/>
      <c r="C213" s="10"/>
      <c r="D213" s="10"/>
      <c r="E213" s="71"/>
      <c r="F213" s="71" t="s">
        <v>97</v>
      </c>
      <c r="G213" s="168"/>
      <c r="H213" s="168">
        <f>M213</f>
        <v>1.3560000000000001</v>
      </c>
      <c r="I213" s="168">
        <f>N213</f>
        <v>4.6970000000000001</v>
      </c>
      <c r="J213" s="71"/>
      <c r="K213" s="180" t="s">
        <v>97</v>
      </c>
      <c r="L213" s="182">
        <f>ROUND(H139*D149*E144/$M$223,3)</f>
        <v>4.9859999999999998</v>
      </c>
      <c r="M213" s="92">
        <f>ROUND((P213-V213*(1-$X$211)*R213)/S213,$AA$210)</f>
        <v>1.3560000000000001</v>
      </c>
      <c r="N213" s="92">
        <f>ROUND(M213+V213*(1-$X$211),$AA$210)</f>
        <v>4.6970000000000001</v>
      </c>
      <c r="O213" s="173"/>
      <c r="P213" s="182">
        <f>H139*D149*E144</f>
        <v>1702289.3630000001</v>
      </c>
      <c r="Q213" s="183">
        <f>$M$229</f>
        <v>72672.947005293594</v>
      </c>
      <c r="R213" s="183">
        <f>$M$223</f>
        <v>341438.25299470645</v>
      </c>
      <c r="S213" s="184">
        <f>Q213+R213</f>
        <v>414111.20000000007</v>
      </c>
      <c r="T213" s="173">
        <v>0</v>
      </c>
      <c r="U213" s="173">
        <f>ROUND(H139*D149*E144/$M$223,3)</f>
        <v>4.9859999999999998</v>
      </c>
      <c r="V213" s="173">
        <f>U213-T213</f>
        <v>4.9859999999999998</v>
      </c>
      <c r="W213" s="173"/>
      <c r="X213" s="173"/>
      <c r="Y213" s="173"/>
      <c r="Z213" s="109">
        <f>M213*Q213+N213*R213</f>
        <v>1702279.9904553143</v>
      </c>
      <c r="AA213" s="109">
        <f>P213-Z213</f>
        <v>9.372544685844332</v>
      </c>
      <c r="AB213" s="71"/>
    </row>
    <row r="214" spans="1:28" x14ac:dyDescent="0.2">
      <c r="A214" s="6"/>
      <c r="B214" s="98" t="s">
        <v>69</v>
      </c>
      <c r="C214" s="12">
        <f>(C202*Q44+($H214*($M$224/8*H145))+($I214*($M$224/8*H145))+($G206*$H145*H141*1000))/Q44</f>
        <v>81.138830055021046</v>
      </c>
      <c r="D214" s="12"/>
      <c r="E214" s="71"/>
      <c r="F214" s="71" t="s">
        <v>103</v>
      </c>
      <c r="G214" s="168"/>
      <c r="H214" s="168">
        <f>M214</f>
        <v>1.339</v>
      </c>
      <c r="I214" s="168">
        <f>N214</f>
        <v>4.7329999999999997</v>
      </c>
      <c r="J214" s="71"/>
      <c r="K214" s="180" t="s">
        <v>103</v>
      </c>
      <c r="L214" s="182">
        <f>ROUND(H139*D150*E145/$M$224,3)</f>
        <v>5.0659999999999998</v>
      </c>
      <c r="M214" s="71">
        <f>ROUND((P214-V214*(1-$X$211)*R214)/S214,$AA$210)</f>
        <v>1.339</v>
      </c>
      <c r="N214" s="92">
        <f>ROUND(M214+V214*(1-$X$211),$AA$210)</f>
        <v>4.7329999999999997</v>
      </c>
      <c r="O214" s="173"/>
      <c r="P214" s="182">
        <f>H139*D150*E145</f>
        <v>3071436.6266999999</v>
      </c>
      <c r="Q214" s="183">
        <f>$M$230</f>
        <v>150341.18034097413</v>
      </c>
      <c r="R214" s="183">
        <f>$M$224</f>
        <v>606342.76965902583</v>
      </c>
      <c r="S214" s="184">
        <f>Q214+R214</f>
        <v>756683.95</v>
      </c>
      <c r="T214" s="173">
        <v>0</v>
      </c>
      <c r="U214" s="173">
        <f>ROUND(H139*D150*E145/$M$224,3)</f>
        <v>5.0659999999999998</v>
      </c>
      <c r="V214" s="173">
        <f>U214-T214</f>
        <v>5.0659999999999998</v>
      </c>
      <c r="W214" s="173"/>
      <c r="X214" s="173"/>
      <c r="Y214" s="173"/>
      <c r="Z214" s="173"/>
      <c r="AA214" s="71"/>
      <c r="AB214" s="71"/>
    </row>
    <row r="215" spans="1:28" x14ac:dyDescent="0.2">
      <c r="A215" s="6"/>
      <c r="B215" s="99"/>
      <c r="C215" s="10"/>
      <c r="D215" s="71"/>
      <c r="E215" s="71"/>
      <c r="F215" s="71"/>
      <c r="G215" s="97"/>
      <c r="H215" s="97"/>
      <c r="I215" s="71"/>
      <c r="J215" s="71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  <c r="X215" s="173"/>
      <c r="Y215" s="173"/>
      <c r="Z215" s="173"/>
      <c r="AA215" s="71"/>
      <c r="AB215" s="71"/>
    </row>
    <row r="216" spans="1:28" x14ac:dyDescent="0.2">
      <c r="A216" s="6"/>
      <c r="B216" s="99"/>
      <c r="C216" s="10"/>
      <c r="D216" s="71"/>
      <c r="E216" s="71"/>
      <c r="F216" s="71"/>
      <c r="G216" s="71"/>
      <c r="H216" s="71"/>
      <c r="I216" s="71"/>
      <c r="J216" s="71"/>
      <c r="K216" s="185" t="s">
        <v>135</v>
      </c>
      <c r="L216" s="173"/>
      <c r="M216" s="186"/>
      <c r="N216" s="173"/>
      <c r="O216" s="173"/>
      <c r="P216" s="173"/>
      <c r="Q216" s="173"/>
      <c r="R216" s="173"/>
      <c r="S216" s="173"/>
      <c r="T216" s="173"/>
      <c r="U216" s="173"/>
      <c r="V216" s="173"/>
      <c r="W216" s="173"/>
      <c r="X216" s="173"/>
      <c r="Y216" s="173"/>
      <c r="Z216" s="173"/>
      <c r="AA216" s="71"/>
      <c r="AB216" s="71"/>
    </row>
    <row r="217" spans="1:28" x14ac:dyDescent="0.2">
      <c r="A217" s="6"/>
      <c r="B217" s="99"/>
      <c r="C217" s="10"/>
      <c r="D217" s="71"/>
      <c r="E217" s="71"/>
      <c r="F217" s="71"/>
      <c r="G217" s="96"/>
      <c r="H217" s="96"/>
      <c r="I217" s="71"/>
      <c r="J217" s="71"/>
      <c r="K217" s="180" t="s">
        <v>137</v>
      </c>
      <c r="L217" s="187">
        <f>+C147/1000/12</f>
        <v>3.545666666666667</v>
      </c>
      <c r="M217" s="186" t="s">
        <v>138</v>
      </c>
      <c r="N217" s="173"/>
      <c r="O217" s="173"/>
      <c r="P217" s="188">
        <f>P213+P214</f>
        <v>4773725.9896999998</v>
      </c>
      <c r="Q217" s="173"/>
      <c r="R217" s="173"/>
      <c r="S217" s="173"/>
      <c r="T217" s="173"/>
      <c r="U217" s="173"/>
      <c r="V217" s="173"/>
      <c r="W217" s="173"/>
      <c r="X217" s="173"/>
      <c r="Y217" s="173"/>
      <c r="Z217" s="173"/>
      <c r="AA217" s="71"/>
      <c r="AB217" s="71"/>
    </row>
    <row r="218" spans="1:28" x14ac:dyDescent="0.2">
      <c r="A218" s="6"/>
      <c r="B218" s="71" t="s">
        <v>150</v>
      </c>
      <c r="C218" s="12">
        <f>(C206*H56+($H213*($M$229/4*H144)+$H214*($M$230/8*H145)+$I213*($M$223/4*H144)+$I214*($M$224/8*H145))+($G206*$H146*H141*1000))/H56</f>
        <v>75.78888193584028</v>
      </c>
      <c r="D218" s="71"/>
      <c r="E218" s="71"/>
      <c r="F218" s="71"/>
      <c r="G218" s="71"/>
      <c r="H218" s="71"/>
      <c r="I218" s="71"/>
      <c r="J218" s="71"/>
      <c r="K218" s="173"/>
      <c r="L218" s="173"/>
      <c r="M218" s="173"/>
      <c r="N218" s="173"/>
      <c r="O218" s="173"/>
      <c r="P218" s="173"/>
      <c r="Q218" s="173"/>
      <c r="R218" s="173"/>
      <c r="S218" s="173"/>
      <c r="T218" s="173"/>
      <c r="U218" s="173"/>
      <c r="V218" s="173"/>
      <c r="W218" s="173"/>
      <c r="X218" s="173"/>
      <c r="Y218" s="173"/>
      <c r="Z218" s="173"/>
      <c r="AA218" s="71"/>
      <c r="AB218" s="71"/>
    </row>
    <row r="219" spans="1:28" x14ac:dyDescent="0.2">
      <c r="A219" s="6"/>
      <c r="B219" s="71"/>
      <c r="C219" s="82"/>
      <c r="D219" s="82"/>
      <c r="E219" s="71"/>
      <c r="F219" s="71"/>
      <c r="G219" s="71"/>
      <c r="H219" s="71"/>
      <c r="I219" s="71"/>
      <c r="J219" s="71"/>
      <c r="K219" s="71"/>
      <c r="L219" s="173"/>
      <c r="M219" s="173"/>
      <c r="N219" s="173"/>
      <c r="O219" s="173"/>
      <c r="P219" s="173"/>
      <c r="Q219" s="173"/>
      <c r="R219" s="173"/>
      <c r="S219" s="173"/>
      <c r="T219" s="173"/>
      <c r="U219" s="173"/>
      <c r="V219" s="173"/>
      <c r="W219" s="173"/>
      <c r="X219" s="173"/>
      <c r="Y219" s="173"/>
      <c r="Z219" s="173"/>
      <c r="AA219" s="173"/>
      <c r="AB219" s="71"/>
    </row>
    <row r="220" spans="1:28" ht="13.5" thickBot="1" x14ac:dyDescent="0.25">
      <c r="A220" s="6"/>
      <c r="B220" s="13" t="s">
        <v>151</v>
      </c>
      <c r="C220" s="10"/>
      <c r="D220" s="10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</row>
    <row r="221" spans="1:28" x14ac:dyDescent="0.2">
      <c r="A221" s="6"/>
      <c r="B221" s="76" t="s">
        <v>152</v>
      </c>
      <c r="C221" s="11">
        <f>(+SUMPRODUCT(C192:G192,C56:G56)+SUMPRODUCT(C218,H56))/1000</f>
        <v>89716.283408878575</v>
      </c>
      <c r="D221" s="71"/>
      <c r="E221" s="71"/>
      <c r="F221" s="71"/>
      <c r="G221" s="71"/>
      <c r="H221" s="71"/>
      <c r="I221" s="71"/>
      <c r="J221" s="71"/>
      <c r="K221" s="71"/>
      <c r="L221" s="189" t="s">
        <v>153</v>
      </c>
      <c r="M221" s="190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</row>
    <row r="222" spans="1:28" x14ac:dyDescent="0.2">
      <c r="A222" s="6"/>
      <c r="B222" s="71"/>
      <c r="C222" s="76" t="s">
        <v>154</v>
      </c>
      <c r="D222" s="12">
        <f>+C221/SUM(C56:H56)*1000</f>
        <v>86.685712749444377</v>
      </c>
      <c r="E222" s="71" t="s">
        <v>155</v>
      </c>
      <c r="F222" s="71"/>
      <c r="G222" s="71"/>
      <c r="H222" s="71"/>
      <c r="I222" s="71"/>
      <c r="J222" s="71"/>
      <c r="K222" s="71"/>
      <c r="L222" s="191"/>
      <c r="M222" s="192" t="s">
        <v>156</v>
      </c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</row>
    <row r="223" spans="1:28" x14ac:dyDescent="0.2">
      <c r="A223" s="6"/>
      <c r="B223" s="71"/>
      <c r="C223" s="76" t="s">
        <v>157</v>
      </c>
      <c r="D223" s="12">
        <f>+C221/SUMPRODUCT(C56:H56,C81:H81)*1000</f>
        <v>80.643487224650897</v>
      </c>
      <c r="E223" s="71" t="s">
        <v>158</v>
      </c>
      <c r="F223" s="71"/>
      <c r="G223" s="71"/>
      <c r="H223" s="71"/>
      <c r="I223" s="71"/>
      <c r="J223" s="71"/>
      <c r="K223" s="71"/>
      <c r="L223" s="191" t="s">
        <v>68</v>
      </c>
      <c r="M223" s="193">
        <v>341438.25299470645</v>
      </c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</row>
    <row r="224" spans="1:28" ht="13.5" thickBot="1" x14ac:dyDescent="0.25">
      <c r="A224" s="6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194" t="s">
        <v>61</v>
      </c>
      <c r="M224" s="195">
        <v>606342.76965902583</v>
      </c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</row>
    <row r="225" spans="1:28" x14ac:dyDescent="0.2">
      <c r="A225" s="6"/>
      <c r="B225" s="71"/>
      <c r="C225" s="71"/>
      <c r="D225" s="71"/>
      <c r="E225" s="10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</row>
    <row r="226" spans="1:28" ht="13.5" thickBot="1" x14ac:dyDescent="0.25">
      <c r="A226" s="156" t="s">
        <v>159</v>
      </c>
      <c r="B226" s="13" t="s">
        <v>160</v>
      </c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</row>
    <row r="227" spans="1:28" x14ac:dyDescent="0.2">
      <c r="A227" s="6"/>
      <c r="B227" s="13"/>
      <c r="C227" s="71"/>
      <c r="D227" s="71"/>
      <c r="E227" s="71"/>
      <c r="F227" s="71"/>
      <c r="G227" s="71"/>
      <c r="H227" s="71"/>
      <c r="I227" s="71"/>
      <c r="J227" s="71"/>
      <c r="K227" s="71"/>
      <c r="L227" s="189" t="s">
        <v>153</v>
      </c>
      <c r="M227" s="190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</row>
    <row r="228" spans="1:28" x14ac:dyDescent="0.2">
      <c r="A228" s="6"/>
      <c r="B228" s="13" t="s">
        <v>161</v>
      </c>
      <c r="C228" s="71"/>
      <c r="D228" s="71"/>
      <c r="E228" s="71"/>
      <c r="F228" s="71"/>
      <c r="G228" s="71"/>
      <c r="H228" s="71"/>
      <c r="I228" s="71"/>
      <c r="J228" s="71"/>
      <c r="K228" s="71"/>
      <c r="L228" s="191"/>
      <c r="M228" s="192" t="s">
        <v>162</v>
      </c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</row>
    <row r="229" spans="1:28" x14ac:dyDescent="0.2">
      <c r="A229" s="6"/>
      <c r="B229" s="7" t="s">
        <v>163</v>
      </c>
      <c r="C229" s="71"/>
      <c r="D229" s="71"/>
      <c r="E229" s="71"/>
      <c r="F229" s="71"/>
      <c r="G229" s="71"/>
      <c r="H229" s="71"/>
      <c r="I229" s="71"/>
      <c r="J229" s="71"/>
      <c r="K229" s="71"/>
      <c r="L229" s="191" t="s">
        <v>68</v>
      </c>
      <c r="M229" s="193">
        <v>72672.947005293594</v>
      </c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</row>
    <row r="230" spans="1:28" ht="13.5" thickBot="1" x14ac:dyDescent="0.25">
      <c r="A230" s="6"/>
      <c r="B230" s="13"/>
      <c r="C230" s="71"/>
      <c r="D230" s="71"/>
      <c r="E230" s="71"/>
      <c r="F230" s="71"/>
      <c r="G230" s="71"/>
      <c r="H230" s="71"/>
      <c r="I230" s="71"/>
      <c r="J230" s="71"/>
      <c r="K230" s="71"/>
      <c r="L230" s="194" t="s">
        <v>61</v>
      </c>
      <c r="M230" s="195">
        <v>150341.18034097413</v>
      </c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</row>
    <row r="231" spans="1:28" x14ac:dyDescent="0.2">
      <c r="A231" s="6"/>
      <c r="B231" s="71"/>
      <c r="C231" s="22" t="str">
        <f t="shared" ref="C231" si="43">+C6</f>
        <v>SC1/SC5</v>
      </c>
      <c r="D231" s="22" t="str">
        <f>+D6</f>
        <v>SC3</v>
      </c>
      <c r="E231" s="22" t="str">
        <f>+E6</f>
        <v>SC2 ND</v>
      </c>
      <c r="F231" s="22" t="str">
        <f>+F6</f>
        <v>SC4</v>
      </c>
      <c r="G231" s="22" t="str">
        <f>+G6</f>
        <v>SC6</v>
      </c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</row>
    <row r="232" spans="1:28" x14ac:dyDescent="0.2">
      <c r="A232" s="6"/>
      <c r="B232" s="71"/>
      <c r="C232" s="26"/>
      <c r="D232" s="26"/>
      <c r="E232" s="26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</row>
    <row r="233" spans="1:28" x14ac:dyDescent="0.2">
      <c r="A233" s="6"/>
      <c r="B233" s="98" t="s">
        <v>63</v>
      </c>
      <c r="C233" s="14">
        <f>ROUND(+C181/$D$223,3)</f>
        <v>1.0609999999999999</v>
      </c>
      <c r="D233" s="196"/>
      <c r="E233" s="14">
        <f>ROUND(+E181/$D$223,3)</f>
        <v>0.84</v>
      </c>
      <c r="F233" s="14">
        <f>ROUND(+F181/$D$223,3)</f>
        <v>0.52300000000000002</v>
      </c>
      <c r="G233" s="14">
        <f>ROUND(+G181/$D$223,3)</f>
        <v>0.52200000000000002</v>
      </c>
      <c r="H233" s="103"/>
      <c r="I233" s="103"/>
      <c r="J233" s="103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</row>
    <row r="234" spans="1:28" x14ac:dyDescent="0.2">
      <c r="A234" s="6"/>
      <c r="B234" s="99" t="s">
        <v>78</v>
      </c>
      <c r="C234" s="196"/>
      <c r="D234" s="14">
        <f>ROUND(+D182/$D$223,3)</f>
        <v>1.484</v>
      </c>
      <c r="E234" s="196"/>
      <c r="F234" s="196"/>
      <c r="G234" s="196"/>
      <c r="H234" s="103"/>
      <c r="I234" s="103"/>
      <c r="J234" s="103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</row>
    <row r="235" spans="1:28" x14ac:dyDescent="0.2">
      <c r="A235" s="6"/>
      <c r="B235" s="99" t="s">
        <v>79</v>
      </c>
      <c r="C235" s="196"/>
      <c r="D235" s="14">
        <f>ROUND(+D183/$D$223,3)</f>
        <v>0.65800000000000003</v>
      </c>
      <c r="E235" s="196"/>
      <c r="F235" s="196"/>
      <c r="G235" s="196"/>
      <c r="H235" s="103"/>
      <c r="I235" s="103"/>
      <c r="J235" s="103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</row>
    <row r="236" spans="1:28" x14ac:dyDescent="0.2">
      <c r="A236" s="6"/>
      <c r="B236" s="99"/>
      <c r="C236" s="196"/>
      <c r="D236" s="197"/>
      <c r="E236" s="196"/>
      <c r="F236" s="196"/>
      <c r="G236" s="196"/>
      <c r="H236" s="103"/>
      <c r="I236" s="103"/>
      <c r="J236" s="103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</row>
    <row r="237" spans="1:28" x14ac:dyDescent="0.2">
      <c r="A237" s="6"/>
      <c r="B237" s="15"/>
      <c r="C237" s="71"/>
      <c r="D237" s="197"/>
      <c r="E237" s="196"/>
      <c r="F237" s="196"/>
      <c r="G237" s="196"/>
      <c r="H237" s="103"/>
      <c r="I237" s="103"/>
      <c r="J237" s="103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</row>
    <row r="238" spans="1:28" x14ac:dyDescent="0.2">
      <c r="A238" s="6"/>
      <c r="B238" s="16" t="s">
        <v>164</v>
      </c>
      <c r="C238" s="17">
        <f>C184-C181</f>
        <v>-19.460189999999997</v>
      </c>
      <c r="D238" s="197"/>
      <c r="E238" s="196"/>
      <c r="F238" s="196"/>
      <c r="G238" s="196"/>
      <c r="H238" s="103"/>
      <c r="I238" s="103"/>
      <c r="J238" s="103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</row>
    <row r="239" spans="1:28" x14ac:dyDescent="0.2">
      <c r="A239" s="6"/>
      <c r="B239" s="16" t="s">
        <v>165</v>
      </c>
      <c r="C239" s="17">
        <f>C185-C181</f>
        <v>14.149810000000016</v>
      </c>
      <c r="D239" s="197"/>
      <c r="E239" s="196"/>
      <c r="F239" s="196"/>
      <c r="G239" s="196"/>
      <c r="H239" s="103"/>
      <c r="I239" s="103"/>
      <c r="J239" s="103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</row>
    <row r="240" spans="1:28" x14ac:dyDescent="0.2">
      <c r="A240" s="6"/>
      <c r="B240" s="196"/>
      <c r="C240" s="196"/>
      <c r="D240" s="197"/>
      <c r="E240" s="196"/>
      <c r="F240" s="196"/>
      <c r="G240" s="196"/>
      <c r="H240" s="103"/>
      <c r="I240" s="103"/>
      <c r="J240" s="103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</row>
    <row r="241" spans="1:28" x14ac:dyDescent="0.2">
      <c r="A241" s="6"/>
      <c r="B241" s="71"/>
      <c r="C241" s="196"/>
      <c r="D241" s="196"/>
      <c r="E241" s="196"/>
      <c r="F241" s="196"/>
      <c r="G241" s="196"/>
      <c r="H241" s="103"/>
      <c r="I241" s="103"/>
      <c r="J241" s="103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</row>
    <row r="242" spans="1:28" x14ac:dyDescent="0.2">
      <c r="A242" s="6"/>
      <c r="B242" s="98" t="s">
        <v>69</v>
      </c>
      <c r="C242" s="14">
        <f>ROUND(+C188/$D$223,3)</f>
        <v>1.232</v>
      </c>
      <c r="D242" s="198"/>
      <c r="E242" s="14">
        <f>ROUND(+E188/$D$223,3)</f>
        <v>0.89500000000000002</v>
      </c>
      <c r="F242" s="14">
        <f>ROUND(+F188/$D$223,3)</f>
        <v>0.624</v>
      </c>
      <c r="G242" s="14">
        <f>ROUND(+G188/$D$223,3)</f>
        <v>0.62</v>
      </c>
      <c r="H242" s="103"/>
      <c r="I242" s="103"/>
      <c r="J242" s="103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</row>
    <row r="243" spans="1:28" x14ac:dyDescent="0.2">
      <c r="A243" s="6"/>
      <c r="B243" s="99" t="s">
        <v>78</v>
      </c>
      <c r="C243" s="196"/>
      <c r="D243" s="14">
        <f>ROUND(+D189/$D$223,3)</f>
        <v>1.415</v>
      </c>
      <c r="E243" s="196"/>
      <c r="F243" s="196"/>
      <c r="G243" s="196"/>
      <c r="H243" s="103"/>
      <c r="I243" s="103"/>
      <c r="J243" s="103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</row>
    <row r="244" spans="1:28" x14ac:dyDescent="0.2">
      <c r="A244" s="6"/>
      <c r="B244" s="99" t="s">
        <v>79</v>
      </c>
      <c r="C244" s="196"/>
      <c r="D244" s="14">
        <f>ROUND(+D190/$D$223,3)</f>
        <v>0.77600000000000002</v>
      </c>
      <c r="E244" s="196"/>
      <c r="F244" s="196"/>
      <c r="G244" s="196"/>
      <c r="H244" s="103"/>
      <c r="I244" s="103"/>
      <c r="J244" s="103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</row>
    <row r="245" spans="1:28" x14ac:dyDescent="0.2">
      <c r="A245" s="6"/>
      <c r="B245" s="71"/>
      <c r="C245" s="103"/>
      <c r="D245" s="103"/>
      <c r="E245" s="103"/>
      <c r="F245" s="103"/>
      <c r="G245" s="103"/>
      <c r="H245" s="103"/>
      <c r="I245" s="103"/>
      <c r="J245" s="103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</row>
    <row r="246" spans="1:28" x14ac:dyDescent="0.2">
      <c r="A246" s="6"/>
      <c r="B246" s="71" t="s">
        <v>166</v>
      </c>
      <c r="C246" s="199">
        <f t="shared" ref="C246" si="44">ROUND(+C192/$D$223,3)</f>
        <v>1.1579999999999999</v>
      </c>
      <c r="D246" s="199">
        <f>ROUND(+D192/$D$223,3)</f>
        <v>0.997</v>
      </c>
      <c r="E246" s="199">
        <f>ROUND(+E192/$D$223,3)</f>
        <v>0.878</v>
      </c>
      <c r="F246" s="199">
        <f>ROUND(+F192/$D$223,3)</f>
        <v>0.59599999999999997</v>
      </c>
      <c r="G246" s="199">
        <f>ROUND(+G192/$D$223,3)</f>
        <v>0.59199999999999997</v>
      </c>
      <c r="H246" s="103"/>
      <c r="I246" s="103"/>
      <c r="J246" s="103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</row>
    <row r="247" spans="1:28" x14ac:dyDescent="0.2">
      <c r="A247" s="6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</row>
    <row r="248" spans="1:28" x14ac:dyDescent="0.2">
      <c r="A248" s="156" t="s">
        <v>159</v>
      </c>
      <c r="B248" s="171" t="s">
        <v>139</v>
      </c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</row>
    <row r="249" spans="1:28" x14ac:dyDescent="0.2">
      <c r="A249" s="156"/>
      <c r="B249" s="1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</row>
    <row r="250" spans="1:28" x14ac:dyDescent="0.2">
      <c r="A250" s="6"/>
      <c r="B250" s="13" t="s">
        <v>167</v>
      </c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</row>
    <row r="251" spans="1:28" x14ac:dyDescent="0.2">
      <c r="A251" s="6"/>
      <c r="B251" s="7" t="s">
        <v>168</v>
      </c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</row>
    <row r="252" spans="1:28" x14ac:dyDescent="0.2">
      <c r="A252" s="6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</row>
    <row r="253" spans="1:28" x14ac:dyDescent="0.2">
      <c r="A253" s="6"/>
      <c r="B253" s="71"/>
      <c r="C253" s="15" t="str">
        <f>+H6</f>
        <v>SC2 Dem</v>
      </c>
      <c r="D253" s="15" t="str">
        <f>+C253</f>
        <v>SC2 Dem</v>
      </c>
      <c r="E253" s="26"/>
      <c r="F253" s="26"/>
      <c r="G253" s="200" t="s">
        <v>131</v>
      </c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</row>
    <row r="254" spans="1:28" x14ac:dyDescent="0.2">
      <c r="A254" s="6"/>
      <c r="B254" s="71"/>
      <c r="C254" s="22" t="s">
        <v>169</v>
      </c>
      <c r="D254" s="22" t="s">
        <v>170</v>
      </c>
      <c r="E254" s="26"/>
      <c r="F254" s="26"/>
      <c r="G254" s="147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</row>
    <row r="255" spans="1:28" x14ac:dyDescent="0.2">
      <c r="A255" s="6"/>
      <c r="B255" s="98" t="s">
        <v>63</v>
      </c>
      <c r="C255" s="14">
        <f>ROUND(+C210/$D$223,3)</f>
        <v>0.92</v>
      </c>
      <c r="D255" s="201">
        <f>+C198-C210</f>
        <v>-27.813868470825597</v>
      </c>
      <c r="E255" s="71"/>
      <c r="F255" s="109"/>
      <c r="G255" s="175" t="s">
        <v>132</v>
      </c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</row>
    <row r="256" spans="1:28" x14ac:dyDescent="0.2">
      <c r="A256" s="6"/>
      <c r="B256" s="202"/>
      <c r="C256" s="196"/>
      <c r="D256" s="13"/>
      <c r="E256" s="197"/>
      <c r="F256" s="203"/>
      <c r="G256" s="147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</row>
    <row r="257" spans="1:28" x14ac:dyDescent="0.2">
      <c r="A257" s="6"/>
      <c r="B257" s="99"/>
      <c r="C257" s="196"/>
      <c r="D257" s="13"/>
      <c r="E257" s="197"/>
      <c r="F257" s="203"/>
      <c r="G257" s="147"/>
      <c r="H257" s="22"/>
      <c r="I257" s="15" t="s">
        <v>133</v>
      </c>
      <c r="J257" s="15" t="s">
        <v>134</v>
      </c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</row>
    <row r="258" spans="1:28" x14ac:dyDescent="0.2">
      <c r="A258" s="6"/>
      <c r="B258" s="71"/>
      <c r="C258" s="196"/>
      <c r="D258" s="13"/>
      <c r="E258" s="196"/>
      <c r="F258" s="203"/>
      <c r="G258" s="147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</row>
    <row r="259" spans="1:28" x14ac:dyDescent="0.2">
      <c r="A259" s="6"/>
      <c r="B259" s="98" t="s">
        <v>69</v>
      </c>
      <c r="C259" s="14">
        <f>ROUND(+C214/$D$223,3)</f>
        <v>1.006</v>
      </c>
      <c r="D259" s="201">
        <f>+C202-C214</f>
        <v>-28.831010981683676</v>
      </c>
      <c r="E259" s="197"/>
      <c r="F259" s="203"/>
      <c r="G259" s="204" t="s">
        <v>97</v>
      </c>
      <c r="H259" s="100"/>
      <c r="I259" s="81">
        <f>M213</f>
        <v>1.3560000000000001</v>
      </c>
      <c r="J259" s="81">
        <f>N213</f>
        <v>4.6970000000000001</v>
      </c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</row>
    <row r="260" spans="1:28" x14ac:dyDescent="0.2">
      <c r="A260" s="6"/>
      <c r="B260" s="202"/>
      <c r="C260" s="196"/>
      <c r="D260" s="71"/>
      <c r="E260" s="197"/>
      <c r="F260" s="203"/>
      <c r="G260" s="204" t="s">
        <v>103</v>
      </c>
      <c r="H260" s="100"/>
      <c r="I260" s="81">
        <f>M214</f>
        <v>1.339</v>
      </c>
      <c r="J260" s="81">
        <f>N214</f>
        <v>4.7329999999999997</v>
      </c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</row>
    <row r="261" spans="1:28" x14ac:dyDescent="0.2">
      <c r="A261" s="6"/>
      <c r="B261" s="99"/>
      <c r="C261" s="196"/>
      <c r="D261" s="71"/>
      <c r="E261" s="197"/>
      <c r="F261" s="203"/>
      <c r="G261" s="204"/>
      <c r="H261" s="81"/>
      <c r="I261" s="95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</row>
    <row r="262" spans="1:28" x14ac:dyDescent="0.2">
      <c r="A262" s="6"/>
      <c r="B262" s="71"/>
      <c r="C262" s="103"/>
      <c r="D262" s="71"/>
      <c r="E262" s="103"/>
      <c r="F262" s="71"/>
      <c r="G262" s="205" t="s">
        <v>135</v>
      </c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</row>
    <row r="263" spans="1:28" x14ac:dyDescent="0.2">
      <c r="A263" s="6"/>
      <c r="B263" s="71" t="s">
        <v>150</v>
      </c>
      <c r="C263" s="199">
        <f>ROUND(+C218/$D$223,3)</f>
        <v>0.94</v>
      </c>
      <c r="D263" s="71"/>
      <c r="E263" s="103"/>
      <c r="F263" s="71"/>
      <c r="G263" s="204" t="s">
        <v>137</v>
      </c>
      <c r="H263" s="100">
        <f>+G206</f>
        <v>3.545666666666667</v>
      </c>
      <c r="I263" s="95" t="s">
        <v>138</v>
      </c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</row>
    <row r="264" spans="1:28" x14ac:dyDescent="0.2">
      <c r="A264" s="6"/>
      <c r="B264" s="71"/>
      <c r="C264" s="103"/>
      <c r="D264" s="71"/>
      <c r="E264" s="103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</row>
    <row r="265" spans="1:28" x14ac:dyDescent="0.2">
      <c r="A265" s="6"/>
      <c r="B265" s="71"/>
      <c r="C265" s="103"/>
      <c r="D265" s="71"/>
      <c r="E265" s="103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</row>
    <row r="266" spans="1:28" x14ac:dyDescent="0.2">
      <c r="A266" s="156" t="s">
        <v>171</v>
      </c>
      <c r="B266" s="18" t="s">
        <v>172</v>
      </c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</row>
    <row r="267" spans="1:28" x14ac:dyDescent="0.2">
      <c r="A267" s="6"/>
      <c r="B267" s="13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</row>
    <row r="268" spans="1:28" x14ac:dyDescent="0.2">
      <c r="A268" s="6"/>
      <c r="B268" s="13" t="s">
        <v>161</v>
      </c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</row>
    <row r="269" spans="1:28" x14ac:dyDescent="0.2">
      <c r="A269" s="6"/>
      <c r="B269" s="2" t="s">
        <v>173</v>
      </c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</row>
    <row r="270" spans="1:28" x14ac:dyDescent="0.2">
      <c r="A270" s="6"/>
      <c r="B270" s="7" t="s">
        <v>60</v>
      </c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</row>
    <row r="271" spans="1:28" x14ac:dyDescent="0.2">
      <c r="A271" s="6"/>
      <c r="B271" s="71"/>
      <c r="C271" s="22" t="str">
        <f t="shared" ref="C271" si="45">+C6</f>
        <v>SC1/SC5</v>
      </c>
      <c r="D271" s="22" t="str">
        <f>+D6</f>
        <v>SC3</v>
      </c>
      <c r="E271" s="22" t="str">
        <f>+E6</f>
        <v>SC2 ND</v>
      </c>
      <c r="F271" s="22" t="str">
        <f>+F6</f>
        <v>SC4</v>
      </c>
      <c r="G271" s="22" t="str">
        <f>+G6</f>
        <v>SC6</v>
      </c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</row>
    <row r="272" spans="1:28" x14ac:dyDescent="0.2">
      <c r="A272" s="6"/>
      <c r="B272" s="71"/>
      <c r="C272" s="26"/>
      <c r="D272" s="10"/>
      <c r="E272" s="26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</row>
    <row r="273" spans="1:28" x14ac:dyDescent="0.2">
      <c r="A273" s="6"/>
      <c r="B273" s="98" t="s">
        <v>63</v>
      </c>
      <c r="C273" s="12">
        <f t="shared" ref="C273" si="46">C181-C$167</f>
        <v>68.2125987594344</v>
      </c>
      <c r="D273" s="12">
        <f>D181-D$167</f>
        <v>66.69900395180909</v>
      </c>
      <c r="E273" s="12">
        <f>E181-E$167</f>
        <v>58.588832660078637</v>
      </c>
      <c r="F273" s="12">
        <f>F181-F$167</f>
        <v>42.139679984170058</v>
      </c>
      <c r="G273" s="12">
        <f>G181-G$167</f>
        <v>42.09347309182003</v>
      </c>
      <c r="H273" s="10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</row>
    <row r="274" spans="1:28" x14ac:dyDescent="0.2">
      <c r="A274" s="6"/>
      <c r="B274" s="99" t="s">
        <v>78</v>
      </c>
      <c r="C274" s="10"/>
      <c r="D274" s="12">
        <f>D182-D$167</f>
        <v>107.84932098153934</v>
      </c>
      <c r="E274" s="10"/>
      <c r="F274" s="10"/>
      <c r="G274" s="10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</row>
    <row r="275" spans="1:28" x14ac:dyDescent="0.2">
      <c r="A275" s="6"/>
      <c r="B275" s="99" t="s">
        <v>79</v>
      </c>
      <c r="C275" s="10"/>
      <c r="D275" s="12">
        <f>D183-D$167</f>
        <v>41.228618779652109</v>
      </c>
      <c r="E275" s="10"/>
      <c r="F275" s="10"/>
      <c r="G275" s="10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</row>
    <row r="276" spans="1:28" x14ac:dyDescent="0.2">
      <c r="A276" s="6"/>
      <c r="B276" s="76" t="s">
        <v>127</v>
      </c>
      <c r="C276" s="10">
        <f>(C273*SUM(C49:C52)-C158*10*E157*SUM(C49:C52))/SUM(C49:C52)</f>
        <v>48.752408759434395</v>
      </c>
      <c r="D276" s="12"/>
      <c r="E276" s="10"/>
      <c r="F276" s="10"/>
      <c r="G276" s="10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</row>
    <row r="277" spans="1:28" x14ac:dyDescent="0.2">
      <c r="A277" s="6"/>
      <c r="B277" s="76" t="s">
        <v>128</v>
      </c>
      <c r="C277" s="10">
        <f>C276+C158*10</f>
        <v>82.362408759434402</v>
      </c>
      <c r="D277" s="12"/>
      <c r="E277" s="10"/>
      <c r="F277" s="10"/>
      <c r="G277" s="10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</row>
    <row r="278" spans="1:28" x14ac:dyDescent="0.2">
      <c r="A278" s="6"/>
      <c r="B278" s="10"/>
      <c r="C278" s="10"/>
      <c r="D278" s="12"/>
      <c r="E278" s="10"/>
      <c r="F278" s="10"/>
      <c r="G278" s="10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</row>
    <row r="279" spans="1:28" x14ac:dyDescent="0.2">
      <c r="A279" s="6"/>
      <c r="B279" s="71"/>
      <c r="C279" s="10"/>
      <c r="D279" s="10"/>
      <c r="E279" s="10"/>
      <c r="F279" s="10"/>
      <c r="G279" s="10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</row>
    <row r="280" spans="1:28" x14ac:dyDescent="0.2">
      <c r="A280" s="6"/>
      <c r="B280" s="98" t="s">
        <v>69</v>
      </c>
      <c r="C280" s="12">
        <f t="shared" ref="C280" si="47">C188-C$167</f>
        <v>82.025079815425144</v>
      </c>
      <c r="D280" s="12">
        <f>D188-D$167</f>
        <v>69.372380251781095</v>
      </c>
      <c r="E280" s="12">
        <f>E188-E$167</f>
        <v>63.014814630612364</v>
      </c>
      <c r="F280" s="12">
        <f>F188-F$167</f>
        <v>50.359095252105789</v>
      </c>
      <c r="G280" s="12">
        <f>G188-G$167</f>
        <v>49.986393578946675</v>
      </c>
      <c r="H280" s="10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</row>
    <row r="281" spans="1:28" x14ac:dyDescent="0.2">
      <c r="A281" s="6"/>
      <c r="B281" s="99" t="s">
        <v>78</v>
      </c>
      <c r="C281" s="10"/>
      <c r="D281" s="12">
        <f>D189-D$167</f>
        <v>102.32691968345269</v>
      </c>
      <c r="E281" s="10"/>
      <c r="F281" s="10"/>
      <c r="G281" s="10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</row>
    <row r="282" spans="1:28" x14ac:dyDescent="0.2">
      <c r="A282" s="6"/>
      <c r="B282" s="99" t="s">
        <v>79</v>
      </c>
      <c r="C282" s="10"/>
      <c r="D282" s="12">
        <f>D190-D$167</f>
        <v>50.768473840376117</v>
      </c>
      <c r="E282" s="10"/>
      <c r="F282" s="10"/>
      <c r="G282" s="10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</row>
    <row r="283" spans="1:28" x14ac:dyDescent="0.2">
      <c r="A283" s="6"/>
      <c r="B283" s="71"/>
      <c r="C283" s="10"/>
      <c r="D283" s="10"/>
      <c r="E283" s="10"/>
      <c r="F283" s="10"/>
      <c r="G283" s="10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</row>
    <row r="284" spans="1:28" x14ac:dyDescent="0.2">
      <c r="A284" s="6"/>
      <c r="B284" s="71" t="s">
        <v>129</v>
      </c>
      <c r="C284" s="12">
        <f t="shared" ref="C284" si="48">C192-C$167</f>
        <v>76.073583378172827</v>
      </c>
      <c r="D284" s="12">
        <f>D192-D$167</f>
        <v>68.574080384428342</v>
      </c>
      <c r="E284" s="12">
        <f>E192-E$167</f>
        <v>61.641159616446103</v>
      </c>
      <c r="F284" s="12">
        <f>F192-F$167</f>
        <v>48.032421655756366</v>
      </c>
      <c r="G284" s="12">
        <f>G192-G$167</f>
        <v>47.727990240496773</v>
      </c>
      <c r="H284" s="10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</row>
    <row r="285" spans="1:28" x14ac:dyDescent="0.2">
      <c r="A285" s="6"/>
      <c r="B285" s="71"/>
      <c r="C285" s="10"/>
      <c r="D285" s="10"/>
      <c r="E285" s="10"/>
      <c r="F285" s="10"/>
      <c r="G285" s="10"/>
      <c r="H285" s="10"/>
      <c r="I285" s="10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</row>
    <row r="286" spans="1:28" x14ac:dyDescent="0.2">
      <c r="A286" s="156" t="s">
        <v>171</v>
      </c>
      <c r="B286" s="171" t="s">
        <v>139</v>
      </c>
      <c r="C286" s="10"/>
      <c r="D286" s="10"/>
      <c r="E286" s="10"/>
      <c r="F286" s="10"/>
      <c r="G286" s="10"/>
      <c r="H286" s="10"/>
      <c r="I286" s="10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</row>
    <row r="287" spans="1:28" x14ac:dyDescent="0.2">
      <c r="A287" s="6"/>
      <c r="B287" s="71"/>
      <c r="C287" s="10"/>
      <c r="D287" s="10"/>
      <c r="E287" s="10"/>
      <c r="F287" s="10"/>
      <c r="G287" s="10"/>
      <c r="H287" s="10"/>
      <c r="I287" s="10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</row>
    <row r="288" spans="1:28" x14ac:dyDescent="0.2">
      <c r="A288" s="6"/>
      <c r="B288" s="13" t="s">
        <v>167</v>
      </c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</row>
    <row r="289" spans="1:28" x14ac:dyDescent="0.2">
      <c r="A289" s="6"/>
      <c r="B289" s="2" t="s">
        <v>174</v>
      </c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</row>
    <row r="290" spans="1:28" x14ac:dyDescent="0.2">
      <c r="A290" s="6"/>
      <c r="B290" s="6" t="s">
        <v>175</v>
      </c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</row>
    <row r="291" spans="1:28" x14ac:dyDescent="0.2">
      <c r="A291" s="6"/>
      <c r="B291" s="6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</row>
    <row r="292" spans="1:28" x14ac:dyDescent="0.2">
      <c r="A292" s="6"/>
      <c r="B292" s="71"/>
      <c r="C292" s="22" t="str">
        <f>+H6</f>
        <v>SC2 Dem</v>
      </c>
      <c r="D292" s="26"/>
      <c r="E292" s="26"/>
      <c r="F292" s="71"/>
      <c r="G292" s="13" t="s">
        <v>131</v>
      </c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</row>
    <row r="293" spans="1:28" x14ac:dyDescent="0.2">
      <c r="A293" s="6"/>
      <c r="B293" s="71"/>
      <c r="C293" s="26"/>
      <c r="D293" s="26"/>
      <c r="E293" s="71"/>
      <c r="F293" s="13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</row>
    <row r="294" spans="1:28" x14ac:dyDescent="0.2">
      <c r="A294" s="6"/>
      <c r="B294" s="98" t="s">
        <v>63</v>
      </c>
      <c r="C294" s="10">
        <f>C198</f>
        <v>46.36447344883733</v>
      </c>
      <c r="D294" s="10"/>
      <c r="E294" s="71"/>
      <c r="F294" s="71"/>
      <c r="G294" s="25" t="s">
        <v>132</v>
      </c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</row>
    <row r="295" spans="1:28" x14ac:dyDescent="0.2">
      <c r="A295" s="6"/>
      <c r="B295" s="99"/>
      <c r="C295" s="10"/>
      <c r="D295" s="10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</row>
    <row r="296" spans="1:28" x14ac:dyDescent="0.2">
      <c r="A296" s="6"/>
      <c r="B296" s="99"/>
      <c r="C296" s="10"/>
      <c r="D296" s="10"/>
      <c r="E296" s="71"/>
      <c r="F296" s="71"/>
      <c r="G296" s="71"/>
      <c r="H296" s="22"/>
      <c r="I296" s="22" t="str">
        <f t="shared" ref="I296:J296" si="49">I257</f>
        <v>&lt; 5 kW</v>
      </c>
      <c r="J296" s="22" t="str">
        <f t="shared" si="49"/>
        <v>&gt; 5 kW</v>
      </c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</row>
    <row r="297" spans="1:28" x14ac:dyDescent="0.2">
      <c r="A297" s="6"/>
      <c r="B297" s="71"/>
      <c r="C297" s="10"/>
      <c r="D297" s="10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</row>
    <row r="298" spans="1:28" x14ac:dyDescent="0.2">
      <c r="A298" s="6"/>
      <c r="B298" s="98" t="s">
        <v>69</v>
      </c>
      <c r="C298" s="10">
        <f>C202</f>
        <v>52.30781907333737</v>
      </c>
      <c r="D298" s="10"/>
      <c r="E298" s="71"/>
      <c r="F298" s="71"/>
      <c r="G298" s="76" t="s">
        <v>97</v>
      </c>
      <c r="H298" s="100"/>
      <c r="I298" s="100">
        <f t="shared" ref="I298:J299" si="50">I259</f>
        <v>1.3560000000000001</v>
      </c>
      <c r="J298" s="100">
        <f t="shared" si="50"/>
        <v>4.6970000000000001</v>
      </c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</row>
    <row r="299" spans="1:28" x14ac:dyDescent="0.2">
      <c r="A299" s="6"/>
      <c r="B299" s="99"/>
      <c r="C299" s="10"/>
      <c r="D299" s="10"/>
      <c r="E299" s="71"/>
      <c r="F299" s="71"/>
      <c r="G299" s="76" t="s">
        <v>103</v>
      </c>
      <c r="H299" s="100"/>
      <c r="I299" s="100">
        <f t="shared" si="50"/>
        <v>1.339</v>
      </c>
      <c r="J299" s="100">
        <f t="shared" si="50"/>
        <v>4.7329999999999997</v>
      </c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</row>
    <row r="300" spans="1:28" x14ac:dyDescent="0.2">
      <c r="A300" s="6"/>
      <c r="B300" s="99"/>
      <c r="C300" s="10"/>
      <c r="D300" s="10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</row>
    <row r="301" spans="1:28" x14ac:dyDescent="0.2">
      <c r="A301" s="6"/>
      <c r="B301" s="99"/>
      <c r="C301" s="10"/>
      <c r="D301" s="10"/>
      <c r="E301" s="71"/>
      <c r="F301" s="71"/>
      <c r="G301" s="169"/>
      <c r="H301" s="71"/>
      <c r="I301" s="95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</row>
    <row r="302" spans="1:28" ht="13.5" thickBot="1" x14ac:dyDescent="0.25">
      <c r="A302" s="6"/>
      <c r="B302" s="71" t="s">
        <v>136</v>
      </c>
      <c r="C302" s="10">
        <f>C206</f>
        <v>50.185594965410715</v>
      </c>
      <c r="D302" s="10"/>
      <c r="E302" s="71"/>
      <c r="F302" s="71"/>
      <c r="G302" s="76"/>
      <c r="H302" s="170"/>
      <c r="I302" s="95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</row>
    <row r="303" spans="1:28" x14ac:dyDescent="0.2">
      <c r="A303" s="6"/>
      <c r="B303" s="71"/>
      <c r="C303" s="10"/>
      <c r="D303" s="10"/>
      <c r="E303" s="71"/>
      <c r="F303" s="71"/>
      <c r="G303" s="71"/>
      <c r="H303" s="71"/>
      <c r="I303" s="71"/>
      <c r="J303" s="71"/>
      <c r="K303" s="189" t="s">
        <v>153</v>
      </c>
      <c r="L303" s="190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</row>
    <row r="304" spans="1:28" x14ac:dyDescent="0.2">
      <c r="A304" s="6"/>
      <c r="B304" s="206" t="s">
        <v>176</v>
      </c>
      <c r="C304" s="10"/>
      <c r="D304" s="10"/>
      <c r="E304" s="109"/>
      <c r="F304" s="71"/>
      <c r="G304" s="71"/>
      <c r="H304" s="71"/>
      <c r="I304" s="71"/>
      <c r="J304" s="71"/>
      <c r="K304" s="191"/>
      <c r="L304" s="192" t="s">
        <v>156</v>
      </c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</row>
    <row r="305" spans="1:28" x14ac:dyDescent="0.2">
      <c r="A305" s="6"/>
      <c r="B305" s="98" t="s">
        <v>63</v>
      </c>
      <c r="C305" s="12">
        <f>(C294*Q48+($I298*($L$305/4*H144))+($J298*($L$305/4*H144)))/Q48</f>
        <v>63.368693682767777</v>
      </c>
      <c r="D305" s="12"/>
      <c r="E305" s="94"/>
      <c r="F305" s="71"/>
      <c r="G305" s="71"/>
      <c r="H305" s="71"/>
      <c r="I305" s="71"/>
      <c r="J305" s="71"/>
      <c r="K305" s="191" t="s">
        <v>68</v>
      </c>
      <c r="L305" s="193">
        <v>341438.25299470645</v>
      </c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</row>
    <row r="306" spans="1:28" ht="13.5" thickBot="1" x14ac:dyDescent="0.25">
      <c r="A306" s="6"/>
      <c r="B306" s="99"/>
      <c r="C306" s="10"/>
      <c r="D306" s="12"/>
      <c r="E306" s="71"/>
      <c r="F306" s="71"/>
      <c r="G306" s="71"/>
      <c r="H306" s="71"/>
      <c r="I306" s="71"/>
      <c r="J306" s="71"/>
      <c r="K306" s="194" t="s">
        <v>61</v>
      </c>
      <c r="L306" s="195">
        <v>606342.76965902583</v>
      </c>
      <c r="M306" s="71"/>
      <c r="N306" s="12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</row>
    <row r="307" spans="1:28" x14ac:dyDescent="0.2">
      <c r="A307" s="6"/>
      <c r="B307" s="99"/>
      <c r="C307" s="10"/>
      <c r="D307" s="12"/>
      <c r="E307" s="71"/>
      <c r="F307" s="71"/>
      <c r="G307" s="71"/>
      <c r="H307" s="71"/>
      <c r="I307" s="71"/>
      <c r="J307" s="71"/>
      <c r="K307" s="71"/>
      <c r="L307" s="71"/>
      <c r="M307" s="71"/>
      <c r="N307" s="10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</row>
    <row r="308" spans="1:28" x14ac:dyDescent="0.2">
      <c r="A308" s="6"/>
      <c r="B308" s="71"/>
      <c r="C308" s="10"/>
      <c r="D308" s="10"/>
      <c r="E308" s="71"/>
      <c r="F308" s="71"/>
      <c r="G308" s="71"/>
      <c r="H308" s="71"/>
      <c r="I308" s="71"/>
      <c r="J308" s="71"/>
      <c r="K308" s="71"/>
      <c r="L308" s="71"/>
      <c r="M308" s="71"/>
      <c r="N308" s="10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</row>
    <row r="309" spans="1:28" x14ac:dyDescent="0.2">
      <c r="A309" s="6"/>
      <c r="B309" s="98" t="s">
        <v>69</v>
      </c>
      <c r="C309" s="12">
        <f>(C298*Q44+($I299*($L$306/8*H145))+($J299*($L$306/8*H145)))/Q44</f>
        <v>69.131624323904802</v>
      </c>
      <c r="D309" s="12"/>
      <c r="E309" s="71"/>
      <c r="F309" s="71"/>
      <c r="G309" s="71"/>
      <c r="H309" s="71"/>
      <c r="I309" s="71"/>
      <c r="J309" s="71"/>
      <c r="K309" s="71"/>
      <c r="L309" s="71"/>
      <c r="M309" s="71"/>
      <c r="N309" s="10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</row>
    <row r="310" spans="1:28" x14ac:dyDescent="0.2">
      <c r="A310" s="6"/>
      <c r="B310" s="99"/>
      <c r="C310" s="10"/>
      <c r="D310" s="12"/>
      <c r="E310" s="71"/>
      <c r="F310" s="71"/>
      <c r="G310" s="71"/>
      <c r="H310" s="71"/>
      <c r="I310" s="71"/>
      <c r="J310" s="71"/>
      <c r="K310" s="71"/>
      <c r="L310" s="71"/>
      <c r="M310" s="71"/>
      <c r="N310" s="12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</row>
    <row r="311" spans="1:28" x14ac:dyDescent="0.2">
      <c r="A311" s="6"/>
      <c r="B311" s="99"/>
      <c r="C311" s="10"/>
      <c r="D311" s="12"/>
      <c r="E311" s="71"/>
      <c r="F311" s="71"/>
      <c r="G311" s="71"/>
      <c r="H311" s="71"/>
      <c r="I311" s="71"/>
      <c r="J311" s="71"/>
      <c r="K311" s="71"/>
      <c r="L311" s="71"/>
      <c r="M311" s="71"/>
      <c r="N311" s="10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</row>
    <row r="312" spans="1:28" x14ac:dyDescent="0.2">
      <c r="A312" s="6"/>
      <c r="B312" s="99"/>
      <c r="C312" s="10"/>
      <c r="D312" s="10"/>
      <c r="E312" s="71"/>
      <c r="F312" s="71"/>
      <c r="G312" s="71"/>
      <c r="H312" s="71"/>
      <c r="I312" s="71"/>
      <c r="J312" s="71"/>
      <c r="K312" s="71"/>
      <c r="L312" s="71"/>
      <c r="M312" s="71"/>
      <c r="N312" s="10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</row>
    <row r="313" spans="1:28" x14ac:dyDescent="0.2">
      <c r="A313" s="6"/>
      <c r="B313" s="71" t="s">
        <v>150</v>
      </c>
      <c r="C313" s="12">
        <f>(C302*H56+($I298*($L$305/4*H144)+($J298*($L$305/4*H144))+($I299*($L$306/8*H145))+($J299*($L$306/8*H145))))/H56</f>
        <v>67.073822016646417</v>
      </c>
      <c r="D313" s="12"/>
      <c r="E313" s="71"/>
      <c r="F313" s="71"/>
      <c r="G313" s="71"/>
      <c r="H313" s="71"/>
      <c r="I313" s="71"/>
      <c r="J313" s="71"/>
      <c r="K313" s="71"/>
      <c r="L313" s="71"/>
      <c r="M313" s="71"/>
      <c r="N313" s="10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</row>
    <row r="314" spans="1:28" x14ac:dyDescent="0.2">
      <c r="A314" s="6"/>
      <c r="B314" s="71"/>
      <c r="C314" s="82"/>
      <c r="D314" s="82"/>
      <c r="E314" s="71"/>
      <c r="F314" s="71"/>
      <c r="G314" s="71"/>
      <c r="H314" s="71"/>
      <c r="I314" s="71"/>
      <c r="J314" s="71"/>
      <c r="K314" s="71"/>
      <c r="L314" s="71"/>
      <c r="M314" s="71"/>
      <c r="N314" s="12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</row>
    <row r="315" spans="1:28" x14ac:dyDescent="0.2">
      <c r="A315" s="6"/>
      <c r="B315" s="13" t="s">
        <v>151</v>
      </c>
      <c r="C315" s="10"/>
      <c r="D315" s="10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</row>
    <row r="316" spans="1:28" x14ac:dyDescent="0.2">
      <c r="A316" s="6"/>
      <c r="B316" s="76" t="s">
        <v>152</v>
      </c>
      <c r="C316" s="11">
        <f>(+SUMPRODUCT(C284:G284,C56:G56)+SUMPRODUCT(C313,H56))/1000</f>
        <v>75062.626479897095</v>
      </c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</row>
    <row r="317" spans="1:28" x14ac:dyDescent="0.2">
      <c r="A317" s="6"/>
      <c r="B317" s="71"/>
      <c r="C317" s="76" t="s">
        <v>154</v>
      </c>
      <c r="D317" s="12">
        <f>+C316/SUM(C56:H56)*1000</f>
        <v>72.527048937152699</v>
      </c>
      <c r="E317" s="71" t="s">
        <v>155</v>
      </c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</row>
    <row r="318" spans="1:28" x14ac:dyDescent="0.2">
      <c r="A318" s="6"/>
      <c r="B318" s="71"/>
      <c r="C318" s="76" t="s">
        <v>177</v>
      </c>
      <c r="D318" s="12">
        <f>+C316/SUMPRODUCT(C56:H56,C81:H81)*1000</f>
        <v>67.471720066608015</v>
      </c>
      <c r="E318" s="71" t="s">
        <v>178</v>
      </c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</row>
    <row r="319" spans="1:28" x14ac:dyDescent="0.2">
      <c r="A319" s="6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</row>
    <row r="320" spans="1:28" x14ac:dyDescent="0.2">
      <c r="A320" s="156" t="s">
        <v>179</v>
      </c>
      <c r="B320" s="18" t="s">
        <v>180</v>
      </c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</row>
    <row r="321" spans="1:28" x14ac:dyDescent="0.2">
      <c r="A321" s="6"/>
      <c r="B321" s="13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</row>
    <row r="322" spans="1:28" x14ac:dyDescent="0.2">
      <c r="A322" s="6"/>
      <c r="B322" s="13" t="s">
        <v>161</v>
      </c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</row>
    <row r="323" spans="1:28" x14ac:dyDescent="0.2">
      <c r="A323" s="6"/>
      <c r="B323" s="7" t="s">
        <v>163</v>
      </c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</row>
    <row r="324" spans="1:28" x14ac:dyDescent="0.2">
      <c r="A324" s="6"/>
      <c r="B324" s="13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</row>
    <row r="325" spans="1:28" x14ac:dyDescent="0.2">
      <c r="A325" s="6"/>
      <c r="B325" s="71"/>
      <c r="C325" s="22" t="str">
        <f t="shared" ref="C325" si="51">+C6</f>
        <v>SC1/SC5</v>
      </c>
      <c r="D325" s="22" t="str">
        <f>+D6</f>
        <v>SC3</v>
      </c>
      <c r="E325" s="22" t="str">
        <f>+E6</f>
        <v>SC2 ND</v>
      </c>
      <c r="F325" s="22" t="str">
        <f>+F6</f>
        <v>SC4</v>
      </c>
      <c r="G325" s="22" t="str">
        <f>+G6</f>
        <v>SC6</v>
      </c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</row>
    <row r="326" spans="1:28" x14ac:dyDescent="0.2">
      <c r="A326" s="6"/>
      <c r="B326" s="71"/>
      <c r="C326" s="26"/>
      <c r="D326" s="26"/>
      <c r="E326" s="26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</row>
    <row r="327" spans="1:28" x14ac:dyDescent="0.2">
      <c r="A327" s="6"/>
      <c r="B327" s="98" t="s">
        <v>63</v>
      </c>
      <c r="C327" s="14">
        <f>ROUND(+C273/$D$318,3)</f>
        <v>1.0109999999999999</v>
      </c>
      <c r="D327" s="196"/>
      <c r="E327" s="14">
        <f>ROUND(+E273/$D$318,3)</f>
        <v>0.86799999999999999</v>
      </c>
      <c r="F327" s="14">
        <f>ROUND(+F273/$D$318,3)</f>
        <v>0.625</v>
      </c>
      <c r="G327" s="14">
        <f>ROUND(+G273/$D$318,3)</f>
        <v>0.624</v>
      </c>
      <c r="H327" s="103"/>
      <c r="I327" s="103"/>
      <c r="J327" s="103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</row>
    <row r="328" spans="1:28" x14ac:dyDescent="0.2">
      <c r="A328" s="6"/>
      <c r="B328" s="99" t="s">
        <v>78</v>
      </c>
      <c r="C328" s="196"/>
      <c r="D328" s="14">
        <f>ROUND(+D274/$D$318,3)</f>
        <v>1.5980000000000001</v>
      </c>
      <c r="E328" s="196"/>
      <c r="F328" s="196"/>
      <c r="G328" s="196"/>
      <c r="H328" s="103"/>
      <c r="I328" s="103"/>
      <c r="J328" s="103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</row>
    <row r="329" spans="1:28" x14ac:dyDescent="0.2">
      <c r="A329" s="6"/>
      <c r="B329" s="99" t="s">
        <v>79</v>
      </c>
      <c r="C329" s="196"/>
      <c r="D329" s="14">
        <f>ROUND(+D275/$D$318,3)</f>
        <v>0.61099999999999999</v>
      </c>
      <c r="E329" s="196"/>
      <c r="F329" s="196"/>
      <c r="G329" s="196"/>
      <c r="H329" s="103"/>
      <c r="I329" s="103"/>
      <c r="J329" s="103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</row>
    <row r="330" spans="1:28" x14ac:dyDescent="0.2">
      <c r="A330" s="6"/>
      <c r="B330" s="71"/>
      <c r="C330" s="196"/>
      <c r="D330" s="196"/>
      <c r="E330" s="196"/>
      <c r="F330" s="196"/>
      <c r="G330" s="196"/>
      <c r="H330" s="103"/>
      <c r="I330" s="103"/>
      <c r="J330" s="103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</row>
    <row r="331" spans="1:28" x14ac:dyDescent="0.2">
      <c r="A331" s="6"/>
      <c r="B331" s="15"/>
      <c r="C331" s="71"/>
      <c r="D331" s="196"/>
      <c r="E331" s="196"/>
      <c r="F331" s="196"/>
      <c r="G331" s="196"/>
      <c r="H331" s="103"/>
      <c r="I331" s="103"/>
      <c r="J331" s="103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</row>
    <row r="332" spans="1:28" x14ac:dyDescent="0.2">
      <c r="A332" s="6"/>
      <c r="B332" s="16" t="s">
        <v>164</v>
      </c>
      <c r="C332" s="17">
        <f>C276-C273</f>
        <v>-19.460190000000004</v>
      </c>
      <c r="D332" s="196"/>
      <c r="E332" s="196"/>
      <c r="F332" s="196"/>
      <c r="G332" s="196"/>
      <c r="H332" s="103"/>
      <c r="I332" s="103"/>
      <c r="J332" s="103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</row>
    <row r="333" spans="1:28" x14ac:dyDescent="0.2">
      <c r="A333" s="6"/>
      <c r="B333" s="16" t="s">
        <v>165</v>
      </c>
      <c r="C333" s="17">
        <f>C277-C273</f>
        <v>14.149810000000002</v>
      </c>
      <c r="D333" s="196"/>
      <c r="E333" s="196"/>
      <c r="F333" s="196"/>
      <c r="G333" s="196"/>
      <c r="H333" s="103"/>
      <c r="I333" s="103"/>
      <c r="J333" s="103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</row>
    <row r="334" spans="1:28" x14ac:dyDescent="0.2">
      <c r="A334" s="6"/>
      <c r="B334" s="196"/>
      <c r="C334" s="196"/>
      <c r="D334" s="196"/>
      <c r="E334" s="196"/>
      <c r="F334" s="196"/>
      <c r="G334" s="196"/>
      <c r="H334" s="103"/>
      <c r="I334" s="103"/>
      <c r="J334" s="103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</row>
    <row r="335" spans="1:28" x14ac:dyDescent="0.2">
      <c r="A335" s="6"/>
      <c r="B335" s="71"/>
      <c r="C335" s="196"/>
      <c r="D335" s="196"/>
      <c r="E335" s="196"/>
      <c r="F335" s="196"/>
      <c r="G335" s="196"/>
      <c r="H335" s="103"/>
      <c r="I335" s="103"/>
      <c r="J335" s="103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</row>
    <row r="336" spans="1:28" x14ac:dyDescent="0.2">
      <c r="A336" s="6"/>
      <c r="B336" s="98" t="s">
        <v>69</v>
      </c>
      <c r="C336" s="14">
        <f>ROUND(+C280/$D$318,3)</f>
        <v>1.216</v>
      </c>
      <c r="D336" s="198"/>
      <c r="E336" s="14">
        <f>ROUND(+E280/$D$318,3)</f>
        <v>0.93400000000000005</v>
      </c>
      <c r="F336" s="14">
        <f>ROUND(+F280/$D$318,3)</f>
        <v>0.746</v>
      </c>
      <c r="G336" s="14">
        <f>ROUND(+G280/$D$318,3)</f>
        <v>0.74099999999999999</v>
      </c>
      <c r="H336" s="103"/>
      <c r="I336" s="103"/>
      <c r="J336" s="103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</row>
    <row r="337" spans="1:28" x14ac:dyDescent="0.2">
      <c r="A337" s="6"/>
      <c r="B337" s="99" t="s">
        <v>78</v>
      </c>
      <c r="C337" s="196"/>
      <c r="D337" s="14">
        <f>ROUND(+D281/$D$318,3)</f>
        <v>1.5169999999999999</v>
      </c>
      <c r="E337" s="196"/>
      <c r="F337" s="196"/>
      <c r="G337" s="196"/>
      <c r="H337" s="103"/>
      <c r="I337" s="103"/>
      <c r="J337" s="103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</row>
    <row r="338" spans="1:28" x14ac:dyDescent="0.2">
      <c r="A338" s="6"/>
      <c r="B338" s="99" t="s">
        <v>79</v>
      </c>
      <c r="C338" s="196"/>
      <c r="D338" s="14">
        <f>ROUND(+D282/$D$318,3)</f>
        <v>0.752</v>
      </c>
      <c r="E338" s="196"/>
      <c r="F338" s="196"/>
      <c r="G338" s="196"/>
      <c r="H338" s="103"/>
      <c r="I338" s="103"/>
      <c r="J338" s="103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</row>
    <row r="339" spans="1:28" x14ac:dyDescent="0.2">
      <c r="A339" s="6"/>
      <c r="B339" s="71"/>
      <c r="C339" s="103"/>
      <c r="D339" s="103"/>
      <c r="E339" s="103"/>
      <c r="F339" s="103"/>
      <c r="G339" s="103"/>
      <c r="H339" s="103"/>
      <c r="I339" s="103"/>
      <c r="J339" s="103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</row>
    <row r="340" spans="1:28" x14ac:dyDescent="0.2">
      <c r="A340" s="6"/>
      <c r="B340" s="71" t="s">
        <v>166</v>
      </c>
      <c r="C340" s="198">
        <f>ROUND(+C284/$D$318,3)</f>
        <v>1.127</v>
      </c>
      <c r="D340" s="198">
        <f>ROUND(+D284/$D$318,3)</f>
        <v>1.016</v>
      </c>
      <c r="E340" s="198">
        <f>ROUND(,3)+E284/$D$318</f>
        <v>0.91358512211625864</v>
      </c>
      <c r="F340" s="198">
        <f>ROUND(+F284/$D$318,3)</f>
        <v>0.71199999999999997</v>
      </c>
      <c r="G340" s="198">
        <f>ROUND(+G284/$D$318,3)</f>
        <v>0.70699999999999996</v>
      </c>
      <c r="H340" s="103"/>
      <c r="I340" s="103"/>
      <c r="J340" s="103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</row>
    <row r="341" spans="1:28" x14ac:dyDescent="0.2">
      <c r="A341" s="6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</row>
    <row r="342" spans="1:28" x14ac:dyDescent="0.2">
      <c r="A342" s="6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</row>
    <row r="343" spans="1:28" x14ac:dyDescent="0.2">
      <c r="A343" s="6"/>
      <c r="B343" s="13" t="s">
        <v>167</v>
      </c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</row>
    <row r="344" spans="1:28" x14ac:dyDescent="0.2">
      <c r="A344" s="6"/>
      <c r="B344" s="7" t="s">
        <v>181</v>
      </c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</row>
    <row r="345" spans="1:28" x14ac:dyDescent="0.2">
      <c r="A345" s="6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</row>
    <row r="346" spans="1:28" x14ac:dyDescent="0.2">
      <c r="A346" s="6"/>
      <c r="B346" s="71"/>
      <c r="C346" s="15" t="str">
        <f>+H6</f>
        <v>SC2 Dem</v>
      </c>
      <c r="D346" s="15" t="str">
        <f>+C346</f>
        <v>SC2 Dem</v>
      </c>
      <c r="E346" s="26"/>
      <c r="F346" s="26"/>
      <c r="G346" s="200" t="s">
        <v>131</v>
      </c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</row>
    <row r="347" spans="1:28" x14ac:dyDescent="0.2">
      <c r="A347" s="6"/>
      <c r="B347" s="71"/>
      <c r="C347" s="22" t="s">
        <v>169</v>
      </c>
      <c r="D347" s="207" t="s">
        <v>170</v>
      </c>
      <c r="E347" s="26"/>
      <c r="F347" s="26"/>
      <c r="G347" s="147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</row>
    <row r="348" spans="1:28" x14ac:dyDescent="0.2">
      <c r="A348" s="6"/>
      <c r="B348" s="98" t="s">
        <v>63</v>
      </c>
      <c r="C348" s="14">
        <f>ROUND(+C305/$D$318,3)</f>
        <v>0.93899999999999995</v>
      </c>
      <c r="D348" s="208">
        <f>C294-C305</f>
        <v>-17.004220233930447</v>
      </c>
      <c r="E348" s="71"/>
      <c r="F348" s="109"/>
      <c r="G348" s="175" t="s">
        <v>132</v>
      </c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</row>
    <row r="349" spans="1:28" x14ac:dyDescent="0.2">
      <c r="A349" s="6"/>
      <c r="B349" s="99"/>
      <c r="C349" s="198"/>
      <c r="D349" s="208"/>
      <c r="E349" s="197"/>
      <c r="F349" s="203"/>
      <c r="G349" s="147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</row>
    <row r="350" spans="1:28" x14ac:dyDescent="0.2">
      <c r="A350" s="6"/>
      <c r="B350" s="99"/>
      <c r="C350" s="198"/>
      <c r="D350" s="208"/>
      <c r="E350" s="197"/>
      <c r="F350" s="203"/>
      <c r="G350" s="147"/>
      <c r="H350" s="22"/>
      <c r="I350" s="22" t="str">
        <f t="shared" ref="I350:J350" si="52">I296</f>
        <v>&lt; 5 kW</v>
      </c>
      <c r="J350" s="22" t="str">
        <f t="shared" si="52"/>
        <v>&gt; 5 kW</v>
      </c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</row>
    <row r="351" spans="1:28" x14ac:dyDescent="0.2">
      <c r="A351" s="6"/>
      <c r="B351" s="71"/>
      <c r="C351" s="198"/>
      <c r="D351" s="208"/>
      <c r="E351" s="196"/>
      <c r="F351" s="203"/>
      <c r="G351" s="147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</row>
    <row r="352" spans="1:28" x14ac:dyDescent="0.2">
      <c r="A352" s="6"/>
      <c r="B352" s="98" t="s">
        <v>69</v>
      </c>
      <c r="C352" s="14">
        <f>ROUND(+C309/$D$318,3)</f>
        <v>1.0249999999999999</v>
      </c>
      <c r="D352" s="208">
        <f>C298-C309</f>
        <v>-16.823805250567432</v>
      </c>
      <c r="E352" s="197"/>
      <c r="F352" s="203"/>
      <c r="G352" s="204" t="s">
        <v>97</v>
      </c>
      <c r="H352" s="100"/>
      <c r="I352" s="100">
        <f t="shared" ref="I352:J353" si="53">I298</f>
        <v>1.3560000000000001</v>
      </c>
      <c r="J352" s="100">
        <f t="shared" si="53"/>
        <v>4.6970000000000001</v>
      </c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</row>
    <row r="353" spans="1:28" x14ac:dyDescent="0.2">
      <c r="A353" s="6"/>
      <c r="B353" s="99"/>
      <c r="C353" s="198"/>
      <c r="D353" s="209"/>
      <c r="E353" s="197"/>
      <c r="F353" s="203"/>
      <c r="G353" s="204" t="s">
        <v>103</v>
      </c>
      <c r="H353" s="100"/>
      <c r="I353" s="100">
        <f t="shared" si="53"/>
        <v>1.339</v>
      </c>
      <c r="J353" s="100">
        <f t="shared" si="53"/>
        <v>4.7329999999999997</v>
      </c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</row>
    <row r="354" spans="1:28" x14ac:dyDescent="0.2">
      <c r="A354" s="6"/>
      <c r="B354" s="99"/>
      <c r="C354" s="198"/>
      <c r="D354" s="209"/>
      <c r="E354" s="197"/>
      <c r="F354" s="203"/>
      <c r="G354" s="204"/>
      <c r="H354" s="81"/>
      <c r="I354" s="95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</row>
    <row r="355" spans="1:28" x14ac:dyDescent="0.2">
      <c r="A355" s="6"/>
      <c r="B355" s="71"/>
      <c r="C355" s="199"/>
      <c r="D355" s="209"/>
      <c r="E355" s="103"/>
      <c r="F355" s="71"/>
      <c r="G355" s="205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</row>
    <row r="356" spans="1:28" x14ac:dyDescent="0.2">
      <c r="A356" s="6"/>
      <c r="B356" s="71" t="s">
        <v>150</v>
      </c>
      <c r="C356" s="14">
        <f>ROUND(+C313/$D$318,3)</f>
        <v>0.99399999999999999</v>
      </c>
      <c r="D356" s="209"/>
      <c r="E356" s="103"/>
      <c r="F356" s="71"/>
      <c r="G356" s="204"/>
      <c r="H356" s="81"/>
      <c r="I356" s="95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</row>
    <row r="357" spans="1:28" x14ac:dyDescent="0.2">
      <c r="A357" s="6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</row>
    <row r="358" spans="1:28" x14ac:dyDescent="0.2">
      <c r="A358" s="6"/>
      <c r="B358" s="71"/>
      <c r="C358" s="103"/>
      <c r="D358" s="71"/>
      <c r="E358" s="103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</row>
    <row r="359" spans="1:28" x14ac:dyDescent="0.2">
      <c r="A359" s="156" t="s">
        <v>182</v>
      </c>
      <c r="B359" s="13" t="s">
        <v>183</v>
      </c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</row>
    <row r="360" spans="1:28" x14ac:dyDescent="0.2">
      <c r="A360" s="6"/>
      <c r="B360" s="13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</row>
    <row r="361" spans="1:28" x14ac:dyDescent="0.2">
      <c r="A361" s="6"/>
      <c r="B361" s="71"/>
      <c r="C361" s="22" t="str">
        <f t="shared" ref="C361:H361" si="54">C6</f>
        <v>SC1/SC5</v>
      </c>
      <c r="D361" s="22" t="str">
        <f t="shared" si="54"/>
        <v>SC3</v>
      </c>
      <c r="E361" s="22" t="str">
        <f t="shared" si="54"/>
        <v>SC2 ND</v>
      </c>
      <c r="F361" s="22" t="str">
        <f t="shared" si="54"/>
        <v>SC4</v>
      </c>
      <c r="G361" s="22" t="str">
        <f t="shared" si="54"/>
        <v>SC6</v>
      </c>
      <c r="H361" s="22" t="str">
        <f t="shared" si="54"/>
        <v>SC2 Dem</v>
      </c>
      <c r="I361" s="26"/>
      <c r="J361" s="26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</row>
    <row r="362" spans="1:28" x14ac:dyDescent="0.2">
      <c r="A362" s="6"/>
      <c r="B362" s="71" t="s">
        <v>184</v>
      </c>
      <c r="C362" s="71"/>
      <c r="D362" s="71"/>
      <c r="E362" s="71"/>
      <c r="F362" s="71"/>
      <c r="G362" s="71"/>
      <c r="H362" s="71"/>
      <c r="I362" s="71"/>
      <c r="J362" s="71"/>
      <c r="K362" s="71"/>
      <c r="L362" s="109"/>
      <c r="M362" s="109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</row>
    <row r="363" spans="1:28" x14ac:dyDescent="0.2">
      <c r="A363" s="6"/>
      <c r="B363" s="157" t="s">
        <v>68</v>
      </c>
      <c r="C363" s="11">
        <f>(C184*SUM(C49:C52)*E156+C185*SUM(C49:C52)*E157)/1000</f>
        <v>24397.068674901038</v>
      </c>
      <c r="D363" s="19">
        <f>+D181*SUM(D49:D52)/1000</f>
        <v>6.7525387843000262</v>
      </c>
      <c r="E363" s="19">
        <f>+E181*SUM(E49:E52)/1000</f>
        <v>474.40916627701324</v>
      </c>
      <c r="F363" s="19">
        <f>+F181*SUM(F49:F52)/1000</f>
        <v>56.720009258692905</v>
      </c>
      <c r="G363" s="19">
        <f>+G181*SUM(G49:G52)/1000</f>
        <v>62.045779337342729</v>
      </c>
      <c r="H363" s="11">
        <v>8651.3330861940922</v>
      </c>
      <c r="I363" s="11"/>
      <c r="J363" s="19"/>
      <c r="K363" s="71"/>
      <c r="L363" s="109"/>
      <c r="M363" s="109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</row>
    <row r="364" spans="1:28" x14ac:dyDescent="0.2">
      <c r="A364" s="6"/>
      <c r="B364" s="157" t="s">
        <v>61</v>
      </c>
      <c r="C364" s="11">
        <f t="shared" ref="C364" si="55">+C188*SUM(C44:C48,C53:C55)/1000</f>
        <v>37427.226217233001</v>
      </c>
      <c r="D364" s="19">
        <f>+D188*SUM(D44:D48,D53:D55)/1000</f>
        <v>16.400636366415338</v>
      </c>
      <c r="E364" s="19">
        <f>+E188*SUM(E44:E48,E53:E55)/1000</f>
        <v>1123.0324993084764</v>
      </c>
      <c r="F364" s="19">
        <f>+F188*SUM(F44:F48,F53:F55)/1000</f>
        <v>171.67415571442862</v>
      </c>
      <c r="G364" s="19">
        <f>+G188*SUM(G44:G48,G53:G55)/1000</f>
        <v>183.8249623865764</v>
      </c>
      <c r="H364" s="11">
        <v>17145.795683117205</v>
      </c>
      <c r="I364" s="11"/>
      <c r="J364" s="19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</row>
    <row r="365" spans="1:28" x14ac:dyDescent="0.2">
      <c r="A365" s="6"/>
      <c r="B365" s="157" t="s">
        <v>35</v>
      </c>
      <c r="C365" s="102">
        <f>+C364+C363</f>
        <v>61824.294892134043</v>
      </c>
      <c r="D365" s="96">
        <f t="shared" ref="D365:H365" si="56">+D364+D363</f>
        <v>23.153175150715363</v>
      </c>
      <c r="E365" s="96">
        <f t="shared" si="56"/>
        <v>1597.4416655854898</v>
      </c>
      <c r="F365" s="96">
        <f t="shared" si="56"/>
        <v>228.39416497312152</v>
      </c>
      <c r="G365" s="19">
        <f t="shared" si="56"/>
        <v>245.87074172391914</v>
      </c>
      <c r="H365" s="19">
        <f t="shared" si="56"/>
        <v>25797.128769311297</v>
      </c>
      <c r="I365" s="19"/>
      <c r="J365" s="19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</row>
    <row r="366" spans="1:28" x14ac:dyDescent="0.2">
      <c r="A366" s="6"/>
      <c r="B366" s="157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</row>
    <row r="367" spans="1:28" x14ac:dyDescent="0.2">
      <c r="A367" s="6"/>
      <c r="B367" s="71" t="s">
        <v>185</v>
      </c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</row>
    <row r="368" spans="1:28" x14ac:dyDescent="0.2">
      <c r="A368" s="6"/>
      <c r="B368" s="157" t="s">
        <v>68</v>
      </c>
      <c r="C368" s="20">
        <f t="shared" ref="C368:H368" si="57">+C363/C365</f>
        <v>0.39461944074683009</v>
      </c>
      <c r="D368" s="20">
        <f t="shared" si="57"/>
        <v>0.29164633966375852</v>
      </c>
      <c r="E368" s="20">
        <f t="shared" si="57"/>
        <v>0.29698058871097127</v>
      </c>
      <c r="F368" s="20">
        <f t="shared" si="57"/>
        <v>0.24834263723579794</v>
      </c>
      <c r="G368" s="20">
        <f t="shared" si="57"/>
        <v>0.25235121064958621</v>
      </c>
      <c r="H368" s="20">
        <f t="shared" si="57"/>
        <v>0.33536030941884759</v>
      </c>
      <c r="I368" s="20"/>
      <c r="J368" s="20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</row>
    <row r="369" spans="1:28" x14ac:dyDescent="0.2">
      <c r="A369" s="6"/>
      <c r="B369" s="157" t="s">
        <v>61</v>
      </c>
      <c r="C369" s="20">
        <f t="shared" ref="C369:H369" si="58">+C364/C365</f>
        <v>0.60538055925316991</v>
      </c>
      <c r="D369" s="20">
        <f t="shared" si="58"/>
        <v>0.70835366033624148</v>
      </c>
      <c r="E369" s="20">
        <f t="shared" si="58"/>
        <v>0.70301941128902867</v>
      </c>
      <c r="F369" s="20">
        <f t="shared" si="58"/>
        <v>0.75165736276420214</v>
      </c>
      <c r="G369" s="20">
        <f t="shared" si="58"/>
        <v>0.74764878935041379</v>
      </c>
      <c r="H369" s="20">
        <f t="shared" si="58"/>
        <v>0.66463969058115235</v>
      </c>
      <c r="I369" s="20"/>
      <c r="J369" s="20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</row>
    <row r="370" spans="1:28" x14ac:dyDescent="0.2">
      <c r="A370" s="6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</row>
    <row r="371" spans="1:28" x14ac:dyDescent="0.2">
      <c r="A371" s="6"/>
      <c r="B371" s="71" t="s">
        <v>186</v>
      </c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</row>
    <row r="372" spans="1:28" x14ac:dyDescent="0.2">
      <c r="A372" s="6"/>
      <c r="B372" s="157" t="s">
        <v>68</v>
      </c>
      <c r="C372" s="21">
        <f>+SUM(C363:H363)</f>
        <v>33648.329254752476</v>
      </c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</row>
    <row r="373" spans="1:28" x14ac:dyDescent="0.2">
      <c r="A373" s="6"/>
      <c r="B373" s="157" t="s">
        <v>61</v>
      </c>
      <c r="C373" s="21">
        <f>+SUM(C364:H364)</f>
        <v>56067.954154126106</v>
      </c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</row>
    <row r="374" spans="1:28" x14ac:dyDescent="0.2">
      <c r="A374" s="6"/>
      <c r="B374" s="157" t="s">
        <v>35</v>
      </c>
      <c r="C374" s="96">
        <f>+C373+C372</f>
        <v>89716.283408878575</v>
      </c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</row>
    <row r="375" spans="1:28" x14ac:dyDescent="0.2">
      <c r="A375" s="6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</row>
    <row r="376" spans="1:28" x14ac:dyDescent="0.2">
      <c r="A376" s="6"/>
      <c r="B376" s="71" t="s">
        <v>187</v>
      </c>
      <c r="C376" s="71"/>
      <c r="D376" s="71" t="s">
        <v>188</v>
      </c>
      <c r="E376" s="71"/>
      <c r="F376" s="71"/>
      <c r="G376" s="71"/>
      <c r="H376" s="71"/>
      <c r="I376" s="311" t="s">
        <v>189</v>
      </c>
      <c r="J376" s="31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</row>
    <row r="377" spans="1:28" x14ac:dyDescent="0.2">
      <c r="A377" s="6"/>
      <c r="B377" s="157" t="s">
        <v>68</v>
      </c>
      <c r="C377" s="20">
        <f>+C372/C374</f>
        <v>0.37505264346943001</v>
      </c>
      <c r="D377" s="71"/>
      <c r="E377" s="12">
        <f>+C372/SUMPRODUCT(L48:Q48,C81:H81)*1000</f>
        <v>75.135678373487764</v>
      </c>
      <c r="F377" s="71" t="s">
        <v>190</v>
      </c>
      <c r="G377" s="71"/>
      <c r="H377" s="71"/>
      <c r="I377" s="157" t="s">
        <v>68</v>
      </c>
      <c r="J377" s="210">
        <f>ROUND(E377/$D$223,4)</f>
        <v>0.93169999999999997</v>
      </c>
      <c r="K377" s="210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</row>
    <row r="378" spans="1:28" x14ac:dyDescent="0.2">
      <c r="A378" s="6"/>
      <c r="B378" s="157" t="s">
        <v>61</v>
      </c>
      <c r="C378" s="20">
        <f>+C373/C374</f>
        <v>0.6249473565305701</v>
      </c>
      <c r="D378" s="71"/>
      <c r="E378" s="12">
        <f>+C373/SUMPRODUCT(L44:Q44,C81:H81)*1000</f>
        <v>84.354475414349878</v>
      </c>
      <c r="F378" s="71" t="s">
        <v>190</v>
      </c>
      <c r="G378" s="71"/>
      <c r="H378" s="71"/>
      <c r="I378" s="157" t="s">
        <v>61</v>
      </c>
      <c r="J378" s="210">
        <f>ROUND(E378/$D$223,4)</f>
        <v>1.046</v>
      </c>
      <c r="K378" s="210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</row>
    <row r="379" spans="1:28" x14ac:dyDescent="0.2">
      <c r="A379" s="6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</row>
    <row r="380" spans="1:28" x14ac:dyDescent="0.2">
      <c r="A380" s="6"/>
      <c r="B380" s="71"/>
      <c r="C380" s="103"/>
      <c r="D380" s="71"/>
      <c r="E380" s="103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</row>
    <row r="381" spans="1:28" ht="13.5" thickBot="1" x14ac:dyDescent="0.25">
      <c r="A381" s="156" t="s">
        <v>191</v>
      </c>
      <c r="B381" s="18" t="s">
        <v>192</v>
      </c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</row>
    <row r="382" spans="1:28" x14ac:dyDescent="0.2">
      <c r="A382" s="6"/>
      <c r="B382" s="13"/>
      <c r="C382" s="71"/>
      <c r="D382" s="71"/>
      <c r="E382" s="71"/>
      <c r="F382" s="71"/>
      <c r="G382" s="71"/>
      <c r="H382" s="71"/>
      <c r="I382" s="71"/>
      <c r="J382" s="71"/>
      <c r="K382" s="189" t="s">
        <v>153</v>
      </c>
      <c r="L382" s="190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</row>
    <row r="383" spans="1:28" x14ac:dyDescent="0.2">
      <c r="A383" s="6"/>
      <c r="B383" s="71"/>
      <c r="C383" s="22" t="str">
        <f t="shared" ref="C383:H383" si="59">C6</f>
        <v>SC1/SC5</v>
      </c>
      <c r="D383" s="22" t="str">
        <f t="shared" si="59"/>
        <v>SC3</v>
      </c>
      <c r="E383" s="22" t="str">
        <f t="shared" si="59"/>
        <v>SC2 ND</v>
      </c>
      <c r="F383" s="22" t="str">
        <f t="shared" si="59"/>
        <v>SC4</v>
      </c>
      <c r="G383" s="22" t="str">
        <f t="shared" si="59"/>
        <v>SC6</v>
      </c>
      <c r="H383" s="22" t="str">
        <f t="shared" si="59"/>
        <v>SC2 Dem</v>
      </c>
      <c r="I383" s="22"/>
      <c r="J383" s="26"/>
      <c r="K383" s="191"/>
      <c r="L383" s="192" t="s">
        <v>162</v>
      </c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</row>
    <row r="384" spans="1:28" x14ac:dyDescent="0.2">
      <c r="A384" s="6"/>
      <c r="B384" s="71" t="s">
        <v>184</v>
      </c>
      <c r="C384" s="71"/>
      <c r="D384" s="71"/>
      <c r="E384" s="71"/>
      <c r="F384" s="71"/>
      <c r="G384" s="71"/>
      <c r="H384" s="71"/>
      <c r="I384" s="71"/>
      <c r="J384" s="71"/>
      <c r="K384" s="191" t="s">
        <v>68</v>
      </c>
      <c r="L384" s="193">
        <v>72672.947005293594</v>
      </c>
      <c r="M384" s="71"/>
      <c r="N384" s="11">
        <v>8429.1397260492577</v>
      </c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</row>
    <row r="385" spans="1:28" ht="13.5" thickBot="1" x14ac:dyDescent="0.25">
      <c r="A385" s="6"/>
      <c r="B385" s="157" t="s">
        <v>68</v>
      </c>
      <c r="C385" s="11">
        <f>(C276*SUM(C49:C52)*E156+C277*SUM(C49:C52)*E157)/1000</f>
        <v>19451.777512635352</v>
      </c>
      <c r="D385" s="11">
        <f>+D273*SUM(D49:D52)/1000</f>
        <v>5.7361143398555816</v>
      </c>
      <c r="E385" s="11">
        <f>+E273*SUM(E49:E52)/1000</f>
        <v>410.29759511853069</v>
      </c>
      <c r="F385" s="11">
        <f>+F273*SUM(F49:F52)/1000</f>
        <v>56.720009258692905</v>
      </c>
      <c r="G385" s="11">
        <f>+G273*SUM(G49:G52)/1000</f>
        <v>62.045779337342729</v>
      </c>
      <c r="H385" s="11">
        <f>(C294*SUM(H49:H52)/1000)+($I298*($L$384/4*H144)/1000)+($J298*($L$389/4*H144)/1000)</f>
        <v>7337.5075768607594</v>
      </c>
      <c r="I385" s="11"/>
      <c r="J385" s="11"/>
      <c r="K385" s="194" t="s">
        <v>61</v>
      </c>
      <c r="L385" s="195">
        <v>150341.18034097413</v>
      </c>
      <c r="M385" s="71"/>
      <c r="N385" s="11">
        <v>15486.148409442889</v>
      </c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</row>
    <row r="386" spans="1:28" ht="13.5" thickBot="1" x14ac:dyDescent="0.25">
      <c r="A386" s="6"/>
      <c r="B386" s="157" t="s">
        <v>61</v>
      </c>
      <c r="C386" s="11">
        <f t="shared" ref="C386" si="60">+C280*SUM(C44:C48,C53:C55)/1000</f>
        <v>30895.279475498679</v>
      </c>
      <c r="D386" s="11">
        <f>+D280*SUM(D44:D48,D53:D55)/1000</f>
        <v>14.01322081085978</v>
      </c>
      <c r="E386" s="11">
        <f>+E280*SUM(E44:E48,E53:E55)/1000</f>
        <v>980.57353046695903</v>
      </c>
      <c r="F386" s="11">
        <f>+F280*SUM(F44:F48,F53:F55)/1000</f>
        <v>171.67415571442862</v>
      </c>
      <c r="G386" s="11">
        <f>+G280*SUM(G44:G48,G53:G55)/1000</f>
        <v>183.8249623865764</v>
      </c>
      <c r="H386" s="11">
        <f>(C298*SUM(H44:H48,H53:H55)/1000)+($I299*($L$385/8*H145)/1000)+($J299*($L$390/8*H145)/1000)</f>
        <v>14518.144664450539</v>
      </c>
      <c r="I386" s="11"/>
      <c r="J386" s="11"/>
      <c r="K386" s="71"/>
      <c r="L386" s="71"/>
      <c r="M386" s="71"/>
      <c r="N386" s="11">
        <v>23915.288135492148</v>
      </c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</row>
    <row r="387" spans="1:28" x14ac:dyDescent="0.2">
      <c r="A387" s="6"/>
      <c r="B387" s="157" t="s">
        <v>35</v>
      </c>
      <c r="C387" s="96">
        <f t="shared" ref="C387:H387" si="61">+C386+C385</f>
        <v>50347.056988134034</v>
      </c>
      <c r="D387" s="96">
        <f t="shared" si="61"/>
        <v>19.74933515071536</v>
      </c>
      <c r="E387" s="96">
        <f t="shared" si="61"/>
        <v>1390.8711255854896</v>
      </c>
      <c r="F387" s="96">
        <f t="shared" si="61"/>
        <v>228.39416497312152</v>
      </c>
      <c r="G387" s="19">
        <f t="shared" si="61"/>
        <v>245.87074172391914</v>
      </c>
      <c r="H387" s="19">
        <f t="shared" si="61"/>
        <v>21855.652241311298</v>
      </c>
      <c r="I387" s="19"/>
      <c r="J387" s="19"/>
      <c r="K387" s="189" t="s">
        <v>153</v>
      </c>
      <c r="L387" s="190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</row>
    <row r="388" spans="1:28" x14ac:dyDescent="0.2">
      <c r="A388" s="6"/>
      <c r="B388" s="157"/>
      <c r="C388" s="71"/>
      <c r="D388" s="71"/>
      <c r="E388" s="71"/>
      <c r="F388" s="71"/>
      <c r="G388" s="71"/>
      <c r="H388" s="71"/>
      <c r="I388" s="71"/>
      <c r="J388" s="71"/>
      <c r="K388" s="191"/>
      <c r="L388" s="192" t="s">
        <v>156</v>
      </c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</row>
    <row r="389" spans="1:28" x14ac:dyDescent="0.2">
      <c r="A389" s="6"/>
      <c r="B389" s="71" t="s">
        <v>185</v>
      </c>
      <c r="C389" s="71"/>
      <c r="D389" s="71"/>
      <c r="E389" s="71"/>
      <c r="F389" s="71"/>
      <c r="G389" s="71"/>
      <c r="H389" s="71"/>
      <c r="I389" s="71"/>
      <c r="J389" s="71"/>
      <c r="K389" s="191" t="s">
        <v>68</v>
      </c>
      <c r="L389" s="193">
        <v>341438.25299470645</v>
      </c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</row>
    <row r="390" spans="1:28" ht="13.5" thickBot="1" x14ac:dyDescent="0.25">
      <c r="A390" s="6"/>
      <c r="B390" s="157" t="s">
        <v>68</v>
      </c>
      <c r="C390" s="20">
        <f t="shared" ref="C390:H390" si="62">+C385/C387</f>
        <v>0.38635381442891115</v>
      </c>
      <c r="D390" s="20">
        <f t="shared" si="62"/>
        <v>0.29044594646254751</v>
      </c>
      <c r="E390" s="20">
        <f t="shared" si="62"/>
        <v>0.29499325104316565</v>
      </c>
      <c r="F390" s="20">
        <f t="shared" si="62"/>
        <v>0.24834263723579794</v>
      </c>
      <c r="G390" s="20">
        <f t="shared" si="62"/>
        <v>0.25235121064958621</v>
      </c>
      <c r="H390" s="20">
        <f t="shared" si="62"/>
        <v>0.33572585690174411</v>
      </c>
      <c r="I390" s="20"/>
      <c r="J390" s="20"/>
      <c r="K390" s="194" t="s">
        <v>61</v>
      </c>
      <c r="L390" s="195">
        <v>606342.76965902583</v>
      </c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</row>
    <row r="391" spans="1:28" x14ac:dyDescent="0.2">
      <c r="A391" s="6"/>
      <c r="B391" s="157" t="s">
        <v>61</v>
      </c>
      <c r="C391" s="20">
        <f t="shared" ref="C391:H391" si="63">+C386/C387</f>
        <v>0.61364618557108874</v>
      </c>
      <c r="D391" s="20">
        <f t="shared" si="63"/>
        <v>0.70955405353745249</v>
      </c>
      <c r="E391" s="20">
        <f t="shared" si="63"/>
        <v>0.70500674895683446</v>
      </c>
      <c r="F391" s="20">
        <f t="shared" si="63"/>
        <v>0.75165736276420214</v>
      </c>
      <c r="G391" s="20">
        <f t="shared" si="63"/>
        <v>0.74764878935041379</v>
      </c>
      <c r="H391" s="20">
        <f t="shared" si="63"/>
        <v>0.66427414309825594</v>
      </c>
      <c r="I391" s="20"/>
      <c r="J391" s="20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</row>
    <row r="392" spans="1:28" x14ac:dyDescent="0.2">
      <c r="A392" s="6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</row>
    <row r="393" spans="1:28" x14ac:dyDescent="0.2">
      <c r="A393" s="6"/>
      <c r="B393" s="71" t="s">
        <v>186</v>
      </c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</row>
    <row r="394" spans="1:28" x14ac:dyDescent="0.2">
      <c r="A394" s="6"/>
      <c r="B394" s="157" t="s">
        <v>68</v>
      </c>
      <c r="C394" s="21">
        <f>+SUM(C385:H385)</f>
        <v>27324.084587550533</v>
      </c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</row>
    <row r="395" spans="1:28" x14ac:dyDescent="0.2">
      <c r="A395" s="6"/>
      <c r="B395" s="157" t="s">
        <v>61</v>
      </c>
      <c r="C395" s="21">
        <f>+SUM(C386:H386)</f>
        <v>46763.510009328042</v>
      </c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</row>
    <row r="396" spans="1:28" x14ac:dyDescent="0.2">
      <c r="A396" s="6"/>
      <c r="B396" s="157" t="s">
        <v>35</v>
      </c>
      <c r="C396" s="96">
        <f>+C395+C394</f>
        <v>74087.594596878567</v>
      </c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</row>
    <row r="397" spans="1:28" x14ac:dyDescent="0.2">
      <c r="A397" s="6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</row>
    <row r="398" spans="1:28" x14ac:dyDescent="0.2">
      <c r="A398" s="6"/>
      <c r="B398" s="71" t="s">
        <v>187</v>
      </c>
      <c r="C398" s="71"/>
      <c r="D398" s="71" t="s">
        <v>188</v>
      </c>
      <c r="E398" s="71"/>
      <c r="F398" s="71"/>
      <c r="G398" s="71"/>
      <c r="H398" s="71"/>
      <c r="I398" s="311" t="s">
        <v>189</v>
      </c>
      <c r="J398" s="31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</row>
    <row r="399" spans="1:28" x14ac:dyDescent="0.2">
      <c r="A399" s="6"/>
      <c r="B399" s="157" t="s">
        <v>68</v>
      </c>
      <c r="C399" s="20">
        <f>+C394/C396</f>
        <v>0.36880782452480571</v>
      </c>
      <c r="D399" s="71"/>
      <c r="E399" s="12">
        <f>+C394/SUMPRODUCT(L48:Q48,C81:H81)*1000</f>
        <v>61.013835661103563</v>
      </c>
      <c r="F399" s="71" t="s">
        <v>190</v>
      </c>
      <c r="G399" s="71"/>
      <c r="H399" s="71"/>
      <c r="I399" s="157" t="s">
        <v>68</v>
      </c>
      <c r="J399" s="210">
        <f>ROUND(E399/$D$318,4)</f>
        <v>0.90429999999999999</v>
      </c>
      <c r="K399" s="21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</row>
    <row r="400" spans="1:28" x14ac:dyDescent="0.2">
      <c r="A400" s="6"/>
      <c r="B400" s="157" t="s">
        <v>61</v>
      </c>
      <c r="C400" s="20">
        <f>+C395/C396</f>
        <v>0.63119217547519446</v>
      </c>
      <c r="D400" s="71"/>
      <c r="E400" s="12">
        <f>+C395/SUMPRODUCT(L44:Q44,C81:H81)*1000</f>
        <v>70.355899637908777</v>
      </c>
      <c r="F400" s="71" t="s">
        <v>190</v>
      </c>
      <c r="G400" s="71"/>
      <c r="H400" s="71"/>
      <c r="I400" s="157" t="s">
        <v>61</v>
      </c>
      <c r="J400" s="210">
        <f>ROUND(E400/$D$318,4)</f>
        <v>1.0427</v>
      </c>
      <c r="K400" s="21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</row>
    <row r="401" spans="1:28" x14ac:dyDescent="0.2">
      <c r="A401" s="6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</row>
    <row r="402" spans="1:28" x14ac:dyDescent="0.2">
      <c r="A402" s="115"/>
      <c r="B402" s="71"/>
      <c r="C402" s="96"/>
      <c r="D402" s="96"/>
      <c r="E402" s="96"/>
      <c r="F402" s="96"/>
      <c r="G402" s="96"/>
      <c r="H402" s="96"/>
      <c r="I402" s="96"/>
      <c r="J402" s="96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</row>
    <row r="403" spans="1:28" x14ac:dyDescent="0.2">
      <c r="A403" s="156" t="s">
        <v>193</v>
      </c>
      <c r="B403" s="13" t="s">
        <v>194</v>
      </c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</row>
    <row r="404" spans="1:28" x14ac:dyDescent="0.2">
      <c r="A404" s="156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</row>
    <row r="405" spans="1:28" x14ac:dyDescent="0.2">
      <c r="A405" s="156"/>
      <c r="B405" s="71"/>
      <c r="C405" s="71"/>
      <c r="D405" s="71"/>
      <c r="E405" s="145"/>
      <c r="F405" s="13" t="s">
        <v>195</v>
      </c>
      <c r="G405" s="71"/>
      <c r="H405" s="71"/>
      <c r="I405" s="18" t="s">
        <v>196</v>
      </c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</row>
    <row r="406" spans="1:28" x14ac:dyDescent="0.2">
      <c r="A406" s="115"/>
      <c r="B406" s="18" t="s">
        <v>197</v>
      </c>
      <c r="C406" s="71"/>
      <c r="D406" s="71"/>
      <c r="E406" s="145"/>
      <c r="F406" s="13" t="s">
        <v>198</v>
      </c>
      <c r="G406" s="71"/>
      <c r="H406" s="71"/>
      <c r="I406" s="18" t="s">
        <v>199</v>
      </c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</row>
    <row r="407" spans="1:28" x14ac:dyDescent="0.2">
      <c r="A407" s="6"/>
      <c r="B407" s="7" t="s">
        <v>60</v>
      </c>
      <c r="C407" s="76"/>
      <c r="D407" s="15" t="s">
        <v>200</v>
      </c>
      <c r="E407" s="212"/>
      <c r="F407" s="213" t="s">
        <v>60</v>
      </c>
      <c r="G407" s="146"/>
      <c r="H407" s="71"/>
      <c r="I407" s="214" t="s">
        <v>201</v>
      </c>
      <c r="J407" s="146"/>
      <c r="K407" s="146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</row>
    <row r="408" spans="1:28" x14ac:dyDescent="0.2">
      <c r="A408" s="6"/>
      <c r="B408" s="71"/>
      <c r="C408" s="22" t="s">
        <v>48</v>
      </c>
      <c r="D408" s="22" t="s">
        <v>202</v>
      </c>
      <c r="E408" s="215" t="s">
        <v>49</v>
      </c>
      <c r="F408" s="22" t="s">
        <v>48</v>
      </c>
      <c r="G408" s="22" t="s">
        <v>49</v>
      </c>
      <c r="H408" s="71"/>
      <c r="I408" s="22" t="s">
        <v>48</v>
      </c>
      <c r="J408" s="22" t="s">
        <v>49</v>
      </c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</row>
    <row r="409" spans="1:28" x14ac:dyDescent="0.2">
      <c r="A409" s="6"/>
      <c r="B409" s="98" t="s">
        <v>13</v>
      </c>
      <c r="C409" s="79">
        <v>46.94</v>
      </c>
      <c r="D409" s="106">
        <v>0.78459999999999996</v>
      </c>
      <c r="E409" s="104">
        <f>ROUND(C409*D409,2)</f>
        <v>36.83</v>
      </c>
      <c r="F409" s="105">
        <v>0.96</v>
      </c>
      <c r="G409" s="20">
        <v>0.96</v>
      </c>
      <c r="H409" s="71"/>
      <c r="I409" s="79">
        <f t="shared" ref="I409:I420" si="64">ROUND(C409*F409,2)</f>
        <v>45.06</v>
      </c>
      <c r="J409" s="79">
        <f t="shared" ref="J409:J420" si="65">ROUND(E409*G409,2)</f>
        <v>35.36</v>
      </c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</row>
    <row r="410" spans="1:28" x14ac:dyDescent="0.2">
      <c r="A410" s="6"/>
      <c r="B410" s="98" t="s">
        <v>14</v>
      </c>
      <c r="C410" s="79">
        <v>44.45</v>
      </c>
      <c r="D410" s="106">
        <f>D409</f>
        <v>0.78459999999999996</v>
      </c>
      <c r="E410" s="104">
        <f>ROUND(C410*D410,2)</f>
        <v>34.880000000000003</v>
      </c>
      <c r="F410" s="107">
        <f>F409</f>
        <v>0.96</v>
      </c>
      <c r="G410" s="107">
        <f>G409</f>
        <v>0.96</v>
      </c>
      <c r="H410" s="71"/>
      <c r="I410" s="79">
        <f t="shared" si="64"/>
        <v>42.67</v>
      </c>
      <c r="J410" s="79">
        <f t="shared" si="65"/>
        <v>33.479999999999997</v>
      </c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</row>
    <row r="411" spans="1:28" x14ac:dyDescent="0.2">
      <c r="A411" s="6"/>
      <c r="B411" s="98" t="s">
        <v>15</v>
      </c>
      <c r="C411" s="79">
        <v>35.43</v>
      </c>
      <c r="D411" s="106">
        <f>D409</f>
        <v>0.78459999999999996</v>
      </c>
      <c r="E411" s="104">
        <f t="shared" ref="E411:E420" si="66">ROUND(C411*D411,2)</f>
        <v>27.8</v>
      </c>
      <c r="F411" s="107">
        <f>F409</f>
        <v>0.96</v>
      </c>
      <c r="G411" s="107">
        <f>G409</f>
        <v>0.96</v>
      </c>
      <c r="H411" s="71"/>
      <c r="I411" s="79">
        <f t="shared" si="64"/>
        <v>34.01</v>
      </c>
      <c r="J411" s="79">
        <f t="shared" si="65"/>
        <v>26.69</v>
      </c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</row>
    <row r="412" spans="1:28" x14ac:dyDescent="0.2">
      <c r="A412" s="6"/>
      <c r="B412" s="98" t="s">
        <v>16</v>
      </c>
      <c r="C412" s="79">
        <v>30.64</v>
      </c>
      <c r="D412" s="106">
        <f>D409</f>
        <v>0.78459999999999996</v>
      </c>
      <c r="E412" s="104">
        <f t="shared" si="66"/>
        <v>24.04</v>
      </c>
      <c r="F412" s="107">
        <f>F409</f>
        <v>0.96</v>
      </c>
      <c r="G412" s="107">
        <f>G409</f>
        <v>0.96</v>
      </c>
      <c r="H412" s="71"/>
      <c r="I412" s="79">
        <f t="shared" si="64"/>
        <v>29.41</v>
      </c>
      <c r="J412" s="79">
        <f t="shared" si="65"/>
        <v>23.08</v>
      </c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</row>
    <row r="413" spans="1:28" x14ac:dyDescent="0.2">
      <c r="A413" s="6"/>
      <c r="B413" s="98" t="s">
        <v>17</v>
      </c>
      <c r="C413" s="79">
        <v>30.3</v>
      </c>
      <c r="D413" s="106">
        <f>D409</f>
        <v>0.78459999999999996</v>
      </c>
      <c r="E413" s="104">
        <f t="shared" si="66"/>
        <v>23.77</v>
      </c>
      <c r="F413" s="107">
        <f>F409</f>
        <v>0.96</v>
      </c>
      <c r="G413" s="107">
        <f>G409</f>
        <v>0.96</v>
      </c>
      <c r="H413" s="71"/>
      <c r="I413" s="79">
        <f t="shared" si="64"/>
        <v>29.09</v>
      </c>
      <c r="J413" s="79">
        <f t="shared" si="65"/>
        <v>22.82</v>
      </c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</row>
    <row r="414" spans="1:28" x14ac:dyDescent="0.2">
      <c r="A414" s="6"/>
      <c r="B414" s="98" t="s">
        <v>18</v>
      </c>
      <c r="C414" s="79">
        <v>30.23</v>
      </c>
      <c r="D414" s="106">
        <v>0.65310000000000001</v>
      </c>
      <c r="E414" s="104">
        <f t="shared" si="66"/>
        <v>19.739999999999998</v>
      </c>
      <c r="F414" s="20">
        <v>0.96</v>
      </c>
      <c r="G414" s="20">
        <v>0.91</v>
      </c>
      <c r="H414" s="71"/>
      <c r="I414" s="79">
        <f t="shared" si="64"/>
        <v>29.02</v>
      </c>
      <c r="J414" s="79">
        <f t="shared" si="65"/>
        <v>17.96</v>
      </c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</row>
    <row r="415" spans="1:28" x14ac:dyDescent="0.2">
      <c r="A415" s="6"/>
      <c r="B415" s="98" t="s">
        <v>19</v>
      </c>
      <c r="C415" s="79">
        <v>35.770000000000003</v>
      </c>
      <c r="D415" s="106">
        <f>D414</f>
        <v>0.65310000000000001</v>
      </c>
      <c r="E415" s="104">
        <f t="shared" si="66"/>
        <v>23.36</v>
      </c>
      <c r="F415" s="107">
        <f>F414</f>
        <v>0.96</v>
      </c>
      <c r="G415" s="107">
        <f>G414</f>
        <v>0.91</v>
      </c>
      <c r="H415" s="71"/>
      <c r="I415" s="79">
        <f t="shared" si="64"/>
        <v>34.340000000000003</v>
      </c>
      <c r="J415" s="79">
        <f t="shared" si="65"/>
        <v>21.26</v>
      </c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</row>
    <row r="416" spans="1:28" x14ac:dyDescent="0.2">
      <c r="A416" s="6"/>
      <c r="B416" s="98" t="s">
        <v>20</v>
      </c>
      <c r="C416" s="79">
        <v>32.56</v>
      </c>
      <c r="D416" s="106">
        <f>D414</f>
        <v>0.65310000000000001</v>
      </c>
      <c r="E416" s="104">
        <f t="shared" si="66"/>
        <v>21.26</v>
      </c>
      <c r="F416" s="107">
        <f>F414</f>
        <v>0.96</v>
      </c>
      <c r="G416" s="107">
        <f>G414</f>
        <v>0.91</v>
      </c>
      <c r="H416" s="71"/>
      <c r="I416" s="79">
        <f t="shared" si="64"/>
        <v>31.26</v>
      </c>
      <c r="J416" s="79">
        <f t="shared" si="65"/>
        <v>19.350000000000001</v>
      </c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</row>
    <row r="417" spans="1:28" x14ac:dyDescent="0.2">
      <c r="A417" s="6"/>
      <c r="B417" s="98" t="s">
        <v>21</v>
      </c>
      <c r="C417" s="79">
        <v>30.95</v>
      </c>
      <c r="D417" s="106">
        <f>D414</f>
        <v>0.65310000000000001</v>
      </c>
      <c r="E417" s="104">
        <f t="shared" si="66"/>
        <v>20.21</v>
      </c>
      <c r="F417" s="107">
        <f>F414</f>
        <v>0.96</v>
      </c>
      <c r="G417" s="107">
        <f>G414</f>
        <v>0.91</v>
      </c>
      <c r="H417" s="71"/>
      <c r="I417" s="79">
        <f t="shared" si="64"/>
        <v>29.71</v>
      </c>
      <c r="J417" s="79">
        <f t="shared" si="65"/>
        <v>18.39</v>
      </c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</row>
    <row r="418" spans="1:28" x14ac:dyDescent="0.2">
      <c r="A418" s="6"/>
      <c r="B418" s="98" t="s">
        <v>22</v>
      </c>
      <c r="C418" s="79">
        <v>29.6</v>
      </c>
      <c r="D418" s="106">
        <f>D409</f>
        <v>0.78459999999999996</v>
      </c>
      <c r="E418" s="104">
        <f t="shared" si="66"/>
        <v>23.22</v>
      </c>
      <c r="F418" s="107">
        <f>F409</f>
        <v>0.96</v>
      </c>
      <c r="G418" s="107">
        <f>G409</f>
        <v>0.96</v>
      </c>
      <c r="H418" s="71"/>
      <c r="I418" s="79">
        <f t="shared" si="64"/>
        <v>28.42</v>
      </c>
      <c r="J418" s="79">
        <f t="shared" si="65"/>
        <v>22.29</v>
      </c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</row>
    <row r="419" spans="1:28" x14ac:dyDescent="0.2">
      <c r="A419" s="6"/>
      <c r="B419" s="98" t="s">
        <v>23</v>
      </c>
      <c r="C419" s="79">
        <v>30.09</v>
      </c>
      <c r="D419" s="106">
        <f>D409</f>
        <v>0.78459999999999996</v>
      </c>
      <c r="E419" s="104">
        <f t="shared" si="66"/>
        <v>23.61</v>
      </c>
      <c r="F419" s="107">
        <f>F409</f>
        <v>0.96</v>
      </c>
      <c r="G419" s="107">
        <f>G409</f>
        <v>0.96</v>
      </c>
      <c r="H419" s="71"/>
      <c r="I419" s="79">
        <f t="shared" si="64"/>
        <v>28.89</v>
      </c>
      <c r="J419" s="79">
        <f t="shared" si="65"/>
        <v>22.67</v>
      </c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</row>
    <row r="420" spans="1:28" x14ac:dyDescent="0.2">
      <c r="A420" s="6"/>
      <c r="B420" s="98" t="s">
        <v>24</v>
      </c>
      <c r="C420" s="79">
        <v>33.46</v>
      </c>
      <c r="D420" s="106">
        <f>D409</f>
        <v>0.78459999999999996</v>
      </c>
      <c r="E420" s="104">
        <f t="shared" si="66"/>
        <v>26.25</v>
      </c>
      <c r="F420" s="107">
        <f>F409</f>
        <v>0.96</v>
      </c>
      <c r="G420" s="107">
        <f>G409</f>
        <v>0.96</v>
      </c>
      <c r="H420" s="71"/>
      <c r="I420" s="79">
        <f t="shared" si="64"/>
        <v>32.119999999999997</v>
      </c>
      <c r="J420" s="79">
        <f t="shared" si="65"/>
        <v>25.2</v>
      </c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</row>
    <row r="421" spans="1:28" x14ac:dyDescent="0.2">
      <c r="A421" s="6"/>
      <c r="B421" s="98"/>
      <c r="C421" s="79"/>
      <c r="D421" s="79"/>
      <c r="E421" s="145"/>
      <c r="F421" s="71"/>
      <c r="G421" s="71"/>
      <c r="H421" s="71"/>
      <c r="I421" s="71"/>
      <c r="J421" s="71"/>
      <c r="K421" s="20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</row>
    <row r="422" spans="1:28" x14ac:dyDescent="0.2">
      <c r="A422" s="6"/>
      <c r="B422" s="98"/>
      <c r="C422" s="79"/>
      <c r="D422" s="79"/>
      <c r="E422" s="71"/>
      <c r="F422" s="71"/>
      <c r="G422" s="71"/>
      <c r="H422" s="71"/>
      <c r="I422" s="71"/>
      <c r="J422" s="71"/>
      <c r="K422" s="20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</row>
    <row r="423" spans="1:28" x14ac:dyDescent="0.2">
      <c r="A423" s="6"/>
      <c r="B423" s="98"/>
      <c r="C423" s="79"/>
      <c r="D423" s="79"/>
      <c r="E423" s="71"/>
      <c r="F423" s="71"/>
      <c r="G423" s="71"/>
      <c r="H423" s="71"/>
      <c r="I423" s="71"/>
      <c r="J423" s="71"/>
      <c r="K423" s="20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</row>
    <row r="424" spans="1:28" x14ac:dyDescent="0.2">
      <c r="A424" s="115"/>
      <c r="B424" s="13" t="s">
        <v>203</v>
      </c>
      <c r="C424" s="71"/>
      <c r="D424" s="71"/>
      <c r="E424" s="71"/>
      <c r="F424" s="214" t="s">
        <v>204</v>
      </c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</row>
    <row r="425" spans="1:28" x14ac:dyDescent="0.2">
      <c r="A425" s="115"/>
      <c r="B425" s="7" t="s">
        <v>60</v>
      </c>
      <c r="C425" s="146"/>
      <c r="D425" s="146"/>
      <c r="E425" s="71"/>
      <c r="F425" s="18" t="str">
        <f>"system ("&amp;TEXT(D447*100,"0.0")&amp;"% PJM - "&amp;TEXT(E447*100,"0.0")&amp;"% NYISO)"</f>
        <v>system (88.2% PJM - 11.8% NYISO)</v>
      </c>
      <c r="G425" s="146"/>
      <c r="H425" s="146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</row>
    <row r="426" spans="1:28" x14ac:dyDescent="0.2">
      <c r="A426" s="115"/>
      <c r="B426" s="7"/>
      <c r="C426" s="146"/>
      <c r="D426" s="146"/>
      <c r="E426" s="71"/>
      <c r="F426" s="7" t="s">
        <v>60</v>
      </c>
      <c r="G426" s="146"/>
      <c r="H426" s="146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</row>
    <row r="427" spans="1:28" x14ac:dyDescent="0.2">
      <c r="A427" s="115"/>
      <c r="B427" s="71"/>
      <c r="C427" s="22" t="s">
        <v>48</v>
      </c>
      <c r="D427" s="22" t="s">
        <v>49</v>
      </c>
      <c r="E427" s="71"/>
      <c r="F427" s="71"/>
      <c r="G427" s="22" t="s">
        <v>48</v>
      </c>
      <c r="H427" s="22" t="s">
        <v>49</v>
      </c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</row>
    <row r="428" spans="1:28" x14ac:dyDescent="0.2">
      <c r="A428" s="115"/>
      <c r="B428" s="98" t="s">
        <v>13</v>
      </c>
      <c r="C428" s="79">
        <v>63.75</v>
      </c>
      <c r="D428" s="79">
        <v>56.25</v>
      </c>
      <c r="E428" s="71"/>
      <c r="F428" s="98" t="s">
        <v>13</v>
      </c>
      <c r="G428" s="79">
        <f t="shared" ref="G428:H439" si="67">ROUND($J$428*I409+$J$429*C428,2)</f>
        <v>47.27</v>
      </c>
      <c r="H428" s="79">
        <f t="shared" si="67"/>
        <v>37.83</v>
      </c>
      <c r="I428" s="71"/>
      <c r="J428" s="216">
        <f>D447</f>
        <v>0.88183421516754856</v>
      </c>
      <c r="K428" s="71" t="s">
        <v>205</v>
      </c>
      <c r="L428" s="71"/>
      <c r="M428" s="71"/>
      <c r="N428" s="71"/>
      <c r="O428" s="71"/>
      <c r="P428" s="71"/>
      <c r="Q428" s="79">
        <f>AVERAGE(G433:G436)</f>
        <v>31.25</v>
      </c>
      <c r="R428" s="79">
        <f>AVERAGE(H433:H436)</f>
        <v>19.512499999999999</v>
      </c>
      <c r="S428" s="71"/>
      <c r="T428" s="71"/>
      <c r="U428" s="71"/>
      <c r="V428" s="71"/>
      <c r="W428" s="71"/>
      <c r="X428" s="71"/>
      <c r="Y428" s="71"/>
      <c r="Z428" s="71"/>
      <c r="AA428" s="71"/>
      <c r="AB428" s="71"/>
    </row>
    <row r="429" spans="1:28" x14ac:dyDescent="0.2">
      <c r="A429" s="115"/>
      <c r="B429" s="98" t="s">
        <v>14</v>
      </c>
      <c r="C429" s="79">
        <v>61.5</v>
      </c>
      <c r="D429" s="79">
        <v>53.75</v>
      </c>
      <c r="E429" s="71"/>
      <c r="F429" s="98" t="s">
        <v>14</v>
      </c>
      <c r="G429" s="79">
        <f t="shared" si="67"/>
        <v>44.9</v>
      </c>
      <c r="H429" s="79">
        <f t="shared" si="67"/>
        <v>35.880000000000003</v>
      </c>
      <c r="I429" s="71"/>
      <c r="J429" s="216">
        <f>E447</f>
        <v>0.11816578483245152</v>
      </c>
      <c r="K429" s="71" t="s">
        <v>206</v>
      </c>
      <c r="L429" s="71"/>
      <c r="M429" s="71"/>
      <c r="N429" s="71"/>
      <c r="O429" s="71"/>
      <c r="P429" s="71"/>
      <c r="Q429" s="79">
        <f>AVERAGE(G428:G432,G437:G439)</f>
        <v>34.59375</v>
      </c>
      <c r="R429" s="79">
        <f>AVERAGE(H428:H432,H437:H439)</f>
        <v>27.233750000000004</v>
      </c>
      <c r="S429" s="71"/>
      <c r="T429" s="71"/>
      <c r="U429" s="71"/>
      <c r="V429" s="71"/>
      <c r="W429" s="71"/>
      <c r="X429" s="71"/>
      <c r="Y429" s="71"/>
      <c r="Z429" s="71"/>
      <c r="AA429" s="71"/>
      <c r="AB429" s="71"/>
    </row>
    <row r="430" spans="1:28" x14ac:dyDescent="0.2">
      <c r="A430" s="115"/>
      <c r="B430" s="98" t="s">
        <v>15</v>
      </c>
      <c r="C430" s="79">
        <v>38.75</v>
      </c>
      <c r="D430" s="79">
        <v>30</v>
      </c>
      <c r="E430" s="71"/>
      <c r="F430" s="98" t="s">
        <v>15</v>
      </c>
      <c r="G430" s="79">
        <f t="shared" si="67"/>
        <v>34.57</v>
      </c>
      <c r="H430" s="79">
        <f t="shared" si="67"/>
        <v>27.08</v>
      </c>
      <c r="I430" s="71"/>
      <c r="J430" s="71"/>
      <c r="K430" s="71"/>
      <c r="L430" s="71"/>
      <c r="M430" s="71"/>
      <c r="N430" s="71"/>
      <c r="O430" s="71"/>
      <c r="P430" s="71"/>
      <c r="Q430" s="71">
        <f>Q428/Q429</f>
        <v>0.90334236675700086</v>
      </c>
      <c r="R430" s="71">
        <f>R428/R429</f>
        <v>0.71648230596227092</v>
      </c>
      <c r="S430" s="71"/>
      <c r="T430" s="71"/>
      <c r="U430" s="71"/>
      <c r="V430" s="71"/>
      <c r="W430" s="71"/>
      <c r="X430" s="71"/>
      <c r="Y430" s="71"/>
      <c r="Z430" s="71"/>
      <c r="AA430" s="71"/>
      <c r="AB430" s="71"/>
    </row>
    <row r="431" spans="1:28" x14ac:dyDescent="0.2">
      <c r="A431" s="115"/>
      <c r="B431" s="98" t="s">
        <v>16</v>
      </c>
      <c r="C431" s="79">
        <v>30.5</v>
      </c>
      <c r="D431" s="79">
        <v>22</v>
      </c>
      <c r="E431" s="71"/>
      <c r="F431" s="98" t="s">
        <v>16</v>
      </c>
      <c r="G431" s="79">
        <f t="shared" si="67"/>
        <v>29.54</v>
      </c>
      <c r="H431" s="79">
        <f t="shared" si="67"/>
        <v>22.95</v>
      </c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</row>
    <row r="432" spans="1:28" x14ac:dyDescent="0.2">
      <c r="A432" s="115"/>
      <c r="B432" s="98" t="s">
        <v>17</v>
      </c>
      <c r="C432" s="79">
        <v>27.75</v>
      </c>
      <c r="D432" s="79">
        <v>19.5</v>
      </c>
      <c r="E432" s="71"/>
      <c r="F432" s="98" t="s">
        <v>17</v>
      </c>
      <c r="G432" s="79">
        <f t="shared" si="67"/>
        <v>28.93</v>
      </c>
      <c r="H432" s="79">
        <f t="shared" si="67"/>
        <v>22.43</v>
      </c>
      <c r="I432" s="71"/>
      <c r="J432" s="71"/>
      <c r="K432" s="71"/>
      <c r="L432" s="71"/>
      <c r="M432" s="71"/>
      <c r="N432" s="71"/>
      <c r="O432" s="71"/>
      <c r="P432" s="71"/>
      <c r="Q432" s="79">
        <f>AVERAGE(G428:G439)</f>
        <v>33.479166666666664</v>
      </c>
      <c r="R432" s="79">
        <f>AVERAGE(H428:H439)</f>
        <v>24.66</v>
      </c>
      <c r="S432" s="71">
        <f>Q432/R432</f>
        <v>1.3576304406596376</v>
      </c>
      <c r="T432" s="71"/>
      <c r="U432" s="71"/>
      <c r="V432" s="71"/>
      <c r="W432" s="71"/>
      <c r="X432" s="71"/>
      <c r="Y432" s="71"/>
      <c r="Z432" s="71"/>
      <c r="AA432" s="71"/>
      <c r="AB432" s="71"/>
    </row>
    <row r="433" spans="1:28" x14ac:dyDescent="0.2">
      <c r="A433" s="115"/>
      <c r="B433" s="98" t="s">
        <v>18</v>
      </c>
      <c r="C433" s="79">
        <v>29.75</v>
      </c>
      <c r="D433" s="79">
        <v>19.75</v>
      </c>
      <c r="E433" s="71"/>
      <c r="F433" s="98" t="s">
        <v>18</v>
      </c>
      <c r="G433" s="79">
        <f t="shared" si="67"/>
        <v>29.11</v>
      </c>
      <c r="H433" s="79">
        <f t="shared" si="67"/>
        <v>18.170000000000002</v>
      </c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</row>
    <row r="434" spans="1:28" x14ac:dyDescent="0.2">
      <c r="A434" s="115"/>
      <c r="B434" s="98" t="s">
        <v>19</v>
      </c>
      <c r="C434" s="79">
        <v>36.25</v>
      </c>
      <c r="D434" s="79">
        <v>24</v>
      </c>
      <c r="E434" s="71"/>
      <c r="F434" s="98" t="s">
        <v>19</v>
      </c>
      <c r="G434" s="79">
        <f t="shared" si="67"/>
        <v>34.57</v>
      </c>
      <c r="H434" s="79">
        <f t="shared" si="67"/>
        <v>21.58</v>
      </c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</row>
    <row r="435" spans="1:28" x14ac:dyDescent="0.2">
      <c r="A435" s="115"/>
      <c r="B435" s="98" t="s">
        <v>20</v>
      </c>
      <c r="C435" s="79">
        <v>33.75</v>
      </c>
      <c r="D435" s="79">
        <v>22.5</v>
      </c>
      <c r="E435" s="71"/>
      <c r="F435" s="98" t="s">
        <v>20</v>
      </c>
      <c r="G435" s="79">
        <f t="shared" si="67"/>
        <v>31.55</v>
      </c>
      <c r="H435" s="79">
        <f t="shared" si="67"/>
        <v>19.72</v>
      </c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</row>
    <row r="436" spans="1:28" x14ac:dyDescent="0.2">
      <c r="A436" s="115"/>
      <c r="B436" s="98" t="s">
        <v>21</v>
      </c>
      <c r="C436" s="79">
        <v>30.25</v>
      </c>
      <c r="D436" s="79">
        <v>20</v>
      </c>
      <c r="E436" s="71"/>
      <c r="F436" s="98" t="s">
        <v>21</v>
      </c>
      <c r="G436" s="79">
        <f t="shared" si="67"/>
        <v>29.77</v>
      </c>
      <c r="H436" s="79">
        <f t="shared" si="67"/>
        <v>18.579999999999998</v>
      </c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</row>
    <row r="437" spans="1:28" x14ac:dyDescent="0.2">
      <c r="A437" s="115"/>
      <c r="B437" s="98" t="s">
        <v>22</v>
      </c>
      <c r="C437" s="79">
        <v>29.25</v>
      </c>
      <c r="D437" s="79">
        <v>20.25</v>
      </c>
      <c r="E437" s="71"/>
      <c r="F437" s="98" t="s">
        <v>22</v>
      </c>
      <c r="G437" s="79">
        <f t="shared" si="67"/>
        <v>28.52</v>
      </c>
      <c r="H437" s="79">
        <f t="shared" si="67"/>
        <v>22.05</v>
      </c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</row>
    <row r="438" spans="1:28" x14ac:dyDescent="0.2">
      <c r="A438" s="115"/>
      <c r="B438" s="98" t="s">
        <v>23</v>
      </c>
      <c r="C438" s="79">
        <v>32.5</v>
      </c>
      <c r="D438" s="79">
        <v>25.25</v>
      </c>
      <c r="E438" s="71"/>
      <c r="F438" s="98" t="s">
        <v>23</v>
      </c>
      <c r="G438" s="79">
        <f t="shared" si="67"/>
        <v>29.32</v>
      </c>
      <c r="H438" s="79">
        <f t="shared" si="67"/>
        <v>22.97</v>
      </c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</row>
    <row r="439" spans="1:28" x14ac:dyDescent="0.2">
      <c r="A439" s="115"/>
      <c r="B439" s="98" t="s">
        <v>24</v>
      </c>
      <c r="C439" s="79">
        <v>45.5</v>
      </c>
      <c r="D439" s="79">
        <v>37.75</v>
      </c>
      <c r="E439" s="71"/>
      <c r="F439" s="98" t="s">
        <v>24</v>
      </c>
      <c r="G439" s="79">
        <f t="shared" si="67"/>
        <v>33.700000000000003</v>
      </c>
      <c r="H439" s="79">
        <f t="shared" si="67"/>
        <v>26.68</v>
      </c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</row>
    <row r="440" spans="1:28" x14ac:dyDescent="0.2">
      <c r="A440" s="115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</row>
    <row r="441" spans="1:28" x14ac:dyDescent="0.2">
      <c r="A441" s="115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</row>
    <row r="442" spans="1:28" x14ac:dyDescent="0.2">
      <c r="A442" s="115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</row>
    <row r="443" spans="1:28" x14ac:dyDescent="0.2">
      <c r="A443" s="156" t="s">
        <v>207</v>
      </c>
      <c r="B443" s="18" t="s">
        <v>208</v>
      </c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</row>
    <row r="444" spans="1:28" x14ac:dyDescent="0.2">
      <c r="A444" s="115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</row>
    <row r="445" spans="1:28" x14ac:dyDescent="0.2">
      <c r="A445" s="115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</row>
    <row r="446" spans="1:28" x14ac:dyDescent="0.2">
      <c r="A446" s="115"/>
      <c r="B446" s="71"/>
      <c r="C446" s="157" t="s">
        <v>209</v>
      </c>
      <c r="D446" s="76" t="s">
        <v>205</v>
      </c>
      <c r="E446" s="76" t="s">
        <v>206</v>
      </c>
      <c r="F446" s="76" t="s">
        <v>210</v>
      </c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</row>
    <row r="447" spans="1:28" x14ac:dyDescent="0.2">
      <c r="A447" s="115"/>
      <c r="B447" s="71"/>
      <c r="C447" s="217" t="s">
        <v>211</v>
      </c>
      <c r="D447" s="218">
        <f>4/(4+M466)</f>
        <v>0.88183421516754856</v>
      </c>
      <c r="E447" s="218">
        <f>M466/(4+M466)</f>
        <v>0.11816578483245152</v>
      </c>
      <c r="F447" s="219" t="s">
        <v>212</v>
      </c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</row>
    <row r="448" spans="1:28" x14ac:dyDescent="0.2">
      <c r="A448" s="115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87" t="s">
        <v>213</v>
      </c>
      <c r="R448" s="71" t="s">
        <v>214</v>
      </c>
      <c r="S448" s="71" t="s">
        <v>215</v>
      </c>
      <c r="T448" s="71"/>
      <c r="U448" s="71"/>
      <c r="V448" s="71"/>
      <c r="W448" s="71"/>
      <c r="X448" s="71"/>
      <c r="Y448" s="71"/>
      <c r="Z448" s="71"/>
      <c r="AA448" s="71"/>
      <c r="AB448" s="71"/>
    </row>
    <row r="449" spans="1:28" x14ac:dyDescent="0.2">
      <c r="A449" s="115"/>
      <c r="B449" s="76" t="s">
        <v>68</v>
      </c>
      <c r="C449" s="220">
        <v>169.63</v>
      </c>
      <c r="D449" s="86">
        <f>C449</f>
        <v>169.63</v>
      </c>
      <c r="E449" s="86">
        <v>156.25434782608696</v>
      </c>
      <c r="F449" s="94">
        <f>ROUND(D449*D$447+E449*E$447,2)</f>
        <v>168.05</v>
      </c>
      <c r="G449" s="71"/>
      <c r="H449" s="94"/>
      <c r="I449" s="71"/>
      <c r="J449" s="71"/>
      <c r="K449" s="71"/>
      <c r="L449" s="71"/>
      <c r="M449" s="71"/>
      <c r="N449" s="71"/>
      <c r="O449" s="71"/>
      <c r="P449" s="71" t="s">
        <v>216</v>
      </c>
      <c r="Q449" s="71">
        <v>2.25</v>
      </c>
      <c r="R449" s="71">
        <f>Q449*1000</f>
        <v>2250</v>
      </c>
      <c r="S449" s="71">
        <v>31</v>
      </c>
      <c r="T449" s="71"/>
      <c r="U449" s="71"/>
      <c r="V449" s="71"/>
      <c r="W449" s="71"/>
      <c r="X449" s="71"/>
      <c r="Y449" s="71"/>
      <c r="Z449" s="71"/>
      <c r="AA449" s="71"/>
      <c r="AB449" s="71"/>
    </row>
    <row r="450" spans="1:28" x14ac:dyDescent="0.2">
      <c r="A450" s="115"/>
      <c r="B450" s="76"/>
      <c r="C450" s="76"/>
      <c r="D450" s="86"/>
      <c r="E450" s="86"/>
      <c r="F450" s="94"/>
      <c r="G450" s="71"/>
      <c r="H450" s="71"/>
      <c r="I450" s="71"/>
      <c r="J450" s="71"/>
      <c r="K450" s="71"/>
      <c r="L450" s="71"/>
      <c r="M450" s="71"/>
      <c r="N450" s="71"/>
      <c r="O450" s="71"/>
      <c r="P450" s="71" t="s">
        <v>217</v>
      </c>
      <c r="Q450" s="71">
        <v>1.25</v>
      </c>
      <c r="R450" s="71">
        <f>Q450*1000</f>
        <v>1250</v>
      </c>
      <c r="S450" s="71">
        <v>30</v>
      </c>
      <c r="T450" s="71"/>
      <c r="U450" s="71"/>
      <c r="V450" s="71"/>
      <c r="W450" s="71"/>
      <c r="X450" s="71"/>
      <c r="Y450" s="71"/>
      <c r="Z450" s="71"/>
      <c r="AA450" s="71"/>
      <c r="AB450" s="71"/>
    </row>
    <row r="451" spans="1:28" x14ac:dyDescent="0.2">
      <c r="A451" s="115"/>
      <c r="B451" s="76" t="s">
        <v>61</v>
      </c>
      <c r="C451" s="86">
        <f>C449</f>
        <v>169.63</v>
      </c>
      <c r="D451" s="86">
        <f>C451</f>
        <v>169.63</v>
      </c>
      <c r="E451" s="108">
        <v>22.344198895027624</v>
      </c>
      <c r="F451" s="94">
        <f>ROUND(D451*D$447+E451*E$447,2)</f>
        <v>152.22999999999999</v>
      </c>
      <c r="G451" s="71"/>
      <c r="H451" s="71"/>
      <c r="I451" s="87"/>
      <c r="J451" s="71"/>
      <c r="K451" s="71"/>
      <c r="L451" s="71"/>
      <c r="M451" s="71"/>
      <c r="N451" s="71"/>
      <c r="O451" s="71"/>
      <c r="P451" s="71" t="s">
        <v>218</v>
      </c>
      <c r="Q451" s="71">
        <v>1.25</v>
      </c>
      <c r="R451" s="71">
        <f t="shared" ref="Q451:R456" si="68">Q451*1000</f>
        <v>1250</v>
      </c>
      <c r="S451" s="71">
        <v>31</v>
      </c>
      <c r="T451" s="71"/>
      <c r="U451" s="71"/>
      <c r="V451" s="71"/>
      <c r="W451" s="71"/>
      <c r="X451" s="71"/>
      <c r="Y451" s="71"/>
      <c r="Z451" s="71"/>
      <c r="AA451" s="71"/>
      <c r="AB451" s="71"/>
    </row>
    <row r="452" spans="1:28" x14ac:dyDescent="0.2">
      <c r="A452" s="115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 t="s">
        <v>219</v>
      </c>
      <c r="P452" s="71">
        <v>1.25</v>
      </c>
      <c r="Q452" s="71">
        <f t="shared" si="68"/>
        <v>1250</v>
      </c>
      <c r="R452" s="71">
        <v>30</v>
      </c>
      <c r="S452" s="71"/>
      <c r="T452" s="71"/>
      <c r="U452" s="71"/>
      <c r="V452" s="71"/>
      <c r="W452" s="71"/>
      <c r="X452" s="71"/>
      <c r="Y452" s="71"/>
      <c r="Z452" s="71"/>
      <c r="AA452" s="71"/>
      <c r="AB452" s="71"/>
    </row>
    <row r="453" spans="1:28" x14ac:dyDescent="0.2">
      <c r="A453" s="115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 t="s">
        <v>220</v>
      </c>
      <c r="P453" s="71">
        <v>1.25</v>
      </c>
      <c r="Q453" s="71">
        <f t="shared" si="68"/>
        <v>1250</v>
      </c>
      <c r="R453" s="71">
        <v>28</v>
      </c>
      <c r="S453" s="71"/>
      <c r="T453" s="71"/>
      <c r="U453" s="71"/>
      <c r="V453" s="71"/>
      <c r="W453" s="71"/>
      <c r="X453" s="71"/>
      <c r="Y453" s="71"/>
      <c r="Z453" s="71"/>
      <c r="AA453" s="71"/>
      <c r="AB453" s="71"/>
    </row>
    <row r="454" spans="1:28" x14ac:dyDescent="0.2">
      <c r="A454" s="115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 t="s">
        <v>221</v>
      </c>
      <c r="P454" s="71">
        <v>1.25</v>
      </c>
      <c r="Q454" s="71">
        <f t="shared" si="68"/>
        <v>1250</v>
      </c>
      <c r="R454" s="71">
        <v>31</v>
      </c>
      <c r="S454" s="71"/>
      <c r="T454" s="71"/>
      <c r="U454" s="71"/>
      <c r="V454" s="71"/>
      <c r="W454" s="71"/>
      <c r="X454" s="71"/>
      <c r="Y454" s="71"/>
      <c r="Z454" s="71"/>
      <c r="AA454" s="71"/>
      <c r="AB454" s="71"/>
    </row>
    <row r="455" spans="1:28" x14ac:dyDescent="0.2">
      <c r="A455" s="156" t="s">
        <v>222</v>
      </c>
      <c r="B455" s="18" t="s">
        <v>114</v>
      </c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 t="s">
        <v>223</v>
      </c>
      <c r="P455" s="71">
        <v>1.25</v>
      </c>
      <c r="Q455" s="71">
        <f t="shared" si="68"/>
        <v>1250</v>
      </c>
      <c r="R455" s="71">
        <v>30</v>
      </c>
      <c r="S455" s="71"/>
      <c r="T455" s="71"/>
      <c r="U455" s="71"/>
      <c r="V455" s="71"/>
      <c r="W455" s="71"/>
      <c r="X455" s="71"/>
      <c r="Y455" s="71"/>
      <c r="Z455" s="71"/>
      <c r="AA455" s="71"/>
      <c r="AB455" s="71"/>
    </row>
    <row r="456" spans="1:28" x14ac:dyDescent="0.2">
      <c r="A456" s="115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 t="s">
        <v>17</v>
      </c>
      <c r="P456" s="71">
        <v>2</v>
      </c>
      <c r="Q456" s="71">
        <f t="shared" si="68"/>
        <v>2000</v>
      </c>
      <c r="R456" s="71">
        <v>31</v>
      </c>
      <c r="S456" s="71"/>
      <c r="T456" s="71"/>
      <c r="U456" s="71"/>
      <c r="V456" s="71"/>
      <c r="W456" s="71"/>
      <c r="X456" s="71"/>
      <c r="Y456" s="71"/>
      <c r="Z456" s="71"/>
      <c r="AA456" s="71"/>
      <c r="AB456" s="71"/>
    </row>
    <row r="457" spans="1:28" x14ac:dyDescent="0.2">
      <c r="A457" s="115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>
        <f>SUM(P449:P456)</f>
        <v>7</v>
      </c>
      <c r="Q457" s="71">
        <f>SUM(Q449:Q456)</f>
        <v>7004.75</v>
      </c>
      <c r="R457" s="71">
        <f>SUM(R449:R456)</f>
        <v>4900</v>
      </c>
      <c r="S457" s="71">
        <f>Q457/R457</f>
        <v>1.4295408163265306</v>
      </c>
      <c r="T457" s="71"/>
      <c r="U457" s="71"/>
      <c r="V457" s="71"/>
      <c r="W457" s="71"/>
      <c r="X457" s="71"/>
      <c r="Y457" s="71"/>
      <c r="Z457" s="71"/>
      <c r="AA457" s="71"/>
      <c r="AB457" s="71"/>
    </row>
    <row r="458" spans="1:28" x14ac:dyDescent="0.2">
      <c r="A458" s="115"/>
      <c r="B458" s="71"/>
      <c r="C458" s="76" t="s">
        <v>224</v>
      </c>
      <c r="D458" s="76" t="s">
        <v>225</v>
      </c>
      <c r="E458" s="76" t="s">
        <v>226</v>
      </c>
      <c r="F458" s="76" t="s">
        <v>205</v>
      </c>
      <c r="G458" s="76" t="s">
        <v>206</v>
      </c>
      <c r="H458" s="76" t="s">
        <v>210</v>
      </c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</row>
    <row r="459" spans="1:28" x14ac:dyDescent="0.2">
      <c r="A459" s="115"/>
      <c r="B459" s="71"/>
      <c r="C459" s="219" t="s">
        <v>227</v>
      </c>
      <c r="D459" s="219" t="s">
        <v>227</v>
      </c>
      <c r="E459" s="219" t="s">
        <v>228</v>
      </c>
      <c r="F459" s="218">
        <f>D447</f>
        <v>0.88183421516754856</v>
      </c>
      <c r="G459" s="218">
        <f>E447</f>
        <v>0.11816578483245152</v>
      </c>
      <c r="H459" s="219" t="s">
        <v>212</v>
      </c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</row>
    <row r="460" spans="1:28" x14ac:dyDescent="0.2">
      <c r="A460" s="115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</row>
    <row r="461" spans="1:28" x14ac:dyDescent="0.2">
      <c r="A461" s="115"/>
      <c r="B461" s="76"/>
      <c r="C461" s="23">
        <v>2</v>
      </c>
      <c r="D461" s="23">
        <v>1.9</v>
      </c>
      <c r="E461" s="23">
        <v>16.25</v>
      </c>
      <c r="F461" s="23">
        <f>C461+E461</f>
        <v>18.25</v>
      </c>
      <c r="G461" s="23">
        <f>E461+D461</f>
        <v>18.149999999999999</v>
      </c>
      <c r="H461" s="23">
        <f>ROUND(F461*F$459+G461*G$459,2)</f>
        <v>18.239999999999998</v>
      </c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</row>
    <row r="462" spans="1:28" x14ac:dyDescent="0.2">
      <c r="A462" s="115"/>
      <c r="B462" s="76"/>
      <c r="C462" s="23"/>
      <c r="D462" s="23"/>
      <c r="E462" s="23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</row>
    <row r="463" spans="1:28" ht="13.5" thickBot="1" x14ac:dyDescent="0.25">
      <c r="A463" s="13" t="s">
        <v>229</v>
      </c>
      <c r="B463" s="71"/>
      <c r="C463" s="71"/>
      <c r="D463" s="71"/>
      <c r="E463" s="16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</row>
    <row r="464" spans="1:28" x14ac:dyDescent="0.2">
      <c r="A464" s="6"/>
      <c r="B464" s="76" t="s">
        <v>230</v>
      </c>
      <c r="C464" s="94">
        <f>F449</f>
        <v>168.05</v>
      </c>
      <c r="D464" s="95" t="s">
        <v>231</v>
      </c>
      <c r="E464" s="71"/>
      <c r="F464" s="71"/>
      <c r="G464" s="71"/>
      <c r="H464" s="71"/>
      <c r="I464" s="71"/>
      <c r="J464" s="71"/>
      <c r="K464" s="71"/>
      <c r="L464" s="221" t="s">
        <v>232</v>
      </c>
      <c r="M464" s="222">
        <v>53.6</v>
      </c>
      <c r="N464" s="190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</row>
    <row r="465" spans="1:28" x14ac:dyDescent="0.2">
      <c r="A465" s="6"/>
      <c r="B465" s="76"/>
      <c r="C465" s="94">
        <f>+F451</f>
        <v>152.22999999999999</v>
      </c>
      <c r="D465" s="95" t="s">
        <v>233</v>
      </c>
      <c r="E465" s="71"/>
      <c r="F465" s="71"/>
      <c r="G465" s="71"/>
      <c r="H465" s="71"/>
      <c r="I465" s="71"/>
      <c r="J465" s="71"/>
      <c r="K465" s="71"/>
      <c r="L465" s="223" t="s">
        <v>234</v>
      </c>
      <c r="M465" s="224">
        <f>400/4</f>
        <v>100</v>
      </c>
      <c r="N465" s="192"/>
      <c r="O465" s="71"/>
      <c r="P465" s="71"/>
      <c r="Q465" s="71"/>
      <c r="R465" s="71"/>
      <c r="S465" s="224">
        <v>103.7</v>
      </c>
      <c r="T465" s="71"/>
      <c r="U465" s="71"/>
      <c r="V465" s="71"/>
      <c r="W465" s="71"/>
      <c r="X465" s="71"/>
      <c r="Y465" s="71"/>
      <c r="Z465" s="71"/>
      <c r="AA465" s="71"/>
      <c r="AB465" s="71"/>
    </row>
    <row r="466" spans="1:28" x14ac:dyDescent="0.2">
      <c r="A466" s="6"/>
      <c r="B466" s="76" t="s">
        <v>235</v>
      </c>
      <c r="C466" s="96">
        <f>+C147</f>
        <v>42548</v>
      </c>
      <c r="D466" s="95" t="s">
        <v>95</v>
      </c>
      <c r="E466" s="19"/>
      <c r="F466" s="71"/>
      <c r="G466" s="71"/>
      <c r="H466" s="71"/>
      <c r="I466" s="71"/>
      <c r="J466" s="71"/>
      <c r="K466" s="71"/>
      <c r="L466" s="223" t="s">
        <v>236</v>
      </c>
      <c r="M466" s="90">
        <f>ROUND(M464/M465,3)</f>
        <v>0.53600000000000003</v>
      </c>
      <c r="N466" s="192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</row>
    <row r="467" spans="1:28" x14ac:dyDescent="0.2">
      <c r="A467" s="6"/>
      <c r="B467" s="76" t="s">
        <v>237</v>
      </c>
      <c r="C467" s="225">
        <f>+H144</f>
        <v>4</v>
      </c>
      <c r="D467" s="71" t="s">
        <v>238</v>
      </c>
      <c r="E467" s="19"/>
      <c r="F467" s="71"/>
      <c r="G467" s="71"/>
      <c r="H467" s="71"/>
      <c r="I467" s="71"/>
      <c r="J467" s="71"/>
      <c r="K467" s="71"/>
      <c r="L467" s="191"/>
      <c r="M467" s="90"/>
      <c r="N467" s="192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</row>
    <row r="468" spans="1:28" x14ac:dyDescent="0.2">
      <c r="A468" s="6"/>
      <c r="B468" s="76"/>
      <c r="C468" s="225">
        <f>+H145</f>
        <v>8</v>
      </c>
      <c r="D468" s="71" t="s">
        <v>239</v>
      </c>
      <c r="E468" s="19"/>
      <c r="F468" s="71"/>
      <c r="G468" s="71"/>
      <c r="H468" s="71"/>
      <c r="I468" s="71"/>
      <c r="J468" s="71"/>
      <c r="K468" s="71"/>
      <c r="L468" s="223" t="s">
        <v>240</v>
      </c>
      <c r="M468" s="160">
        <f>D223-D318</f>
        <v>13.171767158042883</v>
      </c>
      <c r="N468" s="192" t="s">
        <v>241</v>
      </c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</row>
    <row r="469" spans="1:28" x14ac:dyDescent="0.2">
      <c r="A469" s="6"/>
      <c r="B469" s="76" t="s">
        <v>242</v>
      </c>
      <c r="C469" s="109">
        <f>+D161</f>
        <v>18.239999999999998</v>
      </c>
      <c r="D469" s="87" t="s">
        <v>116</v>
      </c>
      <c r="E469" s="71"/>
      <c r="F469" s="71"/>
      <c r="G469" s="71"/>
      <c r="H469" s="71"/>
      <c r="I469" s="71"/>
      <c r="J469" s="71"/>
      <c r="K469" s="71"/>
      <c r="L469" s="223" t="s">
        <v>243</v>
      </c>
      <c r="M469" s="226">
        <f>ROUND(M466/(4+M466)*M468,2)</f>
        <v>1.56</v>
      </c>
      <c r="N469" s="192" t="s">
        <v>241</v>
      </c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</row>
    <row r="470" spans="1:28" ht="13.5" thickBot="1" x14ac:dyDescent="0.25">
      <c r="A470" s="6"/>
      <c r="B470" s="76" t="s">
        <v>244</v>
      </c>
      <c r="C470" s="87" t="s">
        <v>400</v>
      </c>
      <c r="D470" s="71"/>
      <c r="E470" s="71"/>
      <c r="F470" s="71"/>
      <c r="G470" s="71"/>
      <c r="H470" s="71"/>
      <c r="I470" s="71"/>
      <c r="J470" s="71"/>
      <c r="K470" s="71"/>
      <c r="L470" s="227" t="s">
        <v>245</v>
      </c>
      <c r="M470" s="228">
        <f>M468-M469</f>
        <v>11.611767158042882</v>
      </c>
      <c r="N470" s="229" t="s">
        <v>241</v>
      </c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</row>
    <row r="471" spans="1:28" x14ac:dyDescent="0.2">
      <c r="A471" s="6"/>
      <c r="B471" s="76"/>
      <c r="C471" s="87" t="s">
        <v>401</v>
      </c>
      <c r="D471" s="71"/>
      <c r="E471" s="71"/>
      <c r="F471" s="71"/>
      <c r="G471" s="71"/>
      <c r="H471" s="71"/>
      <c r="I471" s="71"/>
      <c r="J471" s="71"/>
      <c r="K471" s="71"/>
      <c r="L471" s="41"/>
      <c r="M471" s="224"/>
      <c r="N471" s="90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</row>
    <row r="472" spans="1:28" x14ac:dyDescent="0.2">
      <c r="A472" s="6"/>
      <c r="B472" s="76" t="s">
        <v>246</v>
      </c>
      <c r="C472" s="87" t="str">
        <f>"Forecasted " &amp;M1-1 &amp;" energy use by class, PJM on/off % from " &amp;M1-2 &amp;" class load profiles,"</f>
        <v>Forecasted 2019 energy use by class, PJM on/off % from 2018 class load profiles,</v>
      </c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</row>
    <row r="473" spans="1:28" x14ac:dyDescent="0.2">
      <c r="A473" s="6"/>
      <c r="B473" s="76"/>
      <c r="C473" s="87" t="str">
        <f>"RECO billing on/off % from " &amp;TEXT(DATE(M1-2,6,1),"m/yy") &amp;" to 5/" &amp;TEXT(DATE(M1-1,5,1),"yy") &amp;" actual data"</f>
        <v>RECO billing on/off % from 6/18 to 5/19 actual data</v>
      </c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</row>
    <row r="474" spans="1:28" x14ac:dyDescent="0.2">
      <c r="A474" s="6"/>
      <c r="B474" s="76" t="s">
        <v>247</v>
      </c>
      <c r="C474" s="87" t="str">
        <f>" Class totals for " &amp;M1-1</f>
        <v xml:space="preserve"> Class totals for 2019</v>
      </c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</row>
    <row r="475" spans="1:28" x14ac:dyDescent="0.2">
      <c r="A475" s="6"/>
      <c r="B475" s="76" t="s">
        <v>248</v>
      </c>
      <c r="C475" s="71" t="s">
        <v>249</v>
      </c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</row>
    <row r="476" spans="1:28" x14ac:dyDescent="0.2">
      <c r="A476" s="6"/>
      <c r="B476" s="76" t="s">
        <v>250</v>
      </c>
      <c r="C476" s="71" t="s">
        <v>251</v>
      </c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</row>
    <row r="477" spans="1:28" x14ac:dyDescent="0.2">
      <c r="A477" s="115"/>
      <c r="B477" s="71"/>
      <c r="C477" s="71" t="s">
        <v>252</v>
      </c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</row>
    <row r="478" spans="1:28" x14ac:dyDescent="0.2">
      <c r="A478" s="115"/>
      <c r="B478" s="78" t="s">
        <v>253</v>
      </c>
      <c r="C478" s="71" t="s">
        <v>254</v>
      </c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</row>
    <row r="479" spans="1:28" x14ac:dyDescent="0.2">
      <c r="A479" s="6"/>
      <c r="B479" s="71"/>
      <c r="C479" s="103"/>
      <c r="D479" s="71"/>
      <c r="E479" s="103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</row>
    <row r="480" spans="1:28" x14ac:dyDescent="0.2">
      <c r="A480" s="115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</row>
    <row r="481" spans="1:28" x14ac:dyDescent="0.2">
      <c r="A481" s="230" t="s">
        <v>255</v>
      </c>
      <c r="B481" s="231"/>
      <c r="C481" s="231"/>
      <c r="D481" s="23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</row>
    <row r="482" spans="1:28" x14ac:dyDescent="0.2">
      <c r="A482" s="156" t="s">
        <v>256</v>
      </c>
      <c r="B482" s="18" t="s">
        <v>257</v>
      </c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</row>
    <row r="483" spans="1:28" x14ac:dyDescent="0.2">
      <c r="A483" s="115"/>
      <c r="B483" s="71"/>
      <c r="C483" s="71"/>
      <c r="D483" s="24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</row>
    <row r="484" spans="1:28" x14ac:dyDescent="0.2">
      <c r="A484" s="115"/>
      <c r="B484" s="115" t="s">
        <v>258</v>
      </c>
      <c r="C484" s="71"/>
      <c r="D484" s="24">
        <f>D223</f>
        <v>80.643487224650897</v>
      </c>
      <c r="E484" s="87" t="s">
        <v>116</v>
      </c>
      <c r="F484" s="87" t="s">
        <v>259</v>
      </c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</row>
    <row r="485" spans="1:28" x14ac:dyDescent="0.2">
      <c r="A485" s="115"/>
      <c r="B485" s="115" t="s">
        <v>260</v>
      </c>
      <c r="C485" s="71"/>
      <c r="D485" s="232">
        <f>-M470</f>
        <v>-11.611767158042882</v>
      </c>
      <c r="E485" s="87" t="s">
        <v>116</v>
      </c>
      <c r="F485" s="71" t="s">
        <v>261</v>
      </c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</row>
    <row r="486" spans="1:28" x14ac:dyDescent="0.2">
      <c r="A486" s="115"/>
      <c r="B486" s="115" t="s">
        <v>262</v>
      </c>
      <c r="C486" s="71"/>
      <c r="D486" s="109">
        <f>D484+D485</f>
        <v>69.031720066608017</v>
      </c>
      <c r="E486" s="87" t="s">
        <v>116</v>
      </c>
      <c r="F486" s="71" t="str">
        <f>"** RECO average transmission rate of "&amp;TEXT(D223-D318,"0.00")&amp;" minus"</f>
        <v>** RECO average transmission rate of 13.17 minus</v>
      </c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</row>
    <row r="487" spans="1:28" x14ac:dyDescent="0.2">
      <c r="A487" s="115"/>
      <c r="B487" s="71"/>
      <c r="C487" s="71"/>
      <c r="D487" s="71"/>
      <c r="E487" s="71"/>
      <c r="F487" s="71" t="s">
        <v>263</v>
      </c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</row>
    <row r="488" spans="1:28" x14ac:dyDescent="0.2">
      <c r="A488" s="115"/>
      <c r="B488" s="71"/>
      <c r="C488" s="71"/>
      <c r="D488" s="233"/>
      <c r="E488" s="71"/>
      <c r="F488" s="71" t="str">
        <f>"average rate "&amp;TEXT(M466,"0.000")&amp;"/"&amp;TEXT(4+M466,"0.000")&amp;" *$"&amp;TEXT(M468,"0.00")&amp;" per MWh)."</f>
        <v>average rate 0.536/4.536 *$13.17 per MWh).</v>
      </c>
      <c r="G488" s="71"/>
      <c r="H488" s="71"/>
      <c r="I488" s="110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</row>
    <row r="489" spans="1:28" x14ac:dyDescent="0.2">
      <c r="A489" s="115"/>
      <c r="B489" s="25" t="s">
        <v>264</v>
      </c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</row>
    <row r="490" spans="1:28" x14ac:dyDescent="0.2">
      <c r="A490" s="115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</row>
    <row r="491" spans="1:28" x14ac:dyDescent="0.2">
      <c r="A491" s="115"/>
      <c r="B491" s="71"/>
      <c r="C491" s="26" t="str">
        <f t="shared" ref="C491" si="69">C6</f>
        <v>SC1/SC5</v>
      </c>
      <c r="D491" s="26" t="str">
        <f>D6</f>
        <v>SC3</v>
      </c>
      <c r="E491" s="26" t="str">
        <f>E6</f>
        <v>SC2 ND</v>
      </c>
      <c r="F491" s="26" t="str">
        <f>F6</f>
        <v>SC4</v>
      </c>
      <c r="G491" s="26" t="str">
        <f>G6</f>
        <v>SC6</v>
      </c>
      <c r="H491" s="26" t="str">
        <f>H6</f>
        <v>SC2 Dem</v>
      </c>
      <c r="I491" s="26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</row>
    <row r="492" spans="1:28" x14ac:dyDescent="0.2">
      <c r="A492" s="115"/>
      <c r="B492" s="27" t="s">
        <v>68</v>
      </c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</row>
    <row r="493" spans="1:28" x14ac:dyDescent="0.2">
      <c r="A493" s="115"/>
      <c r="B493" s="78" t="s">
        <v>265</v>
      </c>
      <c r="C493" s="78">
        <f>ROUND(($D$486*C327)/10,3)</f>
        <v>6.9790000000000001</v>
      </c>
      <c r="D493" s="71"/>
      <c r="E493" s="92">
        <f>ROUND(E327*$D$486/10,3)</f>
        <v>5.992</v>
      </c>
      <c r="F493" s="92">
        <f>ROUND(F327*$D$486/10,3)</f>
        <v>4.3140000000000001</v>
      </c>
      <c r="G493" s="92">
        <f>ROUND(G327*$D$486/10,3)</f>
        <v>4.3079999999999998</v>
      </c>
      <c r="H493" s="92">
        <f>ROUND((C348*$D$486+D348)/10,3)</f>
        <v>4.782</v>
      </c>
      <c r="I493" s="92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</row>
    <row r="494" spans="1:28" x14ac:dyDescent="0.2">
      <c r="A494" s="115"/>
      <c r="B494" s="78" t="s">
        <v>266</v>
      </c>
      <c r="C494" s="71"/>
      <c r="D494" s="92">
        <f>ROUND(D328*$D$486/10,3)</f>
        <v>11.031000000000001</v>
      </c>
      <c r="E494" s="71"/>
      <c r="F494" s="71"/>
      <c r="G494" s="71"/>
      <c r="H494" s="71"/>
      <c r="I494" s="92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</row>
    <row r="495" spans="1:28" x14ac:dyDescent="0.2">
      <c r="A495" s="115"/>
      <c r="B495" s="78" t="s">
        <v>267</v>
      </c>
      <c r="C495" s="71"/>
      <c r="D495" s="92">
        <f>ROUND(D329*$D$486/10,3)</f>
        <v>4.218</v>
      </c>
      <c r="E495" s="71"/>
      <c r="F495" s="71"/>
      <c r="G495" s="71"/>
      <c r="H495" s="71"/>
      <c r="I495" s="92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</row>
    <row r="496" spans="1:28" x14ac:dyDescent="0.2">
      <c r="A496" s="115"/>
      <c r="B496" s="76" t="s">
        <v>40</v>
      </c>
      <c r="C496" s="78">
        <f>ROUND(($D$486*C327+C332)/10,3)</f>
        <v>5.0330000000000004</v>
      </c>
      <c r="D496" s="92"/>
      <c r="E496" s="71"/>
      <c r="F496" s="71"/>
      <c r="G496" s="71"/>
      <c r="H496" s="71"/>
      <c r="I496" s="92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</row>
    <row r="497" spans="1:28" x14ac:dyDescent="0.2">
      <c r="A497" s="115"/>
      <c r="B497" s="78" t="s">
        <v>41</v>
      </c>
      <c r="C497" s="71">
        <f>ROUND(($D$486*C327+C333)/10,3)</f>
        <v>8.3940000000000001</v>
      </c>
      <c r="D497" s="92"/>
      <c r="E497" s="71"/>
      <c r="F497" s="71"/>
      <c r="G497" s="71"/>
      <c r="H497" s="71"/>
      <c r="I497" s="92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</row>
    <row r="498" spans="1:28" x14ac:dyDescent="0.2">
      <c r="A498" s="115"/>
      <c r="B498" s="71"/>
      <c r="C498" s="71"/>
      <c r="D498" s="92"/>
      <c r="E498" s="71"/>
      <c r="F498" s="71"/>
      <c r="G498" s="71"/>
      <c r="H498" s="71"/>
      <c r="I498" s="92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</row>
    <row r="499" spans="1:28" x14ac:dyDescent="0.2">
      <c r="A499" s="115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</row>
    <row r="500" spans="1:28" x14ac:dyDescent="0.2">
      <c r="A500" s="115"/>
      <c r="B500" s="76" t="s">
        <v>268</v>
      </c>
      <c r="C500" s="71"/>
      <c r="D500" s="71"/>
      <c r="E500" s="71"/>
      <c r="F500" s="71"/>
      <c r="G500" s="71"/>
      <c r="H500" s="163">
        <f>I352</f>
        <v>1.3560000000000001</v>
      </c>
      <c r="I500" s="163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</row>
    <row r="501" spans="1:28" x14ac:dyDescent="0.2">
      <c r="A501" s="115"/>
      <c r="B501" s="76" t="s">
        <v>269</v>
      </c>
      <c r="C501" s="71"/>
      <c r="D501" s="71"/>
      <c r="E501" s="71"/>
      <c r="F501" s="71"/>
      <c r="G501" s="71"/>
      <c r="H501" s="163">
        <f>J352</f>
        <v>4.6970000000000001</v>
      </c>
      <c r="I501" s="163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</row>
    <row r="502" spans="1:28" x14ac:dyDescent="0.2">
      <c r="A502" s="115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</row>
    <row r="503" spans="1:28" x14ac:dyDescent="0.2">
      <c r="A503" s="115"/>
      <c r="B503" s="27" t="s">
        <v>61</v>
      </c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</row>
    <row r="504" spans="1:28" x14ac:dyDescent="0.2">
      <c r="A504" s="115"/>
      <c r="B504" s="78" t="s">
        <v>265</v>
      </c>
      <c r="C504" s="92">
        <f>ROUND(C336*$D$486/10,3)</f>
        <v>8.3940000000000001</v>
      </c>
      <c r="D504" s="71"/>
      <c r="E504" s="92">
        <f>ROUND(E336*$D$486/10,3)</f>
        <v>6.4480000000000004</v>
      </c>
      <c r="F504" s="92">
        <f>ROUND(F336*$D$486/10,3)</f>
        <v>5.15</v>
      </c>
      <c r="G504" s="92">
        <f>ROUND(G336*$D$486/10,3)</f>
        <v>5.1150000000000002</v>
      </c>
      <c r="H504" s="92">
        <f>ROUND((C352*$D$486+D352)/10,3)</f>
        <v>5.3929999999999998</v>
      </c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</row>
    <row r="505" spans="1:28" x14ac:dyDescent="0.2">
      <c r="A505" s="115"/>
      <c r="B505" s="78" t="s">
        <v>266</v>
      </c>
      <c r="C505" s="71"/>
      <c r="D505" s="92">
        <f>ROUND(D337*$D$486/10,3)</f>
        <v>10.472</v>
      </c>
      <c r="E505" s="71"/>
      <c r="F505" s="71"/>
      <c r="G505" s="71"/>
      <c r="H505" s="71"/>
      <c r="I505" s="92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</row>
    <row r="506" spans="1:28" x14ac:dyDescent="0.2">
      <c r="A506" s="115"/>
      <c r="B506" s="78" t="s">
        <v>267</v>
      </c>
      <c r="C506" s="71"/>
      <c r="D506" s="92">
        <f>ROUND(D338*$D$486/10,3)</f>
        <v>5.1909999999999998</v>
      </c>
      <c r="E506" s="71"/>
      <c r="F506" s="71"/>
      <c r="G506" s="71"/>
      <c r="H506" s="71"/>
      <c r="I506" s="92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</row>
    <row r="507" spans="1:28" x14ac:dyDescent="0.2">
      <c r="A507" s="115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</row>
    <row r="508" spans="1:28" x14ac:dyDescent="0.2">
      <c r="A508" s="115"/>
      <c r="B508" s="76" t="s">
        <v>268</v>
      </c>
      <c r="C508" s="71"/>
      <c r="D508" s="71"/>
      <c r="E508" s="71"/>
      <c r="F508" s="71"/>
      <c r="G508" s="71"/>
      <c r="H508" s="163">
        <f>I353</f>
        <v>1.339</v>
      </c>
      <c r="I508" s="163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</row>
    <row r="509" spans="1:28" x14ac:dyDescent="0.2">
      <c r="A509" s="115"/>
      <c r="B509" s="76" t="s">
        <v>269</v>
      </c>
      <c r="C509" s="71"/>
      <c r="D509" s="71"/>
      <c r="E509" s="71"/>
      <c r="F509" s="71"/>
      <c r="G509" s="71"/>
      <c r="H509" s="163">
        <f>J353</f>
        <v>4.7329999999999997</v>
      </c>
      <c r="I509" s="163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</row>
    <row r="510" spans="1:28" x14ac:dyDescent="0.2">
      <c r="A510" s="115"/>
      <c r="B510" s="76"/>
      <c r="C510" s="71"/>
      <c r="D510" s="71"/>
      <c r="E510" s="71"/>
      <c r="F510" s="71"/>
      <c r="G510" s="71"/>
      <c r="H510" s="71"/>
      <c r="I510" s="163"/>
      <c r="J510" s="163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</row>
    <row r="511" spans="1:28" x14ac:dyDescent="0.2">
      <c r="A511" s="115"/>
      <c r="B511" s="25" t="s">
        <v>270</v>
      </c>
      <c r="C511" s="71"/>
      <c r="D511" s="71" t="s">
        <v>271</v>
      </c>
      <c r="E511" s="111">
        <v>6.6250000000000003E-2</v>
      </c>
      <c r="F511" s="71"/>
      <c r="G511" s="71"/>
      <c r="H511" s="71"/>
      <c r="I511" s="71"/>
      <c r="J511" s="163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</row>
    <row r="512" spans="1:28" x14ac:dyDescent="0.2">
      <c r="A512" s="115"/>
      <c r="B512" s="71"/>
      <c r="C512" s="71"/>
      <c r="D512" s="71"/>
      <c r="E512" s="71"/>
      <c r="F512" s="71"/>
      <c r="G512" s="71"/>
      <c r="H512" s="71"/>
      <c r="I512" s="71"/>
      <c r="J512" s="163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</row>
    <row r="513" spans="1:28" x14ac:dyDescent="0.2">
      <c r="A513" s="115"/>
      <c r="B513" s="71"/>
      <c r="C513" s="26" t="s">
        <v>272</v>
      </c>
      <c r="D513" s="26" t="s">
        <v>8</v>
      </c>
      <c r="E513" s="26" t="s">
        <v>9</v>
      </c>
      <c r="F513" s="26" t="s">
        <v>10</v>
      </c>
      <c r="G513" s="26" t="s">
        <v>11</v>
      </c>
      <c r="H513" s="26" t="s">
        <v>12</v>
      </c>
      <c r="I513" s="163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</row>
    <row r="514" spans="1:28" x14ac:dyDescent="0.2">
      <c r="A514" s="115"/>
      <c r="B514" s="27" t="s">
        <v>68</v>
      </c>
      <c r="C514" s="71"/>
      <c r="D514" s="71"/>
      <c r="E514" s="71"/>
      <c r="F514" s="71"/>
      <c r="G514" s="71"/>
      <c r="H514" s="71"/>
      <c r="I514" s="163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</row>
    <row r="515" spans="1:28" x14ac:dyDescent="0.2">
      <c r="A515" s="115"/>
      <c r="B515" s="78" t="s">
        <v>265</v>
      </c>
      <c r="C515" s="78"/>
      <c r="D515" s="71"/>
      <c r="E515" s="78">
        <f>ROUND(E493*(1+$E$511),3)</f>
        <v>6.3890000000000002</v>
      </c>
      <c r="F515" s="78">
        <f>ROUND(F493*(1+$E$511),3)</f>
        <v>4.5999999999999996</v>
      </c>
      <c r="G515" s="78">
        <f>ROUND(G493*(1+$E$511),3)</f>
        <v>4.593</v>
      </c>
      <c r="H515" s="78">
        <f>ROUND(H493*(1+$E$511),3)</f>
        <v>5.0990000000000002</v>
      </c>
      <c r="I515" s="163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</row>
    <row r="516" spans="1:28" x14ac:dyDescent="0.2">
      <c r="A516" s="115"/>
      <c r="B516" s="78" t="s">
        <v>266</v>
      </c>
      <c r="C516" s="71"/>
      <c r="D516" s="78">
        <f>ROUND(D494*(1+$E$511),3)</f>
        <v>11.762</v>
      </c>
      <c r="E516" s="71"/>
      <c r="F516" s="71"/>
      <c r="G516" s="71"/>
      <c r="H516" s="71"/>
      <c r="I516" s="163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</row>
    <row r="517" spans="1:28" x14ac:dyDescent="0.2">
      <c r="A517" s="115"/>
      <c r="B517" s="78" t="s">
        <v>267</v>
      </c>
      <c r="C517" s="71"/>
      <c r="D517" s="78">
        <f>ROUND(D495*(1+$E$511),3)</f>
        <v>4.4969999999999999</v>
      </c>
      <c r="E517" s="71"/>
      <c r="F517" s="71"/>
      <c r="G517" s="71"/>
      <c r="H517" s="71"/>
      <c r="I517" s="163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</row>
    <row r="518" spans="1:28" x14ac:dyDescent="0.2">
      <c r="A518" s="115"/>
      <c r="B518" s="76" t="s">
        <v>40</v>
      </c>
      <c r="C518" s="112">
        <f>ROUND(C496*(1+$E$511),3)</f>
        <v>5.3659999999999997</v>
      </c>
      <c r="D518" s="92"/>
      <c r="E518" s="71"/>
      <c r="F518" s="71"/>
      <c r="G518" s="71"/>
      <c r="H518" s="71"/>
      <c r="I518" s="163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</row>
    <row r="519" spans="1:28" x14ac:dyDescent="0.2">
      <c r="A519" s="115"/>
      <c r="B519" s="78" t="s">
        <v>41</v>
      </c>
      <c r="C519" s="112">
        <f>ROUND(C497*(1+$E$511),3)</f>
        <v>8.9499999999999993</v>
      </c>
      <c r="D519" s="92"/>
      <c r="E519" s="71"/>
      <c r="F519" s="71"/>
      <c r="G519" s="71"/>
      <c r="H519" s="71"/>
      <c r="I519" s="163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</row>
    <row r="520" spans="1:28" x14ac:dyDescent="0.2">
      <c r="A520" s="115"/>
      <c r="B520" s="71"/>
      <c r="C520" s="71"/>
      <c r="D520" s="92"/>
      <c r="E520" s="71"/>
      <c r="F520" s="71"/>
      <c r="G520" s="71"/>
      <c r="H520" s="71"/>
      <c r="I520" s="163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</row>
    <row r="521" spans="1:28" x14ac:dyDescent="0.2">
      <c r="A521" s="115"/>
      <c r="B521" s="71"/>
      <c r="C521" s="71"/>
      <c r="D521" s="71"/>
      <c r="E521" s="71"/>
      <c r="F521" s="71"/>
      <c r="G521" s="71"/>
      <c r="H521" s="71"/>
      <c r="I521" s="163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</row>
    <row r="522" spans="1:28" x14ac:dyDescent="0.2">
      <c r="A522" s="115"/>
      <c r="B522" s="76" t="s">
        <v>268</v>
      </c>
      <c r="C522" s="71"/>
      <c r="D522" s="71"/>
      <c r="E522" s="71"/>
      <c r="F522" s="71"/>
      <c r="G522" s="71"/>
      <c r="H522" s="113">
        <f>ROUND(H500*(1+$E$511),3)</f>
        <v>1.446</v>
      </c>
      <c r="I522" s="163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</row>
    <row r="523" spans="1:28" x14ac:dyDescent="0.2">
      <c r="A523" s="115"/>
      <c r="B523" s="76" t="s">
        <v>269</v>
      </c>
      <c r="C523" s="71"/>
      <c r="D523" s="71"/>
      <c r="E523" s="71"/>
      <c r="F523" s="71"/>
      <c r="G523" s="71"/>
      <c r="H523" s="113">
        <f>ROUND(H501*(1+$E$511),3)</f>
        <v>5.008</v>
      </c>
      <c r="I523" s="163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</row>
    <row r="524" spans="1:28" x14ac:dyDescent="0.2">
      <c r="A524" s="115"/>
      <c r="B524" s="76"/>
      <c r="C524" s="71"/>
      <c r="D524" s="71"/>
      <c r="E524" s="71"/>
      <c r="F524" s="71"/>
      <c r="G524" s="71"/>
      <c r="H524" s="113"/>
      <c r="I524" s="163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</row>
    <row r="525" spans="1:28" x14ac:dyDescent="0.2">
      <c r="A525" s="115"/>
      <c r="B525" s="27" t="s">
        <v>61</v>
      </c>
      <c r="C525" s="71"/>
      <c r="D525" s="71"/>
      <c r="E525" s="71"/>
      <c r="F525" s="71"/>
      <c r="G525" s="71"/>
      <c r="H525" s="71"/>
      <c r="I525" s="163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</row>
    <row r="526" spans="1:28" x14ac:dyDescent="0.2">
      <c r="A526" s="115"/>
      <c r="B526" s="78" t="s">
        <v>265</v>
      </c>
      <c r="C526" s="78">
        <f>ROUND(C504*(1+$E$511),3)</f>
        <v>8.9499999999999993</v>
      </c>
      <c r="D526" s="71"/>
      <c r="E526" s="78">
        <f>ROUND(E504*(1+$E$511),3)</f>
        <v>6.875</v>
      </c>
      <c r="F526" s="78">
        <f>ROUND(F504*(1+$E$511),3)</f>
        <v>5.4909999999999997</v>
      </c>
      <c r="G526" s="78">
        <f>ROUND(G504*(1+$E$511),3)</f>
        <v>5.4539999999999997</v>
      </c>
      <c r="H526" s="78">
        <f>ROUND(H504*(1+$E$511),3)</f>
        <v>5.75</v>
      </c>
      <c r="I526" s="163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</row>
    <row r="527" spans="1:28" x14ac:dyDescent="0.2">
      <c r="A527" s="115"/>
      <c r="B527" s="78" t="s">
        <v>266</v>
      </c>
      <c r="C527" s="71"/>
      <c r="D527" s="78">
        <f>ROUND(D505*(1+$E$511),3)</f>
        <v>11.166</v>
      </c>
      <c r="E527" s="71"/>
      <c r="F527" s="71"/>
      <c r="G527" s="71"/>
      <c r="H527" s="71"/>
      <c r="I527" s="163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</row>
    <row r="528" spans="1:28" x14ac:dyDescent="0.2">
      <c r="A528" s="115"/>
      <c r="B528" s="78" t="s">
        <v>267</v>
      </c>
      <c r="C528" s="71"/>
      <c r="D528" s="78">
        <f>ROUND(D506*(1+$E$511),3)</f>
        <v>5.5350000000000001</v>
      </c>
      <c r="E528" s="71"/>
      <c r="F528" s="71"/>
      <c r="G528" s="71"/>
      <c r="H528" s="71"/>
      <c r="I528" s="163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</row>
    <row r="529" spans="1:28" x14ac:dyDescent="0.2">
      <c r="A529" s="115"/>
      <c r="B529" s="71"/>
      <c r="C529" s="71"/>
      <c r="D529" s="71"/>
      <c r="E529" s="71"/>
      <c r="F529" s="71"/>
      <c r="G529" s="71"/>
      <c r="H529" s="71"/>
      <c r="I529" s="163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</row>
    <row r="530" spans="1:28" x14ac:dyDescent="0.2">
      <c r="A530" s="115"/>
      <c r="B530" s="76" t="s">
        <v>268</v>
      </c>
      <c r="C530" s="71"/>
      <c r="D530" s="71"/>
      <c r="E530" s="71"/>
      <c r="F530" s="71"/>
      <c r="G530" s="71"/>
      <c r="H530" s="113">
        <f>ROUND(H508*(1+$E$511),3)</f>
        <v>1.4279999999999999</v>
      </c>
      <c r="I530" s="163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</row>
    <row r="531" spans="1:28" x14ac:dyDescent="0.2">
      <c r="A531" s="115"/>
      <c r="B531" s="76" t="s">
        <v>269</v>
      </c>
      <c r="C531" s="71"/>
      <c r="D531" s="71"/>
      <c r="E531" s="71"/>
      <c r="F531" s="71"/>
      <c r="G531" s="71"/>
      <c r="H531" s="113">
        <f>ROUND(H509*(1+$E$511),3)</f>
        <v>5.0469999999999997</v>
      </c>
      <c r="I531" s="163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</row>
    <row r="532" spans="1:28" x14ac:dyDescent="0.2">
      <c r="A532" s="115"/>
      <c r="B532" s="76"/>
      <c r="C532" s="71"/>
      <c r="D532" s="71"/>
      <c r="E532" s="71"/>
      <c r="F532" s="71"/>
      <c r="G532" s="71"/>
      <c r="H532" s="71"/>
      <c r="I532" s="163"/>
      <c r="J532" s="163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</row>
    <row r="533" spans="1:28" x14ac:dyDescent="0.2">
      <c r="A533" s="115"/>
      <c r="B533" s="76"/>
      <c r="C533" s="71"/>
      <c r="D533" s="71"/>
      <c r="E533" s="71"/>
      <c r="F533" s="71"/>
      <c r="G533" s="71"/>
      <c r="H533" s="71"/>
      <c r="I533" s="163"/>
      <c r="J533" s="163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</row>
    <row r="534" spans="1:28" x14ac:dyDescent="0.2">
      <c r="A534" s="156" t="s">
        <v>273</v>
      </c>
      <c r="B534" s="18" t="s">
        <v>274</v>
      </c>
      <c r="C534" s="71"/>
      <c r="D534" s="71"/>
      <c r="E534" s="71"/>
      <c r="F534" s="71"/>
      <c r="G534" s="71"/>
      <c r="H534" s="71"/>
      <c r="I534" s="71"/>
      <c r="J534" s="163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</row>
    <row r="535" spans="1:28" x14ac:dyDescent="0.2">
      <c r="A535" s="156"/>
      <c r="B535" s="18"/>
      <c r="C535" s="71"/>
      <c r="D535" s="71"/>
      <c r="E535" s="71"/>
      <c r="F535" s="71"/>
      <c r="G535" s="71"/>
      <c r="H535" s="71"/>
      <c r="I535" s="71"/>
      <c r="J535" s="163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</row>
    <row r="536" spans="1:28" x14ac:dyDescent="0.2">
      <c r="A536" s="156"/>
      <c r="B536" s="25" t="s">
        <v>275</v>
      </c>
      <c r="C536" s="71"/>
      <c r="D536" s="71"/>
      <c r="E536" s="71"/>
      <c r="F536" s="71"/>
      <c r="G536" s="71"/>
      <c r="H536" s="71"/>
      <c r="I536" s="71"/>
      <c r="J536" s="163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</row>
    <row r="537" spans="1:28" x14ac:dyDescent="0.2">
      <c r="A537" s="156"/>
      <c r="B537" s="115"/>
      <c r="C537" s="26" t="str">
        <f t="shared" ref="C537" si="70">C491</f>
        <v>SC1/SC5</v>
      </c>
      <c r="D537" s="26" t="str">
        <f>D491</f>
        <v>SC3</v>
      </c>
      <c r="E537" s="26" t="str">
        <f>E491</f>
        <v>SC2 ND</v>
      </c>
      <c r="F537" s="26" t="str">
        <f>F491</f>
        <v>SC4</v>
      </c>
      <c r="G537" s="26" t="str">
        <f>G491</f>
        <v>SC6</v>
      </c>
      <c r="H537" s="26" t="str">
        <f>H491</f>
        <v>SC2 Dem</v>
      </c>
      <c r="I537" s="163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</row>
    <row r="538" spans="1:28" x14ac:dyDescent="0.2">
      <c r="A538" s="156"/>
      <c r="B538" s="115" t="s">
        <v>276</v>
      </c>
      <c r="C538" s="83">
        <v>1.421</v>
      </c>
      <c r="D538" s="83">
        <v>1.421</v>
      </c>
      <c r="E538" s="83">
        <v>0.52300000000000002</v>
      </c>
      <c r="F538" s="83">
        <v>1.147</v>
      </c>
      <c r="G538" s="83">
        <v>1.147</v>
      </c>
      <c r="H538" s="83">
        <v>0.52300000000000002</v>
      </c>
      <c r="I538" s="163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</row>
    <row r="539" spans="1:28" x14ac:dyDescent="0.2">
      <c r="A539" s="156"/>
      <c r="B539" s="115" t="s">
        <v>277</v>
      </c>
      <c r="C539" s="71"/>
      <c r="D539" s="71"/>
      <c r="E539" s="71"/>
      <c r="F539" s="71"/>
      <c r="G539" s="71"/>
      <c r="H539" s="114">
        <v>1.32</v>
      </c>
      <c r="I539" s="163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</row>
    <row r="540" spans="1:28" x14ac:dyDescent="0.2">
      <c r="A540" s="115"/>
      <c r="B540" s="115" t="s">
        <v>278</v>
      </c>
      <c r="C540" s="71"/>
      <c r="D540" s="71"/>
      <c r="E540" s="71"/>
      <c r="F540" s="71"/>
      <c r="G540" s="71"/>
      <c r="H540" s="114">
        <v>1.1100000000000001</v>
      </c>
      <c r="I540" s="163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</row>
    <row r="541" spans="1:28" x14ac:dyDescent="0.2">
      <c r="A541" s="115"/>
      <c r="B541" s="71"/>
      <c r="C541" s="71"/>
      <c r="D541" s="71"/>
      <c r="E541" s="71"/>
      <c r="F541" s="71"/>
      <c r="G541" s="71"/>
      <c r="H541" s="71"/>
      <c r="I541" s="163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</row>
    <row r="542" spans="1:28" x14ac:dyDescent="0.2">
      <c r="A542" s="115"/>
      <c r="B542" s="71"/>
      <c r="C542" s="71"/>
      <c r="D542" s="71"/>
      <c r="E542" s="71"/>
      <c r="F542" s="71"/>
      <c r="G542" s="71"/>
      <c r="H542" s="71"/>
      <c r="I542" s="163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</row>
    <row r="543" spans="1:28" x14ac:dyDescent="0.2">
      <c r="A543" s="115"/>
      <c r="B543" s="25" t="s">
        <v>279</v>
      </c>
      <c r="C543" s="71"/>
      <c r="D543" s="71"/>
      <c r="E543" s="71"/>
      <c r="F543" s="71"/>
      <c r="G543" s="71"/>
      <c r="H543" s="71"/>
      <c r="I543" s="163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</row>
    <row r="544" spans="1:28" x14ac:dyDescent="0.2">
      <c r="A544" s="115"/>
      <c r="B544" s="71"/>
      <c r="C544" s="71"/>
      <c r="D544" s="71"/>
      <c r="E544" s="71"/>
      <c r="F544" s="71"/>
      <c r="G544" s="71"/>
      <c r="H544" s="71"/>
      <c r="I544" s="163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</row>
    <row r="545" spans="1:28" x14ac:dyDescent="0.2">
      <c r="A545" s="115"/>
      <c r="B545" s="71"/>
      <c r="C545" s="71"/>
      <c r="D545" s="71"/>
      <c r="E545" s="71"/>
      <c r="F545" s="71"/>
      <c r="G545" s="71"/>
      <c r="H545" s="71"/>
      <c r="I545" s="163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</row>
    <row r="546" spans="1:28" x14ac:dyDescent="0.2">
      <c r="A546" s="115"/>
      <c r="B546" s="27" t="s">
        <v>68</v>
      </c>
      <c r="C546" s="71"/>
      <c r="D546" s="71"/>
      <c r="E546" s="71"/>
      <c r="F546" s="71"/>
      <c r="G546" s="71"/>
      <c r="H546" s="71"/>
      <c r="I546" s="163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</row>
    <row r="547" spans="1:28" x14ac:dyDescent="0.2">
      <c r="A547" s="115"/>
      <c r="B547" s="78" t="s">
        <v>265</v>
      </c>
      <c r="C547" s="92">
        <f t="shared" ref="C547:H554" si="71">IF(C493&gt;0,C493+C$538,"")</f>
        <v>8.4</v>
      </c>
      <c r="D547" s="92" t="str">
        <f t="shared" si="71"/>
        <v/>
      </c>
      <c r="E547" s="92">
        <f t="shared" si="71"/>
        <v>6.5149999999999997</v>
      </c>
      <c r="F547" s="92">
        <f t="shared" si="71"/>
        <v>5.4610000000000003</v>
      </c>
      <c r="G547" s="92">
        <f t="shared" si="71"/>
        <v>5.4550000000000001</v>
      </c>
      <c r="H547" s="92">
        <f t="shared" si="71"/>
        <v>5.3049999999999997</v>
      </c>
      <c r="I547" s="163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</row>
    <row r="548" spans="1:28" x14ac:dyDescent="0.2">
      <c r="A548" s="115"/>
      <c r="B548" s="78" t="s">
        <v>266</v>
      </c>
      <c r="C548" s="92" t="str">
        <f t="shared" si="71"/>
        <v/>
      </c>
      <c r="D548" s="92">
        <f t="shared" si="71"/>
        <v>12.452</v>
      </c>
      <c r="E548" s="92" t="str">
        <f t="shared" si="71"/>
        <v/>
      </c>
      <c r="F548" s="92" t="str">
        <f t="shared" si="71"/>
        <v/>
      </c>
      <c r="G548" s="92" t="str">
        <f t="shared" si="71"/>
        <v/>
      </c>
      <c r="H548" s="92" t="str">
        <f t="shared" si="71"/>
        <v/>
      </c>
      <c r="I548" s="163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</row>
    <row r="549" spans="1:28" x14ac:dyDescent="0.2">
      <c r="A549" s="115"/>
      <c r="B549" s="78" t="s">
        <v>267</v>
      </c>
      <c r="C549" s="92" t="str">
        <f t="shared" si="71"/>
        <v/>
      </c>
      <c r="D549" s="92">
        <f t="shared" si="71"/>
        <v>5.6390000000000002</v>
      </c>
      <c r="E549" s="92" t="str">
        <f t="shared" si="71"/>
        <v/>
      </c>
      <c r="F549" s="92" t="str">
        <f t="shared" si="71"/>
        <v/>
      </c>
      <c r="G549" s="92" t="str">
        <f t="shared" si="71"/>
        <v/>
      </c>
      <c r="H549" s="92" t="str">
        <f t="shared" si="71"/>
        <v/>
      </c>
      <c r="I549" s="163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</row>
    <row r="550" spans="1:28" x14ac:dyDescent="0.2">
      <c r="A550" s="115"/>
      <c r="B550" s="76" t="s">
        <v>40</v>
      </c>
      <c r="C550" s="92">
        <f t="shared" si="71"/>
        <v>6.4540000000000006</v>
      </c>
      <c r="D550" s="92" t="str">
        <f t="shared" si="71"/>
        <v/>
      </c>
      <c r="E550" s="92" t="str">
        <f t="shared" si="71"/>
        <v/>
      </c>
      <c r="F550" s="92" t="str">
        <f t="shared" si="71"/>
        <v/>
      </c>
      <c r="G550" s="92" t="str">
        <f t="shared" si="71"/>
        <v/>
      </c>
      <c r="H550" s="92" t="str">
        <f t="shared" si="71"/>
        <v/>
      </c>
      <c r="I550" s="163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</row>
    <row r="551" spans="1:28" x14ac:dyDescent="0.2">
      <c r="A551" s="115"/>
      <c r="B551" s="78" t="s">
        <v>41</v>
      </c>
      <c r="C551" s="92">
        <f t="shared" si="71"/>
        <v>9.8149999999999995</v>
      </c>
      <c r="D551" s="92" t="str">
        <f t="shared" si="71"/>
        <v/>
      </c>
      <c r="E551" s="92" t="str">
        <f t="shared" si="71"/>
        <v/>
      </c>
      <c r="F551" s="92" t="str">
        <f t="shared" si="71"/>
        <v/>
      </c>
      <c r="G551" s="92" t="str">
        <f t="shared" si="71"/>
        <v/>
      </c>
      <c r="H551" s="92" t="str">
        <f t="shared" si="71"/>
        <v/>
      </c>
      <c r="I551" s="163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</row>
    <row r="552" spans="1:28" x14ac:dyDescent="0.2">
      <c r="A552" s="115"/>
      <c r="B552" s="92"/>
      <c r="C552" s="92"/>
      <c r="D552" s="92" t="str">
        <f t="shared" si="71"/>
        <v/>
      </c>
      <c r="E552" s="92" t="str">
        <f t="shared" si="71"/>
        <v/>
      </c>
      <c r="F552" s="92" t="str">
        <f t="shared" si="71"/>
        <v/>
      </c>
      <c r="G552" s="92" t="str">
        <f t="shared" si="71"/>
        <v/>
      </c>
      <c r="H552" s="92" t="str">
        <f t="shared" si="71"/>
        <v/>
      </c>
      <c r="I552" s="163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</row>
    <row r="553" spans="1:28" x14ac:dyDescent="0.2">
      <c r="A553" s="115"/>
      <c r="B553" s="71"/>
      <c r="C553" s="92" t="str">
        <f t="shared" si="71"/>
        <v/>
      </c>
      <c r="D553" s="92" t="str">
        <f t="shared" si="71"/>
        <v/>
      </c>
      <c r="E553" s="92" t="str">
        <f t="shared" si="71"/>
        <v/>
      </c>
      <c r="F553" s="92" t="str">
        <f t="shared" si="71"/>
        <v/>
      </c>
      <c r="G553" s="92" t="str">
        <f t="shared" si="71"/>
        <v/>
      </c>
      <c r="H553" s="92" t="str">
        <f t="shared" si="71"/>
        <v/>
      </c>
      <c r="I553" s="163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</row>
    <row r="554" spans="1:28" x14ac:dyDescent="0.2">
      <c r="A554" s="115"/>
      <c r="B554" s="76" t="s">
        <v>280</v>
      </c>
      <c r="C554" s="92" t="str">
        <f t="shared" si="71"/>
        <v/>
      </c>
      <c r="D554" s="92" t="str">
        <f>IF(D500&gt;0,D500+D$538,"")</f>
        <v/>
      </c>
      <c r="E554" s="92" t="str">
        <f>IF(E500&gt;0,E500+E$538,"")</f>
        <v/>
      </c>
      <c r="F554" s="92" t="str">
        <f>IF(F500&gt;0,F500+F$538,"")</f>
        <v/>
      </c>
      <c r="G554" s="92" t="str">
        <f>IF(G500&gt;0,G500+G$538,"")</f>
        <v/>
      </c>
      <c r="H554" s="92">
        <f>IF(H500&gt;0,H500+H$539,"")</f>
        <v>2.6760000000000002</v>
      </c>
      <c r="I554" s="163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</row>
    <row r="555" spans="1:28" x14ac:dyDescent="0.2">
      <c r="A555" s="115"/>
      <c r="B555" s="71"/>
      <c r="C555" s="71"/>
      <c r="D555" s="71"/>
      <c r="E555" s="71"/>
      <c r="F555" s="71"/>
      <c r="G555" s="71"/>
      <c r="H555" s="71"/>
      <c r="I555" s="163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</row>
    <row r="556" spans="1:28" x14ac:dyDescent="0.2">
      <c r="A556" s="115"/>
      <c r="B556" s="27" t="s">
        <v>61</v>
      </c>
      <c r="C556" s="71"/>
      <c r="D556" s="71"/>
      <c r="E556" s="71"/>
      <c r="F556" s="71"/>
      <c r="G556" s="71"/>
      <c r="H556" s="71"/>
      <c r="I556" s="163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</row>
    <row r="557" spans="1:28" x14ac:dyDescent="0.2">
      <c r="A557" s="115"/>
      <c r="B557" s="78" t="s">
        <v>265</v>
      </c>
      <c r="C557" s="92">
        <f t="shared" ref="C557:H561" si="72">IF(C504&gt;0,C504+C$538,"")</f>
        <v>9.8149999999999995</v>
      </c>
      <c r="D557" s="92" t="str">
        <f t="shared" si="72"/>
        <v/>
      </c>
      <c r="E557" s="92">
        <f t="shared" si="72"/>
        <v>6.9710000000000001</v>
      </c>
      <c r="F557" s="92">
        <f t="shared" si="72"/>
        <v>6.2970000000000006</v>
      </c>
      <c r="G557" s="92">
        <f t="shared" si="72"/>
        <v>6.2620000000000005</v>
      </c>
      <c r="H557" s="92">
        <f t="shared" si="72"/>
        <v>5.9159999999999995</v>
      </c>
      <c r="I557" s="163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</row>
    <row r="558" spans="1:28" x14ac:dyDescent="0.2">
      <c r="A558" s="115"/>
      <c r="B558" s="78" t="s">
        <v>266</v>
      </c>
      <c r="C558" s="92" t="str">
        <f t="shared" si="72"/>
        <v/>
      </c>
      <c r="D558" s="92">
        <f t="shared" si="72"/>
        <v>11.892999999999999</v>
      </c>
      <c r="E558" s="92" t="str">
        <f t="shared" si="72"/>
        <v/>
      </c>
      <c r="F558" s="92" t="str">
        <f t="shared" si="72"/>
        <v/>
      </c>
      <c r="G558" s="92" t="str">
        <f t="shared" si="72"/>
        <v/>
      </c>
      <c r="H558" s="92" t="str">
        <f t="shared" si="72"/>
        <v/>
      </c>
      <c r="I558" s="163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</row>
    <row r="559" spans="1:28" x14ac:dyDescent="0.2">
      <c r="A559" s="115"/>
      <c r="B559" s="78" t="s">
        <v>267</v>
      </c>
      <c r="C559" s="92" t="str">
        <f t="shared" si="72"/>
        <v/>
      </c>
      <c r="D559" s="92">
        <f t="shared" si="72"/>
        <v>6.6120000000000001</v>
      </c>
      <c r="E559" s="92" t="str">
        <f t="shared" si="72"/>
        <v/>
      </c>
      <c r="F559" s="92" t="str">
        <f t="shared" si="72"/>
        <v/>
      </c>
      <c r="G559" s="92" t="str">
        <f t="shared" si="72"/>
        <v/>
      </c>
      <c r="H559" s="92" t="str">
        <f t="shared" si="72"/>
        <v/>
      </c>
      <c r="I559" s="163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</row>
    <row r="560" spans="1:28" x14ac:dyDescent="0.2">
      <c r="A560" s="115"/>
      <c r="B560" s="71"/>
      <c r="C560" s="92" t="str">
        <f t="shared" si="72"/>
        <v/>
      </c>
      <c r="D560" s="92" t="str">
        <f>IF(E507&gt;0,E507+D$538,"")</f>
        <v/>
      </c>
      <c r="E560" s="92" t="str">
        <f>IF(F507&gt;0,F507+E$538,"")</f>
        <v/>
      </c>
      <c r="F560" s="92" t="str">
        <f>IF(G507&gt;0,G507+F$538,"")</f>
        <v/>
      </c>
      <c r="G560" s="92" t="str">
        <f>IF(H507&gt;0,H507+G$538,"")</f>
        <v/>
      </c>
      <c r="H560" s="92" t="str">
        <f>IF(I507&gt;0,I507+H$538,"")</f>
        <v/>
      </c>
      <c r="I560" s="163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</row>
    <row r="561" spans="1:28" x14ac:dyDescent="0.2">
      <c r="A561" s="115"/>
      <c r="B561" s="76" t="s">
        <v>280</v>
      </c>
      <c r="C561" s="92" t="str">
        <f t="shared" si="72"/>
        <v/>
      </c>
      <c r="D561" s="92" t="str">
        <f>IF(D508&gt;0,D508+D$538,"")</f>
        <v/>
      </c>
      <c r="E561" s="92" t="str">
        <f>IF(E508&gt;0,E508+E$538,"")</f>
        <v/>
      </c>
      <c r="F561" s="92" t="str">
        <f>IF(F508&gt;0,F508+F$538,"")</f>
        <v/>
      </c>
      <c r="G561" s="92" t="str">
        <f>IF(G508&gt;0,G508+G$538,"")</f>
        <v/>
      </c>
      <c r="H561" s="92">
        <f>IF(H508&gt;0,H508+H$540,"")</f>
        <v>2.4489999999999998</v>
      </c>
      <c r="I561" s="163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</row>
    <row r="562" spans="1:28" x14ac:dyDescent="0.2">
      <c r="A562" s="115"/>
      <c r="B562" s="76"/>
      <c r="C562" s="71"/>
      <c r="D562" s="71"/>
      <c r="E562" s="71"/>
      <c r="F562" s="71"/>
      <c r="G562" s="71"/>
      <c r="H562" s="71"/>
      <c r="I562" s="163"/>
      <c r="J562" s="163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</row>
    <row r="563" spans="1:28" x14ac:dyDescent="0.2">
      <c r="A563" s="115"/>
      <c r="B563" s="76"/>
      <c r="C563" s="71"/>
      <c r="D563" s="71"/>
      <c r="E563" s="71"/>
      <c r="F563" s="71"/>
      <c r="G563" s="71"/>
      <c r="H563" s="71"/>
      <c r="I563" s="163"/>
      <c r="J563" s="163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</row>
    <row r="564" spans="1:28" x14ac:dyDescent="0.2">
      <c r="A564" s="115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</row>
    <row r="565" spans="1:28" x14ac:dyDescent="0.2">
      <c r="A565" s="6"/>
      <c r="B565" s="71"/>
      <c r="C565" s="103"/>
      <c r="D565" s="71"/>
      <c r="E565" s="103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</row>
    <row r="566" spans="1:28" x14ac:dyDescent="0.2">
      <c r="A566" s="156" t="s">
        <v>281</v>
      </c>
      <c r="B566" s="13" t="s">
        <v>282</v>
      </c>
      <c r="C566" s="103"/>
      <c r="D566" s="71"/>
      <c r="E566" s="103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</row>
    <row r="567" spans="1:28" x14ac:dyDescent="0.2">
      <c r="A567" s="6"/>
      <c r="B567" s="71"/>
      <c r="C567" s="103"/>
      <c r="D567" s="71"/>
      <c r="E567" s="103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</row>
    <row r="568" spans="1:28" x14ac:dyDescent="0.2">
      <c r="A568" s="6"/>
      <c r="B568" s="76" t="s">
        <v>283</v>
      </c>
      <c r="C568" s="10">
        <f>+D223</f>
        <v>80.643487224650897</v>
      </c>
      <c r="D568" s="71"/>
      <c r="E568" s="103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</row>
    <row r="569" spans="1:28" x14ac:dyDescent="0.2">
      <c r="A569" s="6"/>
      <c r="B569" s="76" t="s">
        <v>284</v>
      </c>
      <c r="C569" s="234">
        <f>+J377</f>
        <v>0.93169999999999997</v>
      </c>
      <c r="D569" s="71"/>
      <c r="E569" s="103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</row>
    <row r="570" spans="1:28" x14ac:dyDescent="0.2">
      <c r="A570" s="6"/>
      <c r="B570" s="76" t="s">
        <v>285</v>
      </c>
      <c r="C570" s="234">
        <f>+J378</f>
        <v>1.046</v>
      </c>
      <c r="D570" s="71"/>
      <c r="E570" s="103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</row>
    <row r="571" spans="1:28" x14ac:dyDescent="0.2">
      <c r="A571" s="6"/>
      <c r="B571" s="78" t="s">
        <v>286</v>
      </c>
      <c r="C571" s="235">
        <f>ROUND(C568*C569,4)</f>
        <v>75.135499999999993</v>
      </c>
      <c r="D571" s="71"/>
      <c r="E571" s="103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</row>
    <row r="572" spans="1:28" x14ac:dyDescent="0.2">
      <c r="A572" s="6"/>
      <c r="B572" s="78" t="s">
        <v>287</v>
      </c>
      <c r="C572" s="235">
        <f>ROUND(C568*C570,4)</f>
        <v>84.353099999999998</v>
      </c>
      <c r="D572" s="71"/>
      <c r="E572" s="103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</row>
    <row r="573" spans="1:28" x14ac:dyDescent="0.2">
      <c r="A573" s="6"/>
      <c r="B573" s="76"/>
      <c r="C573" s="103"/>
      <c r="D573" s="71"/>
      <c r="E573" s="103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</row>
    <row r="574" spans="1:28" x14ac:dyDescent="0.2">
      <c r="A574" s="6"/>
      <c r="B574" s="71"/>
      <c r="C574" s="103"/>
      <c r="D574" s="71"/>
      <c r="E574" s="103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</row>
    <row r="575" spans="1:28" x14ac:dyDescent="0.2">
      <c r="A575" s="6"/>
      <c r="B575" s="71"/>
      <c r="C575" s="26" t="str">
        <f t="shared" ref="C575" si="73">C6</f>
        <v>SC1/SC5</v>
      </c>
      <c r="D575" s="26" t="str">
        <f>D6</f>
        <v>SC3</v>
      </c>
      <c r="E575" s="26" t="str">
        <f>E6</f>
        <v>SC2 ND</v>
      </c>
      <c r="F575" s="26" t="str">
        <f>F6</f>
        <v>SC4</v>
      </c>
      <c r="G575" s="26" t="str">
        <f>G6</f>
        <v>SC6</v>
      </c>
      <c r="H575" s="26" t="str">
        <f>H6</f>
        <v>SC2 Dem</v>
      </c>
      <c r="I575" s="26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</row>
    <row r="576" spans="1:28" x14ac:dyDescent="0.2">
      <c r="A576" s="6"/>
      <c r="B576" s="87" t="s">
        <v>288</v>
      </c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</row>
    <row r="577" spans="1:28" x14ac:dyDescent="0.2">
      <c r="A577" s="6"/>
      <c r="B577" s="157" t="s">
        <v>68</v>
      </c>
      <c r="C577" s="19">
        <f>ROUND((C493*L48)/100,0)</f>
        <v>19902</v>
      </c>
      <c r="D577" s="82">
        <f>ROUND((D494*M49+D495*M50)/100,0)</f>
        <v>6</v>
      </c>
      <c r="E577" s="19">
        <f>ROUND(E493*N48/100,0)</f>
        <v>420</v>
      </c>
      <c r="F577" s="19">
        <f>ROUND(F493*O48/100,0)</f>
        <v>58</v>
      </c>
      <c r="G577" s="19">
        <f>ROUND(G493*P48/100,0)</f>
        <v>63</v>
      </c>
      <c r="H577" s="82">
        <v>6275</v>
      </c>
      <c r="I577" s="82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</row>
    <row r="578" spans="1:28" x14ac:dyDescent="0.2">
      <c r="A578" s="6"/>
      <c r="B578" s="157" t="s">
        <v>61</v>
      </c>
      <c r="C578" s="28">
        <f>ROUND(C504*L44/100,0)</f>
        <v>31617</v>
      </c>
      <c r="D578" s="236">
        <f>ROUND((D505*M45+D506*M46)/100,0)</f>
        <v>14</v>
      </c>
      <c r="E578" s="28">
        <f>ROUND(E504*N44/100,0)</f>
        <v>1003</v>
      </c>
      <c r="F578" s="28">
        <f>ROUND(F504*O44/100,0)</f>
        <v>176</v>
      </c>
      <c r="G578" s="28">
        <f>ROUND(G504*P44/100,0)</f>
        <v>188</v>
      </c>
      <c r="H578" s="236">
        <v>12614</v>
      </c>
      <c r="I578" s="82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</row>
    <row r="579" spans="1:28" x14ac:dyDescent="0.2">
      <c r="A579" s="6"/>
      <c r="B579" s="157" t="s">
        <v>35</v>
      </c>
      <c r="C579" s="96">
        <f>+C578+C577</f>
        <v>51519</v>
      </c>
      <c r="D579" s="96">
        <f t="shared" ref="D579:H579" si="74">+D578+D577</f>
        <v>20</v>
      </c>
      <c r="E579" s="96">
        <f t="shared" si="74"/>
        <v>1423</v>
      </c>
      <c r="F579" s="96">
        <f t="shared" si="74"/>
        <v>234</v>
      </c>
      <c r="G579" s="96">
        <f t="shared" si="74"/>
        <v>251</v>
      </c>
      <c r="H579" s="96">
        <f t="shared" si="74"/>
        <v>18889</v>
      </c>
      <c r="I579" s="96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</row>
    <row r="580" spans="1:28" x14ac:dyDescent="0.2">
      <c r="A580" s="6"/>
      <c r="B580" s="157"/>
      <c r="C580" s="96"/>
      <c r="D580" s="96"/>
      <c r="E580" s="96"/>
      <c r="F580" s="96"/>
      <c r="G580" s="96"/>
      <c r="H580" s="96"/>
      <c r="I580" s="96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</row>
    <row r="581" spans="1:28" x14ac:dyDescent="0.2">
      <c r="A581" s="6"/>
      <c r="B581" s="157" t="s">
        <v>35</v>
      </c>
      <c r="C581" s="96"/>
      <c r="D581" s="96"/>
      <c r="E581" s="96"/>
      <c r="F581" s="96"/>
      <c r="G581" s="96"/>
      <c r="H581" s="96"/>
      <c r="I581" s="96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</row>
    <row r="582" spans="1:28" x14ac:dyDescent="0.2">
      <c r="A582" s="6"/>
      <c r="B582" s="157" t="s">
        <v>68</v>
      </c>
      <c r="C582" s="96">
        <f>SUM(C577:H577)</f>
        <v>26724</v>
      </c>
      <c r="D582" s="96"/>
      <c r="E582" s="96"/>
      <c r="F582" s="96"/>
      <c r="G582" s="96"/>
      <c r="H582" s="96"/>
      <c r="I582" s="96"/>
      <c r="J582" s="71"/>
      <c r="K582" s="167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</row>
    <row r="583" spans="1:28" x14ac:dyDescent="0.2">
      <c r="A583" s="6"/>
      <c r="B583" s="157" t="s">
        <v>61</v>
      </c>
      <c r="C583" s="29">
        <f>SUM(C578:H578)</f>
        <v>45612</v>
      </c>
      <c r="D583" s="103"/>
      <c r="E583" s="96"/>
      <c r="F583" s="96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</row>
    <row r="584" spans="1:28" x14ac:dyDescent="0.2">
      <c r="A584" s="6"/>
      <c r="B584" s="157" t="s">
        <v>35</v>
      </c>
      <c r="C584" s="30">
        <f>+C583+C582</f>
        <v>72336</v>
      </c>
      <c r="D584" s="103"/>
      <c r="E584" s="30"/>
      <c r="F584" s="30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</row>
    <row r="585" spans="1:28" x14ac:dyDescent="0.2">
      <c r="A585" s="6"/>
      <c r="B585" s="157"/>
      <c r="C585" s="96"/>
      <c r="D585" s="103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</row>
    <row r="586" spans="1:28" x14ac:dyDescent="0.2">
      <c r="A586" s="6"/>
      <c r="B586" s="71"/>
      <c r="C586" s="26" t="str">
        <f t="shared" ref="C586" si="75">C6</f>
        <v>SC1/SC5</v>
      </c>
      <c r="D586" s="26" t="str">
        <f>D6</f>
        <v>SC3</v>
      </c>
      <c r="E586" s="26" t="str">
        <f>E6</f>
        <v>SC2 ND</v>
      </c>
      <c r="F586" s="26" t="str">
        <f>F6</f>
        <v>SC4</v>
      </c>
      <c r="G586" s="26" t="str">
        <f>G6</f>
        <v>SC6</v>
      </c>
      <c r="H586" s="26" t="str">
        <f>H6</f>
        <v>SC2 Dem</v>
      </c>
      <c r="I586" s="26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</row>
    <row r="587" spans="1:28" x14ac:dyDescent="0.2">
      <c r="A587" s="6"/>
      <c r="B587" s="71" t="s">
        <v>289</v>
      </c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</row>
    <row r="588" spans="1:28" x14ac:dyDescent="0.2">
      <c r="A588" s="6"/>
      <c r="B588" s="157" t="s">
        <v>68</v>
      </c>
      <c r="C588" s="19">
        <f t="shared" ref="C588:H588" si="76">+$C571*L48*C78/1000</f>
        <v>23252.376749677573</v>
      </c>
      <c r="D588" s="19">
        <f t="shared" si="76"/>
        <v>7.0124714216109716</v>
      </c>
      <c r="E588" s="19">
        <f t="shared" si="76"/>
        <v>571.0271786690887</v>
      </c>
      <c r="F588" s="19">
        <f t="shared" si="76"/>
        <v>109.37118159304883</v>
      </c>
      <c r="G588" s="19">
        <f t="shared" si="76"/>
        <v>119.77200718287814</v>
      </c>
      <c r="H588" s="19">
        <f t="shared" si="76"/>
        <v>9910.5733796795485</v>
      </c>
      <c r="I588" s="19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</row>
    <row r="589" spans="1:28" x14ac:dyDescent="0.2">
      <c r="A589" s="6"/>
      <c r="B589" s="157" t="s">
        <v>61</v>
      </c>
      <c r="C589" s="28">
        <f t="shared" ref="C589:H589" si="77">+$C572*L44*C78/1000</f>
        <v>34480.534263756075</v>
      </c>
      <c r="D589" s="28">
        <f t="shared" si="77"/>
        <v>18.491829880219051</v>
      </c>
      <c r="E589" s="28">
        <f t="shared" si="77"/>
        <v>1424.511706762815</v>
      </c>
      <c r="F589" s="28">
        <f t="shared" si="77"/>
        <v>310.98590967926464</v>
      </c>
      <c r="G589" s="28">
        <f t="shared" si="77"/>
        <v>335.47981309636134</v>
      </c>
      <c r="H589" s="28">
        <f t="shared" si="77"/>
        <v>20033.381138566812</v>
      </c>
      <c r="I589" s="19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</row>
    <row r="590" spans="1:28" x14ac:dyDescent="0.2">
      <c r="A590" s="6"/>
      <c r="B590" s="157" t="s">
        <v>35</v>
      </c>
      <c r="C590" s="96">
        <f t="shared" ref="C590:H590" si="78">+C589+C588</f>
        <v>57732.911013433652</v>
      </c>
      <c r="D590" s="96">
        <f t="shared" si="78"/>
        <v>25.504301301830022</v>
      </c>
      <c r="E590" s="96">
        <f t="shared" si="78"/>
        <v>1995.5388854319037</v>
      </c>
      <c r="F590" s="96">
        <f t="shared" si="78"/>
        <v>420.35709127231348</v>
      </c>
      <c r="G590" s="19">
        <f t="shared" si="78"/>
        <v>455.2518202792395</v>
      </c>
      <c r="H590" s="19">
        <f t="shared" si="78"/>
        <v>29943.954518246363</v>
      </c>
      <c r="I590" s="19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</row>
    <row r="591" spans="1:28" x14ac:dyDescent="0.2">
      <c r="A591" s="6"/>
      <c r="B591" s="71"/>
      <c r="C591" s="103"/>
      <c r="D591" s="103"/>
      <c r="E591" s="103"/>
      <c r="F591" s="103"/>
      <c r="G591" s="103"/>
      <c r="H591" s="103"/>
      <c r="I591" s="103"/>
      <c r="J591" s="103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</row>
    <row r="592" spans="1:28" x14ac:dyDescent="0.2">
      <c r="A592" s="6"/>
      <c r="B592" s="157" t="s">
        <v>35</v>
      </c>
      <c r="C592" s="166"/>
      <c r="D592" s="103"/>
      <c r="E592" s="103"/>
      <c r="F592" s="103"/>
      <c r="G592" s="103"/>
      <c r="H592" s="103"/>
      <c r="I592" s="103"/>
      <c r="J592" s="103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</row>
    <row r="593" spans="1:28" x14ac:dyDescent="0.2">
      <c r="A593" s="6"/>
      <c r="B593" s="157" t="s">
        <v>68</v>
      </c>
      <c r="C593" s="96">
        <f>SUM(C588:H588)</f>
        <v>33970.132968223748</v>
      </c>
      <c r="D593" s="71"/>
      <c r="E593" s="71"/>
      <c r="F593" s="71"/>
      <c r="G593" s="96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</row>
    <row r="594" spans="1:28" x14ac:dyDescent="0.2">
      <c r="A594" s="6"/>
      <c r="B594" s="157" t="s">
        <v>61</v>
      </c>
      <c r="C594" s="29">
        <f>SUM(C589:H589)</f>
        <v>56603.384661741555</v>
      </c>
      <c r="D594" s="71"/>
      <c r="E594" s="71"/>
      <c r="F594" s="71"/>
      <c r="G594" s="96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</row>
    <row r="595" spans="1:28" x14ac:dyDescent="0.2">
      <c r="A595" s="6"/>
      <c r="B595" s="157" t="s">
        <v>35</v>
      </c>
      <c r="C595" s="96">
        <f>+C594+C593</f>
        <v>90573.517629965296</v>
      </c>
      <c r="D595" s="71"/>
      <c r="E595" s="71"/>
      <c r="F595" s="71"/>
      <c r="G595" s="96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</row>
    <row r="596" spans="1:28" x14ac:dyDescent="0.2">
      <c r="A596" s="6"/>
      <c r="B596" s="71"/>
      <c r="C596" s="103"/>
      <c r="D596" s="31"/>
      <c r="E596" s="103"/>
      <c r="F596" s="233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</row>
    <row r="597" spans="1:28" x14ac:dyDescent="0.2">
      <c r="A597" s="115"/>
      <c r="B597" s="157" t="s">
        <v>290</v>
      </c>
      <c r="C597" s="96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</row>
    <row r="598" spans="1:28" x14ac:dyDescent="0.2">
      <c r="A598" s="115"/>
      <c r="B598" s="157" t="s">
        <v>68</v>
      </c>
      <c r="C598" s="102">
        <f>ROUND($C$147*SUM($C$141:$H$141)/12*H$144/1000*D447,0)</f>
        <v>4594</v>
      </c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</row>
    <row r="599" spans="1:28" x14ac:dyDescent="0.2">
      <c r="A599" s="115"/>
      <c r="B599" s="157" t="s">
        <v>61</v>
      </c>
      <c r="C599" s="32">
        <f>ROUND($C$147*SUM($C$141:$H$141)/12*H$145/1000*D447,0)</f>
        <v>9188</v>
      </c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</row>
    <row r="600" spans="1:28" x14ac:dyDescent="0.2">
      <c r="A600" s="115"/>
      <c r="B600" s="157" t="s">
        <v>35</v>
      </c>
      <c r="C600" s="96">
        <f>SUM(C598:C599)</f>
        <v>13782</v>
      </c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</row>
    <row r="601" spans="1:28" x14ac:dyDescent="0.2">
      <c r="A601" s="115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</row>
    <row r="602" spans="1:28" x14ac:dyDescent="0.2">
      <c r="A602" s="115"/>
      <c r="B602" s="71" t="s">
        <v>291</v>
      </c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</row>
    <row r="603" spans="1:28" x14ac:dyDescent="0.2">
      <c r="A603" s="115"/>
      <c r="B603" s="157" t="s">
        <v>68</v>
      </c>
      <c r="C603" s="96">
        <f>C593-C598</f>
        <v>29376.132968223748</v>
      </c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</row>
    <row r="604" spans="1:28" x14ac:dyDescent="0.2">
      <c r="A604" s="115"/>
      <c r="B604" s="157" t="s">
        <v>61</v>
      </c>
      <c r="C604" s="29">
        <f>C594-C599</f>
        <v>47415.384661741555</v>
      </c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</row>
    <row r="605" spans="1:28" x14ac:dyDescent="0.2">
      <c r="A605" s="115"/>
      <c r="B605" s="157" t="s">
        <v>35</v>
      </c>
      <c r="C605" s="30">
        <f>SUM(C603:C604)</f>
        <v>76791.517629965296</v>
      </c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</row>
    <row r="606" spans="1:28" x14ac:dyDescent="0.2">
      <c r="A606" s="115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</row>
    <row r="607" spans="1:28" x14ac:dyDescent="0.2">
      <c r="A607" s="115"/>
      <c r="B607" s="71" t="s">
        <v>292</v>
      </c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</row>
    <row r="608" spans="1:28" x14ac:dyDescent="0.2">
      <c r="A608" s="115"/>
      <c r="B608" s="157" t="s">
        <v>68</v>
      </c>
      <c r="C608" s="96">
        <f>C603-C582</f>
        <v>2652.1329682237483</v>
      </c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</row>
    <row r="609" spans="1:28" x14ac:dyDescent="0.2">
      <c r="A609" s="115"/>
      <c r="B609" s="157" t="s">
        <v>61</v>
      </c>
      <c r="C609" s="29">
        <f>C604-C583</f>
        <v>1803.3846617415547</v>
      </c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</row>
    <row r="610" spans="1:28" x14ac:dyDescent="0.2">
      <c r="A610" s="115"/>
      <c r="B610" s="157" t="s">
        <v>35</v>
      </c>
      <c r="C610" s="96">
        <f>SUM(C608:C609)</f>
        <v>4455.5176299653031</v>
      </c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</row>
    <row r="611" spans="1:28" x14ac:dyDescent="0.2">
      <c r="A611" s="115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</row>
    <row r="612" spans="1:28" x14ac:dyDescent="0.2">
      <c r="A612" s="115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</row>
    <row r="613" spans="1:28" x14ac:dyDescent="0.2">
      <c r="A613" s="115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</row>
    <row r="614" spans="1:28" x14ac:dyDescent="0.2">
      <c r="A614" s="115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</row>
    <row r="615" spans="1:28" x14ac:dyDescent="0.2">
      <c r="A615" s="115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</row>
    <row r="616" spans="1:28" x14ac:dyDescent="0.2">
      <c r="A616" s="115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</row>
    <row r="617" spans="1:28" x14ac:dyDescent="0.2">
      <c r="A617" s="115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</row>
    <row r="618" spans="1:28" x14ac:dyDescent="0.2">
      <c r="A618" s="115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</row>
    <row r="619" spans="1:28" x14ac:dyDescent="0.2">
      <c r="A619" s="115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</row>
    <row r="620" spans="1:28" x14ac:dyDescent="0.2">
      <c r="A620" s="115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</row>
    <row r="621" spans="1:28" x14ac:dyDescent="0.2">
      <c r="A621" s="115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</row>
    <row r="622" spans="1:28" x14ac:dyDescent="0.2">
      <c r="A622" s="115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</row>
    <row r="623" spans="1:28" x14ac:dyDescent="0.2">
      <c r="A623" s="115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</row>
    <row r="624" spans="1:28" x14ac:dyDescent="0.2">
      <c r="A624" s="115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</row>
    <row r="625" spans="1:28" x14ac:dyDescent="0.2">
      <c r="A625" s="115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</row>
    <row r="626" spans="1:28" x14ac:dyDescent="0.2">
      <c r="A626" s="115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</row>
    <row r="627" spans="1:28" x14ac:dyDescent="0.2">
      <c r="A627" s="115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</row>
    <row r="628" spans="1:28" x14ac:dyDescent="0.2">
      <c r="A628" s="115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</row>
    <row r="629" spans="1:28" x14ac:dyDescent="0.2">
      <c r="A629" s="115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</row>
    <row r="630" spans="1:28" x14ac:dyDescent="0.2">
      <c r="A630" s="115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</row>
    <row r="631" spans="1:28" x14ac:dyDescent="0.2">
      <c r="A631" s="115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</row>
    <row r="632" spans="1:28" x14ac:dyDescent="0.2">
      <c r="A632" s="115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</row>
    <row r="633" spans="1:28" x14ac:dyDescent="0.2">
      <c r="A633" s="115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</row>
    <row r="634" spans="1:28" x14ac:dyDescent="0.2">
      <c r="A634" s="115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</row>
    <row r="635" spans="1:28" x14ac:dyDescent="0.2">
      <c r="A635" s="115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</row>
    <row r="636" spans="1:28" x14ac:dyDescent="0.2">
      <c r="A636" s="115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</row>
    <row r="637" spans="1:28" x14ac:dyDescent="0.2">
      <c r="A637" s="115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</row>
    <row r="638" spans="1:28" x14ac:dyDescent="0.2">
      <c r="A638" s="115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</row>
    <row r="639" spans="1:28" x14ac:dyDescent="0.2">
      <c r="A639" s="115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</row>
    <row r="640" spans="1:28" x14ac:dyDescent="0.2">
      <c r="A640" s="115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</row>
    <row r="641" spans="1:28" x14ac:dyDescent="0.2">
      <c r="A641" s="115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</row>
    <row r="642" spans="1:28" x14ac:dyDescent="0.2">
      <c r="A642" s="115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</row>
    <row r="643" spans="1:28" x14ac:dyDescent="0.2">
      <c r="A643" s="115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</row>
    <row r="644" spans="1:28" x14ac:dyDescent="0.2">
      <c r="A644" s="115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</row>
    <row r="645" spans="1:28" x14ac:dyDescent="0.2">
      <c r="A645" s="115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</row>
    <row r="646" spans="1:28" x14ac:dyDescent="0.2">
      <c r="A646" s="115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</row>
    <row r="647" spans="1:28" x14ac:dyDescent="0.2">
      <c r="A647" s="115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</row>
    <row r="648" spans="1:28" x14ac:dyDescent="0.2">
      <c r="A648" s="115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</row>
    <row r="649" spans="1:28" x14ac:dyDescent="0.2">
      <c r="A649" s="115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</row>
  </sheetData>
  <mergeCells count="3">
    <mergeCell ref="T210:U210"/>
    <mergeCell ref="I376:J376"/>
    <mergeCell ref="I398:J398"/>
  </mergeCells>
  <pageMargins left="0.5" right="0.5" top="1" bottom="0.75" header="0.5" footer="0.5"/>
  <pageSetup scale="86" orientation="landscape" r:id="rId1"/>
  <headerFooter alignWithMargins="0">
    <oddHeader xml:space="preserve">&amp;L&amp;"Arial,Bold"&amp;UROCKLAND ELECTRIC COMPANY&amp;C&amp;"Arial,Bold Italic"
&amp;R&amp;"Arial,Bold"Attachment B&amp;"Arial,Regular"
Page &amp;P of &amp;N
</oddHeader>
    <oddFooter>&amp;L&amp;F&amp;R&amp;D</oddFooter>
  </headerFooter>
  <rowBreaks count="12" manualBreakCount="12">
    <brk id="39" max="9" man="1"/>
    <brk id="82" max="9" man="1"/>
    <brk id="118" max="9" man="1"/>
    <brk id="162" max="9" man="1"/>
    <brk id="206" max="9" man="1"/>
    <brk id="247" max="9" man="1"/>
    <brk id="285" max="9" man="1"/>
    <brk id="319" max="9" man="1"/>
    <brk id="358" max="9" man="1"/>
    <brk id="401" max="9" man="1"/>
    <brk id="442" max="9" man="1"/>
    <brk id="5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U208"/>
  <sheetViews>
    <sheetView tabSelected="1" zoomScale="80" zoomScaleNormal="80" workbookViewId="0"/>
  </sheetViews>
  <sheetFormatPr defaultRowHeight="12.75" x14ac:dyDescent="0.2"/>
  <cols>
    <col min="1" max="1" width="9.140625" style="3"/>
    <col min="2" max="2" width="4.7109375" style="3" customWidth="1"/>
    <col min="3" max="3" width="26.140625" style="3" customWidth="1"/>
    <col min="4" max="6" width="9.5703125" style="3" customWidth="1"/>
    <col min="7" max="7" width="9.85546875" style="3" customWidth="1"/>
    <col min="8" max="8" width="2.42578125" style="3" customWidth="1"/>
    <col min="9" max="13" width="9.140625" style="3"/>
    <col min="14" max="14" width="12.85546875" style="3" customWidth="1"/>
    <col min="15" max="17" width="9.140625" style="3"/>
    <col min="18" max="18" width="13.140625" style="3" customWidth="1"/>
    <col min="19" max="16384" width="9.140625" style="3"/>
  </cols>
  <sheetData>
    <row r="1" spans="1:21" x14ac:dyDescent="0.2">
      <c r="A1" s="237" t="s">
        <v>293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1" x14ac:dyDescent="0.2">
      <c r="A2" s="13" t="str">
        <f>'BGS Cost &amp; Bid Factors'!M1&amp;" BGS Auction"</f>
        <v>2020 BGS Auction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1" s="33" customFormat="1" x14ac:dyDescent="0.2">
      <c r="A4" s="13" t="s">
        <v>294</v>
      </c>
      <c r="B4" s="13" t="s">
        <v>295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1" s="33" customFormat="1" ht="11.25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s="33" customFormat="1" ht="11.25" x14ac:dyDescent="0.2">
      <c r="A6" s="35"/>
      <c r="B6" s="35"/>
      <c r="C6" s="35"/>
      <c r="D6" s="37">
        <f>F6-2</f>
        <v>2018</v>
      </c>
      <c r="E6" s="37">
        <f>F6-1</f>
        <v>2019</v>
      </c>
      <c r="F6" s="37">
        <v>2020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s="33" customFormat="1" ht="11.25" x14ac:dyDescent="0.2">
      <c r="A7" s="35"/>
      <c r="B7" s="35"/>
      <c r="C7" s="35"/>
      <c r="D7" s="37" t="s">
        <v>296</v>
      </c>
      <c r="E7" s="37" t="s">
        <v>296</v>
      </c>
      <c r="F7" s="37" t="s">
        <v>296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 s="33" customFormat="1" ht="11.25" x14ac:dyDescent="0.2">
      <c r="A8" s="35"/>
      <c r="B8" s="38" t="s">
        <v>297</v>
      </c>
      <c r="C8" s="38" t="s">
        <v>298</v>
      </c>
      <c r="D8" s="238" t="s">
        <v>299</v>
      </c>
      <c r="E8" s="238" t="s">
        <v>299</v>
      </c>
      <c r="F8" s="238" t="s">
        <v>299</v>
      </c>
      <c r="G8" s="239" t="s">
        <v>35</v>
      </c>
      <c r="H8" s="35"/>
      <c r="I8" s="38" t="s">
        <v>300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s="33" customFormat="1" ht="11.25" x14ac:dyDescent="0.2">
      <c r="A9" s="35"/>
      <c r="B9" s="37">
        <v>1</v>
      </c>
      <c r="C9" s="35" t="s">
        <v>301</v>
      </c>
      <c r="D9" s="41">
        <v>1</v>
      </c>
      <c r="E9" s="41">
        <v>1</v>
      </c>
      <c r="F9" s="41">
        <v>2</v>
      </c>
      <c r="G9" s="35">
        <f>SUM(D9:F9)</f>
        <v>4</v>
      </c>
      <c r="H9" s="35"/>
      <c r="I9" s="35" t="s">
        <v>302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1" s="33" customFormat="1" ht="11.25" x14ac:dyDescent="0.2">
      <c r="A10" s="35"/>
      <c r="B10" s="37">
        <v>2</v>
      </c>
      <c r="C10" s="240" t="s">
        <v>303</v>
      </c>
      <c r="D10" s="34">
        <v>8.5939999999999994</v>
      </c>
      <c r="E10" s="34">
        <v>8.8030000000000008</v>
      </c>
      <c r="F10" s="34">
        <v>8.8030000000000008</v>
      </c>
      <c r="G10" s="35"/>
      <c r="H10" s="35"/>
      <c r="I10" s="35" t="str">
        <f>"(Note: "&amp;F6&amp;" Auction Price Shown for Illustrative Purposes Only)"</f>
        <v>(Note: 2020 Auction Price Shown for Illustrative Purposes Only)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spans="1:21" s="33" customFormat="1" ht="11.25" x14ac:dyDescent="0.2">
      <c r="A11" s="35"/>
      <c r="B11" s="37">
        <v>3</v>
      </c>
      <c r="C11" s="240" t="s">
        <v>304</v>
      </c>
      <c r="D11" s="34">
        <f>F11</f>
        <v>1.3171767158042882</v>
      </c>
      <c r="E11" s="34">
        <f>F11</f>
        <v>1.3171767158042882</v>
      </c>
      <c r="F11" s="34">
        <f>'BGS Cost &amp; Bid Factors'!M468/10</f>
        <v>1.3171767158042882</v>
      </c>
      <c r="G11" s="35"/>
      <c r="H11" s="35"/>
      <c r="I11" s="35" t="s">
        <v>305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spans="1:21" s="33" customFormat="1" ht="11.25" x14ac:dyDescent="0.2">
      <c r="A12" s="35"/>
      <c r="B12" s="37">
        <v>4</v>
      </c>
      <c r="C12" s="240" t="s">
        <v>306</v>
      </c>
      <c r="D12" s="34">
        <f>D10-D11</f>
        <v>7.2768232841957108</v>
      </c>
      <c r="E12" s="34">
        <f>E10-E11</f>
        <v>7.4858232841957122</v>
      </c>
      <c r="F12" s="34">
        <f>F10-F11</f>
        <v>7.4858232841957122</v>
      </c>
      <c r="G12" s="241"/>
      <c r="H12" s="35"/>
      <c r="I12" s="240" t="s">
        <v>307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3" spans="1:21" s="33" customFormat="1" ht="11.25" x14ac:dyDescent="0.2">
      <c r="A13" s="35"/>
      <c r="B13" s="37">
        <v>5</v>
      </c>
      <c r="C13" s="240" t="s">
        <v>308</v>
      </c>
      <c r="D13" s="34">
        <f>D9/$G$9*D12</f>
        <v>1.8192058210489277</v>
      </c>
      <c r="E13" s="34">
        <f>E9/$G$9*E12</f>
        <v>1.871455821048928</v>
      </c>
      <c r="F13" s="34">
        <f>F9/$G$9*F12</f>
        <v>3.7429116420978561</v>
      </c>
      <c r="G13" s="241">
        <f>SUM(D13:F13)</f>
        <v>7.4335732841957114</v>
      </c>
      <c r="H13" s="35"/>
      <c r="I13" s="240" t="s">
        <v>309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spans="1:21" s="33" customFormat="1" ht="11.25" x14ac:dyDescent="0.2">
      <c r="A14" s="35"/>
      <c r="B14" s="37">
        <v>6</v>
      </c>
      <c r="C14" s="240" t="s">
        <v>310</v>
      </c>
      <c r="D14" s="34">
        <f>D9/$G$9*D11</f>
        <v>0.32929417895107205</v>
      </c>
      <c r="E14" s="34">
        <f>E9/$G$9*E11</f>
        <v>0.32929417895107205</v>
      </c>
      <c r="F14" s="34">
        <f>F9/$G$9*F11</f>
        <v>0.65858835790214409</v>
      </c>
      <c r="G14" s="241">
        <f>SUM(D14:F14)</f>
        <v>1.3171767158042882</v>
      </c>
      <c r="H14" s="35"/>
      <c r="I14" s="240" t="s">
        <v>311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spans="1:21" s="33" customFormat="1" ht="11.25" x14ac:dyDescent="0.2">
      <c r="A15" s="35"/>
      <c r="B15" s="37">
        <v>7</v>
      </c>
      <c r="C15" s="240" t="s">
        <v>312</v>
      </c>
      <c r="D15" s="35"/>
      <c r="E15" s="35"/>
      <c r="F15" s="35"/>
      <c r="G15" s="242">
        <f>G13+G14</f>
        <v>8.75075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1:21" s="33" customFormat="1" ht="11.25" x14ac:dyDescent="0.2">
      <c r="A16" s="35"/>
      <c r="B16" s="37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1:21" s="33" customFormat="1" ht="11.25" x14ac:dyDescent="0.2">
      <c r="A17" s="35"/>
      <c r="B17" s="37"/>
      <c r="C17" s="38" t="s">
        <v>313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1:21" s="33" customFormat="1" ht="11.25" x14ac:dyDescent="0.2">
      <c r="A18" s="35"/>
      <c r="B18" s="37">
        <v>8</v>
      </c>
      <c r="C18" s="243" t="s">
        <v>314</v>
      </c>
      <c r="D18" s="36">
        <v>1</v>
      </c>
      <c r="E18" s="36">
        <v>1</v>
      </c>
      <c r="F18" s="36">
        <f>IF('BGS Cost &amp; Bid Factors'!J377&lt;1,1,'BGS Cost &amp; Bid Factors'!J377)</f>
        <v>1</v>
      </c>
      <c r="G18" s="35" t="s">
        <v>315</v>
      </c>
      <c r="H18" s="35"/>
      <c r="I18" s="240" t="s">
        <v>316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1" s="33" customFormat="1" ht="11.25" x14ac:dyDescent="0.2">
      <c r="A19" s="35"/>
      <c r="B19" s="37">
        <v>9</v>
      </c>
      <c r="C19" s="243" t="s">
        <v>317</v>
      </c>
      <c r="D19" s="36">
        <v>1</v>
      </c>
      <c r="E19" s="36">
        <v>1</v>
      </c>
      <c r="F19" s="36">
        <f>IF('BGS Cost &amp; Bid Factors'!J378&gt;1,1,'BGS Cost &amp; Bid Factors'!J378)</f>
        <v>1</v>
      </c>
      <c r="G19" s="35" t="s">
        <v>315</v>
      </c>
      <c r="H19" s="35"/>
      <c r="I19" s="240" t="s">
        <v>316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1:21" s="33" customFormat="1" ht="11.25" x14ac:dyDescent="0.2">
      <c r="A20" s="35"/>
      <c r="B20" s="37"/>
      <c r="C20" s="35"/>
      <c r="D20" s="36"/>
      <c r="E20" s="36"/>
      <c r="F20" s="36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 s="33" customFormat="1" ht="11.25" x14ac:dyDescent="0.2">
      <c r="A21" s="35"/>
      <c r="B21" s="37"/>
      <c r="C21" s="38" t="s">
        <v>318</v>
      </c>
      <c r="D21" s="35"/>
      <c r="E21" s="35"/>
      <c r="F21" s="37" t="s">
        <v>319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 s="33" customFormat="1" ht="11.25" x14ac:dyDescent="0.2">
      <c r="A22" s="35"/>
      <c r="B22" s="37">
        <v>10</v>
      </c>
      <c r="C22" s="244" t="s">
        <v>320</v>
      </c>
      <c r="D22" s="39">
        <f>'Rate Calculations'!$D$251</f>
        <v>394915.23045088351</v>
      </c>
      <c r="E22" s="35"/>
      <c r="F22" s="35"/>
      <c r="G22" s="35"/>
      <c r="H22" s="35"/>
      <c r="I22" s="240" t="s">
        <v>316</v>
      </c>
      <c r="J22" s="35"/>
      <c r="K22" s="35"/>
      <c r="L22" s="35"/>
      <c r="M22" s="35"/>
      <c r="N22" s="39"/>
      <c r="O22" s="35"/>
      <c r="P22" s="35"/>
      <c r="Q22" s="35"/>
      <c r="R22" s="35"/>
      <c r="S22" s="35"/>
      <c r="T22" s="35"/>
      <c r="U22" s="35"/>
    </row>
    <row r="23" spans="1:21" s="33" customFormat="1" ht="11.25" x14ac:dyDescent="0.2">
      <c r="A23" s="35"/>
      <c r="B23" s="37">
        <v>11</v>
      </c>
      <c r="C23" s="244" t="s">
        <v>321</v>
      </c>
      <c r="D23" s="40">
        <f>'Rate Calculations'!$D$252</f>
        <v>586129.18296993652</v>
      </c>
      <c r="E23" s="35"/>
      <c r="F23" s="35"/>
      <c r="G23" s="35"/>
      <c r="H23" s="35"/>
      <c r="I23" s="240" t="s">
        <v>316</v>
      </c>
      <c r="J23" s="35"/>
      <c r="K23" s="35"/>
      <c r="L23" s="35"/>
      <c r="M23" s="35"/>
      <c r="N23" s="39"/>
      <c r="O23" s="35"/>
      <c r="P23" s="35"/>
      <c r="Q23" s="35"/>
      <c r="R23" s="35"/>
      <c r="S23" s="35"/>
      <c r="T23" s="35"/>
      <c r="U23" s="35"/>
    </row>
    <row r="24" spans="1:21" s="33" customFormat="1" ht="11.25" x14ac:dyDescent="0.2">
      <c r="A24" s="35"/>
      <c r="B24" s="37">
        <v>12</v>
      </c>
      <c r="C24" s="35"/>
      <c r="D24" s="39">
        <f>SUM(D22:D23)</f>
        <v>981044.41342082003</v>
      </c>
      <c r="E24" s="35"/>
      <c r="F24" s="35"/>
      <c r="G24" s="35"/>
      <c r="H24" s="35"/>
      <c r="I24" s="35"/>
      <c r="J24" s="35"/>
      <c r="K24" s="35"/>
      <c r="L24" s="35"/>
      <c r="M24" s="35"/>
      <c r="N24" s="39"/>
      <c r="O24" s="35"/>
      <c r="P24" s="35"/>
      <c r="Q24" s="35"/>
      <c r="R24" s="35"/>
      <c r="S24" s="35"/>
      <c r="T24" s="35"/>
      <c r="U24" s="35"/>
    </row>
    <row r="25" spans="1:21" s="33" customFormat="1" ht="11.25" x14ac:dyDescent="0.2">
      <c r="A25" s="35"/>
      <c r="B25" s="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 s="33" customFormat="1" ht="11.25" x14ac:dyDescent="0.2">
      <c r="A26" s="35"/>
      <c r="B26" s="37"/>
      <c r="C26" s="38" t="s">
        <v>322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spans="1:21" s="33" customFormat="1" ht="11.25" x14ac:dyDescent="0.2">
      <c r="A27" s="35"/>
      <c r="B27" s="37">
        <v>13</v>
      </c>
      <c r="C27" s="244" t="s">
        <v>68</v>
      </c>
      <c r="D27" s="39">
        <f>ROUND(D$9/$G$9*D$10/100*D$18*$D$22*1000,0)</f>
        <v>8484754</v>
      </c>
      <c r="E27" s="39">
        <f>ROUND(E$9/$G$9*E$10/100*E$18*$D$22*1000,0)</f>
        <v>8691097</v>
      </c>
      <c r="F27" s="39">
        <f>ROUND(F$9/$G$9*F$10/100*F$18*$D$22*1000,0)</f>
        <v>17382194</v>
      </c>
      <c r="G27" s="39">
        <f>SUM(D27:F27)</f>
        <v>34558045</v>
      </c>
      <c r="H27" s="35"/>
      <c r="I27" s="240" t="s">
        <v>323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spans="1:21" s="33" customFormat="1" ht="11.25" x14ac:dyDescent="0.2">
      <c r="A28" s="35"/>
      <c r="B28" s="37">
        <v>14</v>
      </c>
      <c r="C28" s="244" t="s">
        <v>61</v>
      </c>
      <c r="D28" s="40">
        <f>ROUND(D$9/$G$9*D$10/100*D$19*$D$23*1000,0)</f>
        <v>12592985</v>
      </c>
      <c r="E28" s="40">
        <f>ROUND(E$9/$G$9*E$10/100*E$19*$D$23*1000,0)</f>
        <v>12899238</v>
      </c>
      <c r="F28" s="40">
        <f>ROUND(F$9/$G$9*F$10/100*F$19*$D$23*1000,0)</f>
        <v>25798476</v>
      </c>
      <c r="G28" s="40">
        <f>SUM(D28:F28)</f>
        <v>51290699</v>
      </c>
      <c r="H28" s="35"/>
      <c r="I28" s="240" t="s">
        <v>324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29" spans="1:21" s="33" customFormat="1" ht="11.25" x14ac:dyDescent="0.2">
      <c r="A29" s="35"/>
      <c r="B29" s="37">
        <v>15</v>
      </c>
      <c r="C29" s="244" t="s">
        <v>35</v>
      </c>
      <c r="D29" s="39">
        <f>SUM(D27:D28)</f>
        <v>21077739</v>
      </c>
      <c r="E29" s="39">
        <f>SUM(E27:E28)</f>
        <v>21590335</v>
      </c>
      <c r="F29" s="39">
        <f>SUM(F27:F28)</f>
        <v>43180670</v>
      </c>
      <c r="G29" s="39">
        <f>SUM(G27:G28)</f>
        <v>85848744</v>
      </c>
      <c r="H29" s="35"/>
      <c r="I29" s="240" t="s">
        <v>325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1" s="33" customFormat="1" ht="11.25" x14ac:dyDescent="0.2">
      <c r="A30" s="35"/>
      <c r="B30" s="37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1" s="33" customFormat="1" ht="11.25" x14ac:dyDescent="0.2">
      <c r="A31" s="35"/>
      <c r="B31" s="37"/>
      <c r="C31" s="245" t="s">
        <v>326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  <row r="32" spans="1:21" s="33" customFormat="1" ht="11.25" x14ac:dyDescent="0.2">
      <c r="A32" s="35"/>
      <c r="B32" s="37">
        <v>16</v>
      </c>
      <c r="C32" s="244" t="s">
        <v>68</v>
      </c>
      <c r="D32" s="241">
        <f>ROUND(G27/D22/1000*100,3)</f>
        <v>8.7509999999999994</v>
      </c>
      <c r="E32" s="35" t="s">
        <v>110</v>
      </c>
      <c r="F32" s="35"/>
      <c r="G32" s="35"/>
      <c r="H32" s="35"/>
      <c r="I32" s="240" t="s">
        <v>327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</row>
    <row r="33" spans="1:21" s="33" customFormat="1" ht="11.25" x14ac:dyDescent="0.2">
      <c r="A33" s="35"/>
      <c r="B33" s="37">
        <v>17</v>
      </c>
      <c r="C33" s="244" t="s">
        <v>61</v>
      </c>
      <c r="D33" s="241">
        <f>ROUND(G28/D23/1000*100,3)</f>
        <v>8.7509999999999994</v>
      </c>
      <c r="E33" s="35" t="s">
        <v>110</v>
      </c>
      <c r="F33" s="35"/>
      <c r="G33" s="35"/>
      <c r="H33" s="35"/>
      <c r="I33" s="240" t="s">
        <v>328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</row>
    <row r="34" spans="1:21" s="33" customFormat="1" ht="11.25" x14ac:dyDescent="0.2">
      <c r="A34" s="35"/>
      <c r="B34" s="37">
        <v>18</v>
      </c>
      <c r="C34" s="244" t="s">
        <v>35</v>
      </c>
      <c r="D34" s="242">
        <f>ROUND(G29/D24/1000*100,3)</f>
        <v>8.7509999999999994</v>
      </c>
      <c r="E34" s="35" t="s">
        <v>110</v>
      </c>
      <c r="F34" s="35"/>
      <c r="G34" s="35"/>
      <c r="H34" s="35"/>
      <c r="I34" s="240" t="s">
        <v>329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 s="33" customFormat="1" ht="11.25" x14ac:dyDescent="0.2">
      <c r="A35" s="35"/>
      <c r="B35" s="37"/>
      <c r="C35" s="39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</row>
    <row r="36" spans="1:21" s="33" customFormat="1" ht="11.25" x14ac:dyDescent="0.2">
      <c r="A36" s="35"/>
      <c r="B36" s="37"/>
      <c r="C36" s="38" t="s">
        <v>330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 s="33" customFormat="1" ht="11.25" x14ac:dyDescent="0.2">
      <c r="A37" s="35"/>
      <c r="B37" s="37"/>
      <c r="C37" s="35"/>
      <c r="D37" s="244" t="s">
        <v>331</v>
      </c>
      <c r="E37" s="244" t="s">
        <v>332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s="33" customFormat="1" ht="11.25" x14ac:dyDescent="0.2">
      <c r="A38" s="35"/>
      <c r="B38" s="37"/>
      <c r="C38" s="35"/>
      <c r="D38" s="239" t="s">
        <v>296</v>
      </c>
      <c r="E38" s="239" t="s">
        <v>333</v>
      </c>
      <c r="F38" s="246"/>
      <c r="G38" s="239" t="s">
        <v>35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 s="33" customFormat="1" ht="11.25" x14ac:dyDescent="0.2">
      <c r="A39" s="35"/>
      <c r="B39" s="37">
        <v>19</v>
      </c>
      <c r="C39" s="35" t="s">
        <v>301</v>
      </c>
      <c r="D39" s="41">
        <f>SUM(D9:F9)</f>
        <v>4</v>
      </c>
      <c r="E39" s="41">
        <f>'BGS Cost &amp; Bid Factors'!M466</f>
        <v>0.53600000000000003</v>
      </c>
      <c r="F39" s="41"/>
      <c r="G39" s="35">
        <f>SUM(D39:E39)</f>
        <v>4.5359999999999996</v>
      </c>
      <c r="H39" s="35"/>
      <c r="I39" s="35" t="s">
        <v>334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1" s="33" customFormat="1" ht="11.25" x14ac:dyDescent="0.2">
      <c r="A40" s="35"/>
      <c r="B40" s="37">
        <v>20</v>
      </c>
      <c r="C40" s="35" t="s">
        <v>335</v>
      </c>
      <c r="D40" s="34">
        <f>D34</f>
        <v>8.7509999999999994</v>
      </c>
      <c r="E40" s="34">
        <f>'Rate Calculations'!$D$286*(100/1000)</f>
        <v>5.5140000000000002</v>
      </c>
      <c r="F40" s="34"/>
      <c r="G40" s="35"/>
      <c r="H40" s="35"/>
      <c r="I40" s="35" t="str">
        <f>"BGS Auction from (18)"</f>
        <v>BGS Auction from (18)</v>
      </c>
      <c r="J40" s="35"/>
      <c r="K40" s="35" t="str">
        <f>"Note "&amp;$E$40&amp;"¢ for RFP is illustrative"</f>
        <v>Note 5.514¢ for RFP is illustrative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 s="33" customFormat="1" ht="11.25" x14ac:dyDescent="0.2">
      <c r="A41" s="35"/>
      <c r="B41" s="37"/>
      <c r="C41" s="35"/>
      <c r="D41" s="34"/>
      <c r="E41" s="249"/>
      <c r="F41" s="34"/>
      <c r="G41" s="35"/>
      <c r="H41" s="35"/>
      <c r="I41" s="35" t="s">
        <v>336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 s="33" customFormat="1" ht="11.25" x14ac:dyDescent="0.2">
      <c r="A42" s="35"/>
      <c r="B42" s="37">
        <v>21</v>
      </c>
      <c r="C42" s="35" t="s">
        <v>337</v>
      </c>
      <c r="D42" s="34">
        <f>F11</f>
        <v>1.3171767158042882</v>
      </c>
      <c r="E42" s="34">
        <v>0</v>
      </c>
      <c r="F42" s="41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s="33" customFormat="1" ht="11.25" x14ac:dyDescent="0.2">
      <c r="A43" s="35"/>
      <c r="B43" s="37">
        <v>22</v>
      </c>
      <c r="C43" s="35" t="s">
        <v>331</v>
      </c>
      <c r="D43" s="34">
        <f>D40-D42</f>
        <v>7.4338232841957108</v>
      </c>
      <c r="E43" s="41">
        <f>E40-E42</f>
        <v>5.5140000000000002</v>
      </c>
      <c r="F43" s="41"/>
      <c r="G43" s="35"/>
      <c r="H43" s="35"/>
      <c r="I43" s="240" t="s">
        <v>338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s="33" customFormat="1" ht="11.25" x14ac:dyDescent="0.2">
      <c r="A44" s="35"/>
      <c r="B44" s="37">
        <v>23</v>
      </c>
      <c r="C44" s="240" t="s">
        <v>308</v>
      </c>
      <c r="D44" s="34">
        <f>D39/$G$39*D43</f>
        <v>6.5553997215129733</v>
      </c>
      <c r="E44" s="34">
        <f>E39/$G$39*E43</f>
        <v>0.65156613756613768</v>
      </c>
      <c r="F44" s="34"/>
      <c r="G44" s="241">
        <f>SUM(D44:E44)</f>
        <v>7.2069658590791112</v>
      </c>
      <c r="H44" s="35"/>
      <c r="I44" s="240" t="s">
        <v>339</v>
      </c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s="33" customFormat="1" ht="12" thickBot="1" x14ac:dyDescent="0.25">
      <c r="A45" s="35"/>
      <c r="B45" s="37">
        <v>24</v>
      </c>
      <c r="C45" s="240" t="s">
        <v>310</v>
      </c>
      <c r="D45" s="34">
        <f>D39/$G$39*D42</f>
        <v>1.1615314954182436</v>
      </c>
      <c r="E45" s="34">
        <f>E39/$G$39*E42</f>
        <v>0</v>
      </c>
      <c r="F45" s="34"/>
      <c r="G45" s="241">
        <f>SUM(D45:E45)</f>
        <v>1.1615314954182436</v>
      </c>
      <c r="H45" s="35"/>
      <c r="I45" s="240" t="s">
        <v>340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s="33" customFormat="1" ht="12" thickBot="1" x14ac:dyDescent="0.25">
      <c r="A46" s="35"/>
      <c r="B46" s="37">
        <v>25</v>
      </c>
      <c r="C46" s="247" t="s">
        <v>341</v>
      </c>
      <c r="D46" s="35"/>
      <c r="E46" s="35"/>
      <c r="F46" s="35"/>
      <c r="G46" s="42">
        <f>ROUND(G44+G45,3)</f>
        <v>8.3680000000000003</v>
      </c>
      <c r="H46" s="35"/>
      <c r="I46" s="240" t="s">
        <v>342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</row>
    <row r="48" spans="1:21" x14ac:dyDescent="0.2">
      <c r="A48" s="71"/>
      <c r="B48" s="71"/>
      <c r="C48" s="248" t="s">
        <v>343</v>
      </c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</row>
    <row r="49" spans="1:21" x14ac:dyDescent="0.2">
      <c r="A49" s="71"/>
      <c r="B49" s="71"/>
      <c r="C49" s="248" t="s">
        <v>344</v>
      </c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</row>
    <row r="50" spans="1:21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</row>
    <row r="51" spans="1:21" x14ac:dyDescent="0.2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1:21" x14ac:dyDescent="0.2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1:21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</row>
    <row r="54" spans="1:21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</row>
    <row r="55" spans="1:2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</row>
    <row r="56" spans="1:21" x14ac:dyDescent="0.2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</row>
    <row r="57" spans="1:21" x14ac:dyDescent="0.2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</row>
    <row r="58" spans="1:21" x14ac:dyDescent="0.2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</row>
    <row r="59" spans="1:21" x14ac:dyDescent="0.2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</row>
    <row r="60" spans="1:21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</row>
    <row r="61" spans="1:21" x14ac:dyDescent="0.2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</row>
    <row r="62" spans="1:21" x14ac:dyDescent="0.2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1:21" x14ac:dyDescent="0.2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</row>
    <row r="64" spans="1:21" x14ac:dyDescent="0.2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</row>
    <row r="65" spans="1:21" x14ac:dyDescent="0.2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</row>
    <row r="66" spans="1:21" x14ac:dyDescent="0.2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</row>
    <row r="67" spans="1:21" x14ac:dyDescent="0.2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1:21" x14ac:dyDescent="0.2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</row>
    <row r="69" spans="1:21" x14ac:dyDescent="0.2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</row>
    <row r="70" spans="1:21" x14ac:dyDescent="0.2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</row>
    <row r="71" spans="1:21" x14ac:dyDescent="0.2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1:21" x14ac:dyDescent="0.2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1:21" x14ac:dyDescent="0.2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</row>
    <row r="74" spans="1:21" x14ac:dyDescent="0.2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</row>
    <row r="75" spans="1:21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</row>
    <row r="76" spans="1:21" x14ac:dyDescent="0.2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</row>
    <row r="77" spans="1:21" x14ac:dyDescent="0.2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</row>
    <row r="78" spans="1:21" x14ac:dyDescent="0.2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</row>
    <row r="79" spans="1:21" x14ac:dyDescent="0.2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1:21" x14ac:dyDescent="0.2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</row>
    <row r="81" spans="1:21" x14ac:dyDescent="0.2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</row>
    <row r="82" spans="1:21" x14ac:dyDescent="0.2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</row>
    <row r="83" spans="1:21" x14ac:dyDescent="0.2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</row>
    <row r="84" spans="1:21" x14ac:dyDescent="0.2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</row>
    <row r="85" spans="1:21" x14ac:dyDescent="0.2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1:21" x14ac:dyDescent="0.2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</row>
    <row r="87" spans="1:21" x14ac:dyDescent="0.2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</row>
    <row r="88" spans="1:21" x14ac:dyDescent="0.2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</row>
    <row r="89" spans="1:21" x14ac:dyDescent="0.2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</row>
    <row r="90" spans="1:21" x14ac:dyDescent="0.2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</row>
    <row r="91" spans="1:21" x14ac:dyDescent="0.2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</row>
    <row r="92" spans="1:21" x14ac:dyDescent="0.2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</row>
    <row r="93" spans="1:21" x14ac:dyDescent="0.2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</row>
    <row r="94" spans="1:21" x14ac:dyDescent="0.2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</row>
    <row r="95" spans="1:21" x14ac:dyDescent="0.2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</row>
    <row r="96" spans="1:21" x14ac:dyDescent="0.2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</row>
    <row r="97" spans="1:21" x14ac:dyDescent="0.2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</row>
    <row r="98" spans="1:21" x14ac:dyDescent="0.2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</row>
    <row r="99" spans="1:21" x14ac:dyDescent="0.2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</row>
    <row r="100" spans="1:21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x14ac:dyDescent="0.2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</row>
    <row r="102" spans="1:21" x14ac:dyDescent="0.2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</row>
    <row r="103" spans="1:21" x14ac:dyDescent="0.2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</row>
    <row r="104" spans="1:21" x14ac:dyDescent="0.2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</row>
    <row r="105" spans="1:21" x14ac:dyDescent="0.2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</row>
    <row r="106" spans="1:21" x14ac:dyDescent="0.2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</row>
    <row r="107" spans="1:21" x14ac:dyDescent="0.2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</row>
    <row r="108" spans="1:21" x14ac:dyDescent="0.2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</row>
    <row r="109" spans="1:21" x14ac:dyDescent="0.2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</row>
    <row r="110" spans="1:21" x14ac:dyDescent="0.2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</row>
    <row r="111" spans="1:21" x14ac:dyDescent="0.2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</row>
    <row r="112" spans="1:21" x14ac:dyDescent="0.2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</row>
    <row r="113" spans="1:21" x14ac:dyDescent="0.2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</row>
    <row r="114" spans="1:21" x14ac:dyDescent="0.2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</row>
    <row r="115" spans="1:21" x14ac:dyDescent="0.2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</row>
    <row r="116" spans="1:21" x14ac:dyDescent="0.2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</row>
    <row r="117" spans="1:21" x14ac:dyDescent="0.2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</row>
    <row r="118" spans="1:21" x14ac:dyDescent="0.2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</row>
    <row r="119" spans="1:21" x14ac:dyDescent="0.2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</row>
    <row r="120" spans="1:21" x14ac:dyDescent="0.2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</row>
    <row r="121" spans="1:21" x14ac:dyDescent="0.2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</row>
    <row r="122" spans="1:21" x14ac:dyDescent="0.2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</row>
    <row r="123" spans="1:21" x14ac:dyDescent="0.2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</row>
    <row r="124" spans="1:21" x14ac:dyDescent="0.2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</row>
    <row r="125" spans="1:21" x14ac:dyDescent="0.2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</row>
    <row r="126" spans="1:21" x14ac:dyDescent="0.2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</row>
    <row r="127" spans="1:21" x14ac:dyDescent="0.2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</row>
    <row r="128" spans="1:21" x14ac:dyDescent="0.2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</row>
    <row r="129" spans="1:21" x14ac:dyDescent="0.2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</row>
    <row r="130" spans="1:21" x14ac:dyDescent="0.2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</row>
    <row r="131" spans="1:21" x14ac:dyDescent="0.2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</row>
    <row r="132" spans="1:21" x14ac:dyDescent="0.2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</row>
    <row r="133" spans="1:21" x14ac:dyDescent="0.2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</row>
    <row r="134" spans="1:21" x14ac:dyDescent="0.2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</row>
    <row r="135" spans="1:21" x14ac:dyDescent="0.2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</row>
    <row r="136" spans="1:21" x14ac:dyDescent="0.2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</row>
    <row r="137" spans="1:21" x14ac:dyDescent="0.2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</row>
    <row r="138" spans="1:21" x14ac:dyDescent="0.2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</row>
    <row r="139" spans="1:21" x14ac:dyDescent="0.2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</row>
    <row r="140" spans="1:21" x14ac:dyDescent="0.2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</row>
    <row r="141" spans="1:21" x14ac:dyDescent="0.2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</row>
    <row r="142" spans="1:21" x14ac:dyDescent="0.2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</row>
    <row r="143" spans="1:21" x14ac:dyDescent="0.2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</row>
    <row r="144" spans="1:21" x14ac:dyDescent="0.2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</row>
    <row r="145" spans="1:21" x14ac:dyDescent="0.2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</row>
    <row r="146" spans="1:21" x14ac:dyDescent="0.2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</row>
    <row r="147" spans="1:21" x14ac:dyDescent="0.2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</row>
    <row r="148" spans="1:21" x14ac:dyDescent="0.2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</row>
    <row r="149" spans="1:21" x14ac:dyDescent="0.2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</row>
    <row r="150" spans="1:21" x14ac:dyDescent="0.2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</row>
    <row r="151" spans="1:21" x14ac:dyDescent="0.2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</row>
    <row r="152" spans="1:21" x14ac:dyDescent="0.2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</row>
    <row r="153" spans="1:21" x14ac:dyDescent="0.2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</row>
    <row r="154" spans="1:21" x14ac:dyDescent="0.2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</row>
    <row r="155" spans="1:21" x14ac:dyDescent="0.2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</row>
    <row r="156" spans="1:21" x14ac:dyDescent="0.2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</row>
    <row r="157" spans="1:21" x14ac:dyDescent="0.2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</row>
    <row r="158" spans="1:21" x14ac:dyDescent="0.2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</row>
    <row r="159" spans="1:21" x14ac:dyDescent="0.2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</row>
    <row r="160" spans="1:21" x14ac:dyDescent="0.2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</row>
    <row r="161" spans="1:21" x14ac:dyDescent="0.2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</row>
    <row r="162" spans="1:21" x14ac:dyDescent="0.2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</row>
    <row r="163" spans="1:21" x14ac:dyDescent="0.2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</row>
    <row r="164" spans="1:21" x14ac:dyDescent="0.2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</row>
    <row r="165" spans="1:21" x14ac:dyDescent="0.2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</row>
    <row r="166" spans="1:21" x14ac:dyDescent="0.2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</row>
    <row r="167" spans="1:21" x14ac:dyDescent="0.2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</row>
    <row r="168" spans="1:21" x14ac:dyDescent="0.2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</row>
    <row r="169" spans="1:21" x14ac:dyDescent="0.2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</row>
    <row r="170" spans="1:21" x14ac:dyDescent="0.2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</row>
    <row r="171" spans="1:21" x14ac:dyDescent="0.2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</row>
    <row r="172" spans="1:21" x14ac:dyDescent="0.2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</row>
    <row r="173" spans="1:21" x14ac:dyDescent="0.2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</row>
    <row r="174" spans="1:21" x14ac:dyDescent="0.2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</row>
    <row r="175" spans="1:21" x14ac:dyDescent="0.2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</row>
    <row r="176" spans="1:21" x14ac:dyDescent="0.2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</row>
    <row r="177" spans="1:21" x14ac:dyDescent="0.2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</row>
    <row r="178" spans="1:21" x14ac:dyDescent="0.2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</row>
    <row r="179" spans="1:21" x14ac:dyDescent="0.2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</row>
    <row r="180" spans="1:21" x14ac:dyDescent="0.2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</row>
    <row r="181" spans="1:21" x14ac:dyDescent="0.2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</row>
    <row r="182" spans="1:21" x14ac:dyDescent="0.2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</row>
    <row r="183" spans="1:21" x14ac:dyDescent="0.2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</row>
    <row r="184" spans="1:21" x14ac:dyDescent="0.2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</row>
    <row r="185" spans="1:21" x14ac:dyDescent="0.2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</row>
    <row r="186" spans="1:21" x14ac:dyDescent="0.2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</row>
    <row r="187" spans="1:21" x14ac:dyDescent="0.2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</row>
    <row r="188" spans="1:21" x14ac:dyDescent="0.2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</row>
    <row r="189" spans="1:21" x14ac:dyDescent="0.2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</row>
    <row r="190" spans="1:21" x14ac:dyDescent="0.2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</row>
    <row r="191" spans="1:21" x14ac:dyDescent="0.2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</row>
    <row r="192" spans="1:21" x14ac:dyDescent="0.2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</row>
    <row r="193" spans="1:21" x14ac:dyDescent="0.2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</row>
    <row r="194" spans="1:21" x14ac:dyDescent="0.2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</row>
    <row r="195" spans="1:21" x14ac:dyDescent="0.2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</row>
    <row r="196" spans="1:21" x14ac:dyDescent="0.2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</row>
    <row r="197" spans="1:21" x14ac:dyDescent="0.2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</row>
    <row r="198" spans="1:21" x14ac:dyDescent="0.2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</row>
    <row r="199" spans="1:21" x14ac:dyDescent="0.2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</row>
    <row r="200" spans="1:21" x14ac:dyDescent="0.2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</row>
    <row r="201" spans="1:21" x14ac:dyDescent="0.2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</row>
    <row r="202" spans="1:21" x14ac:dyDescent="0.2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</row>
    <row r="203" spans="1:21" x14ac:dyDescent="0.2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</row>
    <row r="204" spans="1:21" x14ac:dyDescent="0.2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</row>
    <row r="205" spans="1:21" x14ac:dyDescent="0.2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</row>
    <row r="206" spans="1:21" x14ac:dyDescent="0.2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</row>
    <row r="207" spans="1:21" x14ac:dyDescent="0.2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</row>
    <row r="208" spans="1:21" x14ac:dyDescent="0.2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</row>
  </sheetData>
  <printOptions horizontalCentered="1"/>
  <pageMargins left="0.5" right="0.5" top="0.5" bottom="0.5" header="0.5" footer="0.5"/>
  <pageSetup scale="93" orientation="landscape" r:id="rId1"/>
  <headerFooter alignWithMargins="0">
    <oddHeader xml:space="preserve">&amp;R&amp;"Arial,Bold"Attachment C&amp;"Arial,Regular"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AJ286"/>
  <sheetViews>
    <sheetView zoomScale="80" zoomScaleNormal="80" workbookViewId="0">
      <pane ySplit="3" topLeftCell="A4" activePane="bottomLeft" state="frozen"/>
      <selection activeCell="M404" sqref="M404"/>
      <selection pane="bottomLeft" activeCell="A40" sqref="A40"/>
    </sheetView>
  </sheetViews>
  <sheetFormatPr defaultRowHeight="12.75" x14ac:dyDescent="0.2"/>
  <cols>
    <col min="1" max="1" width="9.5703125" style="1" customWidth="1"/>
    <col min="2" max="2" width="27.85546875" customWidth="1"/>
    <col min="3" max="3" width="14.140625" customWidth="1"/>
    <col min="4" max="4" width="14.85546875" customWidth="1"/>
    <col min="5" max="5" width="12.7109375" customWidth="1"/>
    <col min="6" max="7" width="13.42578125" customWidth="1"/>
    <col min="8" max="8" width="12.7109375" customWidth="1"/>
    <col min="9" max="9" width="11.85546875" customWidth="1"/>
    <col min="10" max="10" width="12.5703125" customWidth="1"/>
    <col min="11" max="11" width="10.7109375" customWidth="1"/>
    <col min="12" max="12" width="11.7109375" customWidth="1"/>
    <col min="13" max="14" width="9.42578125" customWidth="1"/>
    <col min="15" max="15" width="11.7109375" customWidth="1"/>
    <col min="16" max="17" width="9.42578125" customWidth="1"/>
    <col min="18" max="18" width="11.5703125" customWidth="1"/>
    <col min="19" max="19" width="8.7109375" customWidth="1"/>
    <col min="20" max="20" width="12.7109375" customWidth="1"/>
    <col min="21" max="21" width="10.140625" customWidth="1"/>
    <col min="22" max="26" width="8.7109375" customWidth="1"/>
    <col min="27" max="27" width="18.42578125" customWidth="1"/>
    <col min="28" max="28" width="19.28515625" customWidth="1"/>
    <col min="29" max="29" width="21" customWidth="1"/>
    <col min="30" max="37" width="9.42578125" customWidth="1"/>
  </cols>
  <sheetData>
    <row r="1" spans="1:22" x14ac:dyDescent="0.2">
      <c r="A1" s="237" t="s">
        <v>293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x14ac:dyDescent="0.2">
      <c r="A2" s="13" t="str">
        <f>'BGS Cost &amp; Bid Factors'!M1 &amp;" BGS Auction"</f>
        <v>2020 BGS Auction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x14ac:dyDescent="0.2">
      <c r="A3" s="13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</row>
    <row r="4" spans="1:22" x14ac:dyDescent="0.2">
      <c r="A4" s="13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</row>
    <row r="5" spans="1:22" x14ac:dyDescent="0.2">
      <c r="A5" s="115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</row>
    <row r="6" spans="1:22" x14ac:dyDescent="0.2">
      <c r="A6" s="214" t="s">
        <v>345</v>
      </c>
      <c r="B6" s="18" t="s">
        <v>180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</row>
    <row r="7" spans="1:22" x14ac:dyDescent="0.2">
      <c r="A7" s="156"/>
      <c r="B7" s="87" t="s">
        <v>346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</row>
    <row r="8" spans="1:22" x14ac:dyDescent="0.2">
      <c r="A8" s="6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</row>
    <row r="9" spans="1:22" x14ac:dyDescent="0.2">
      <c r="A9" s="6"/>
      <c r="B9" s="13" t="s">
        <v>161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</row>
    <row r="10" spans="1:22" x14ac:dyDescent="0.2">
      <c r="A10" s="6"/>
      <c r="B10" s="7" t="s">
        <v>347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</row>
    <row r="11" spans="1:22" x14ac:dyDescent="0.2">
      <c r="A11" s="6"/>
      <c r="B11" s="13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22" x14ac:dyDescent="0.2">
      <c r="A12" s="6"/>
      <c r="B12" s="71"/>
      <c r="C12" s="22" t="str">
        <f>'BGS Cost &amp; Bid Factors'!C$6</f>
        <v>SC1/SC5</v>
      </c>
      <c r="D12" s="22" t="str">
        <f>'BGS Cost &amp; Bid Factors'!D$6</f>
        <v>SC3</v>
      </c>
      <c r="E12" s="22" t="str">
        <f>'BGS Cost &amp; Bid Factors'!E$6</f>
        <v>SC2 ND</v>
      </c>
      <c r="F12" s="22" t="str">
        <f>'BGS Cost &amp; Bid Factors'!F$6</f>
        <v>SC4</v>
      </c>
      <c r="G12" s="22" t="str">
        <f>'BGS Cost &amp; Bid Factors'!G$6</f>
        <v>SC6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</row>
    <row r="13" spans="1:22" x14ac:dyDescent="0.2">
      <c r="A13" s="6"/>
      <c r="B13" s="71"/>
      <c r="C13" s="26"/>
      <c r="D13" s="26"/>
      <c r="E13" s="26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</row>
    <row r="14" spans="1:22" x14ac:dyDescent="0.2">
      <c r="A14" s="6"/>
      <c r="B14" s="98" t="s">
        <v>63</v>
      </c>
      <c r="C14" s="14">
        <f>'BGS Cost &amp; Bid Factors'!C327</f>
        <v>1.0109999999999999</v>
      </c>
      <c r="D14" s="196"/>
      <c r="E14" s="14">
        <f>'BGS Cost &amp; Bid Factors'!E327</f>
        <v>0.86799999999999999</v>
      </c>
      <c r="F14" s="14">
        <f>'BGS Cost &amp; Bid Factors'!F327</f>
        <v>0.625</v>
      </c>
      <c r="G14" s="14">
        <f>'BGS Cost &amp; Bid Factors'!G327</f>
        <v>0.624</v>
      </c>
      <c r="H14" s="103"/>
      <c r="I14" s="103"/>
      <c r="J14" s="103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</row>
    <row r="15" spans="1:22" x14ac:dyDescent="0.2">
      <c r="A15" s="6"/>
      <c r="B15" s="99" t="s">
        <v>78</v>
      </c>
      <c r="C15" s="196"/>
      <c r="D15" s="14">
        <f>'BGS Cost &amp; Bid Factors'!D328</f>
        <v>1.5980000000000001</v>
      </c>
      <c r="E15" s="196"/>
      <c r="F15" s="196"/>
      <c r="G15" s="196"/>
      <c r="H15" s="103"/>
      <c r="I15" s="103"/>
      <c r="J15" s="103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</row>
    <row r="16" spans="1:22" x14ac:dyDescent="0.2">
      <c r="A16" s="6"/>
      <c r="B16" s="99" t="s">
        <v>79</v>
      </c>
      <c r="C16" s="196"/>
      <c r="D16" s="14">
        <f>'BGS Cost &amp; Bid Factors'!D329</f>
        <v>0.61099999999999999</v>
      </c>
      <c r="E16" s="196"/>
      <c r="F16" s="196"/>
      <c r="G16" s="196"/>
      <c r="H16" s="103"/>
      <c r="I16" s="103"/>
      <c r="J16" s="103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</row>
    <row r="17" spans="1:22" x14ac:dyDescent="0.2">
      <c r="A17" s="6"/>
      <c r="B17" s="71"/>
      <c r="C17" s="196"/>
      <c r="D17" s="196"/>
      <c r="E17" s="196"/>
      <c r="F17" s="196"/>
      <c r="G17" s="196"/>
      <c r="H17" s="103"/>
      <c r="I17" s="103"/>
      <c r="J17" s="103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</row>
    <row r="18" spans="1:22" x14ac:dyDescent="0.2">
      <c r="A18" s="6"/>
      <c r="B18" s="15"/>
      <c r="C18" s="71"/>
      <c r="D18" s="196"/>
      <c r="E18" s="196"/>
      <c r="F18" s="196"/>
      <c r="G18" s="196"/>
      <c r="H18" s="103"/>
      <c r="I18" s="103"/>
      <c r="J18" s="103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</row>
    <row r="19" spans="1:22" x14ac:dyDescent="0.2">
      <c r="A19" s="6"/>
      <c r="B19" s="16" t="s">
        <v>164</v>
      </c>
      <c r="C19" s="43">
        <f>'BGS Cost &amp; Bid Factors'!C332</f>
        <v>-19.460190000000004</v>
      </c>
      <c r="D19" s="196"/>
      <c r="E19" s="196"/>
      <c r="F19" s="196"/>
      <c r="G19" s="196"/>
      <c r="H19" s="103"/>
      <c r="I19" s="103"/>
      <c r="J19" s="103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</row>
    <row r="20" spans="1:22" x14ac:dyDescent="0.2">
      <c r="A20" s="6"/>
      <c r="B20" s="16" t="s">
        <v>165</v>
      </c>
      <c r="C20" s="17">
        <f>'BGS Cost &amp; Bid Factors'!C333</f>
        <v>14.149810000000002</v>
      </c>
      <c r="D20" s="196"/>
      <c r="E20" s="196"/>
      <c r="F20" s="196"/>
      <c r="G20" s="196"/>
      <c r="H20" s="103"/>
      <c r="I20" s="103"/>
      <c r="J20" s="103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</row>
    <row r="21" spans="1:22" x14ac:dyDescent="0.2">
      <c r="A21" s="6"/>
      <c r="B21" s="196"/>
      <c r="C21" s="196"/>
      <c r="D21" s="196"/>
      <c r="E21" s="196"/>
      <c r="F21" s="196"/>
      <c r="G21" s="196"/>
      <c r="H21" s="103"/>
      <c r="I21" s="103"/>
      <c r="J21" s="103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</row>
    <row r="22" spans="1:22" x14ac:dyDescent="0.2">
      <c r="A22" s="6"/>
      <c r="B22" s="71"/>
      <c r="C22" s="196"/>
      <c r="D22" s="196"/>
      <c r="E22" s="196"/>
      <c r="F22" s="196"/>
      <c r="G22" s="196"/>
      <c r="H22" s="103"/>
      <c r="I22" s="103"/>
      <c r="J22" s="103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</row>
    <row r="23" spans="1:22" x14ac:dyDescent="0.2">
      <c r="A23" s="6"/>
      <c r="B23" s="98" t="s">
        <v>69</v>
      </c>
      <c r="C23" s="14">
        <f>'BGS Cost &amp; Bid Factors'!C336</f>
        <v>1.216</v>
      </c>
      <c r="D23" s="196"/>
      <c r="E23" s="14">
        <f>'BGS Cost &amp; Bid Factors'!E336</f>
        <v>0.93400000000000005</v>
      </c>
      <c r="F23" s="14">
        <f>'BGS Cost &amp; Bid Factors'!F336</f>
        <v>0.746</v>
      </c>
      <c r="G23" s="14">
        <f>'BGS Cost &amp; Bid Factors'!G336</f>
        <v>0.74099999999999999</v>
      </c>
      <c r="H23" s="103"/>
      <c r="I23" s="103"/>
      <c r="J23" s="103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</row>
    <row r="24" spans="1:22" x14ac:dyDescent="0.2">
      <c r="A24" s="6"/>
      <c r="B24" s="99" t="s">
        <v>78</v>
      </c>
      <c r="C24" s="196"/>
      <c r="D24" s="14">
        <f>'BGS Cost &amp; Bid Factors'!D337</f>
        <v>1.5169999999999999</v>
      </c>
      <c r="E24" s="196"/>
      <c r="F24" s="196"/>
      <c r="G24" s="196"/>
      <c r="H24" s="103"/>
      <c r="I24" s="103"/>
      <c r="J24" s="103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</row>
    <row r="25" spans="1:22" x14ac:dyDescent="0.2">
      <c r="A25" s="6"/>
      <c r="B25" s="99" t="s">
        <v>79</v>
      </c>
      <c r="C25" s="196"/>
      <c r="D25" s="14">
        <f>'BGS Cost &amp; Bid Factors'!D338</f>
        <v>0.752</v>
      </c>
      <c r="E25" s="196"/>
      <c r="F25" s="196"/>
      <c r="G25" s="196"/>
      <c r="H25" s="103"/>
      <c r="I25" s="103"/>
      <c r="J25" s="103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</row>
    <row r="26" spans="1:22" x14ac:dyDescent="0.2">
      <c r="A26" s="6"/>
      <c r="B26" s="71"/>
      <c r="C26" s="103"/>
      <c r="D26" s="103"/>
      <c r="E26" s="103"/>
      <c r="F26" s="103"/>
      <c r="G26" s="103"/>
      <c r="H26" s="103"/>
      <c r="I26" s="103"/>
      <c r="J26" s="103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</row>
    <row r="27" spans="1:22" x14ac:dyDescent="0.2">
      <c r="A27" s="6"/>
      <c r="B27" s="71" t="s">
        <v>166</v>
      </c>
      <c r="C27" s="198">
        <f>'BGS Cost &amp; Bid Factors'!C340</f>
        <v>1.127</v>
      </c>
      <c r="D27" s="198">
        <f>'BGS Cost &amp; Bid Factors'!D340</f>
        <v>1.016</v>
      </c>
      <c r="E27" s="198">
        <f>'BGS Cost &amp; Bid Factors'!E340</f>
        <v>0.91358512211625864</v>
      </c>
      <c r="F27" s="198">
        <f>'BGS Cost &amp; Bid Factors'!F340</f>
        <v>0.71199999999999997</v>
      </c>
      <c r="G27" s="198">
        <f>'BGS Cost &amp; Bid Factors'!G340</f>
        <v>0.70699999999999996</v>
      </c>
      <c r="H27" s="103"/>
      <c r="I27" s="103"/>
      <c r="J27" s="103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</row>
    <row r="28" spans="1:22" x14ac:dyDescent="0.2">
      <c r="A28" s="6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</row>
    <row r="29" spans="1:22" x14ac:dyDescent="0.2">
      <c r="A29" s="6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</row>
    <row r="30" spans="1:22" x14ac:dyDescent="0.2">
      <c r="A30" s="6"/>
      <c r="B30" s="13" t="s">
        <v>167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</row>
    <row r="31" spans="1:22" x14ac:dyDescent="0.2">
      <c r="A31" s="6"/>
      <c r="B31" s="7" t="s">
        <v>181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</row>
    <row r="32" spans="1:22" x14ac:dyDescent="0.2">
      <c r="A32" s="6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</row>
    <row r="33" spans="1:22" x14ac:dyDescent="0.2">
      <c r="A33" s="6"/>
      <c r="B33" s="71"/>
      <c r="C33" s="15" t="str">
        <f>'BGS Cost &amp; Bid Factors'!H6</f>
        <v>SC2 Dem</v>
      </c>
      <c r="D33" s="15" t="str">
        <f>+C33</f>
        <v>SC2 Dem</v>
      </c>
      <c r="E33" s="26"/>
      <c r="F33" s="26"/>
      <c r="G33" s="200" t="s">
        <v>131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</row>
    <row r="34" spans="1:22" x14ac:dyDescent="0.2">
      <c r="A34" s="6"/>
      <c r="B34" s="71"/>
      <c r="C34" s="22" t="s">
        <v>169</v>
      </c>
      <c r="D34" s="207" t="s">
        <v>170</v>
      </c>
      <c r="E34" s="26"/>
      <c r="F34" s="26"/>
      <c r="G34" s="147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</row>
    <row r="35" spans="1:22" x14ac:dyDescent="0.2">
      <c r="A35" s="6"/>
      <c r="B35" s="98" t="s">
        <v>63</v>
      </c>
      <c r="C35" s="14">
        <f>'BGS Cost &amp; Bid Factors'!C348</f>
        <v>0.93899999999999995</v>
      </c>
      <c r="D35" s="14">
        <f>'BGS Cost &amp; Bid Factors'!D348</f>
        <v>-17.004220233930447</v>
      </c>
      <c r="E35" s="71"/>
      <c r="F35" s="109"/>
      <c r="G35" s="175" t="s">
        <v>132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</row>
    <row r="36" spans="1:22" x14ac:dyDescent="0.2">
      <c r="A36" s="6"/>
      <c r="B36" s="99"/>
      <c r="C36" s="198"/>
      <c r="D36" s="208"/>
      <c r="E36" s="197"/>
      <c r="F36" s="203"/>
      <c r="G36" s="147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</row>
    <row r="37" spans="1:22" x14ac:dyDescent="0.2">
      <c r="A37" s="6"/>
      <c r="B37" s="99"/>
      <c r="C37" s="198"/>
      <c r="D37" s="208"/>
      <c r="E37" s="197"/>
      <c r="F37" s="203"/>
      <c r="G37" s="147"/>
      <c r="H37" s="22">
        <f>'BGS Cost &amp; Bid Factors'!G212</f>
        <v>0</v>
      </c>
      <c r="I37" s="22" t="str">
        <f>'BGS Cost &amp; Bid Factors'!H212</f>
        <v>&lt; 5 kW</v>
      </c>
      <c r="J37" s="22" t="str">
        <f>'BGS Cost &amp; Bid Factors'!I212</f>
        <v>&gt; 5 kW</v>
      </c>
      <c r="K37" s="22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</row>
    <row r="38" spans="1:22" x14ac:dyDescent="0.2">
      <c r="A38" s="6"/>
      <c r="B38" s="71"/>
      <c r="C38" s="198"/>
      <c r="D38" s="208"/>
      <c r="E38" s="196"/>
      <c r="F38" s="203"/>
      <c r="G38" s="147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</row>
    <row r="39" spans="1:22" x14ac:dyDescent="0.2">
      <c r="A39" s="6"/>
      <c r="B39" s="98" t="s">
        <v>69</v>
      </c>
      <c r="C39" s="14">
        <f>'BGS Cost &amp; Bid Factors'!C352</f>
        <v>1.0249999999999999</v>
      </c>
      <c r="D39" s="14">
        <f>'BGS Cost &amp; Bid Factors'!D352</f>
        <v>-16.823805250567432</v>
      </c>
      <c r="E39" s="197"/>
      <c r="F39" s="203"/>
      <c r="G39" s="204" t="s">
        <v>97</v>
      </c>
      <c r="H39" s="100">
        <f>'BGS Cost &amp; Bid Factors'!H352</f>
        <v>0</v>
      </c>
      <c r="I39" s="100">
        <f>'BGS Cost &amp; Bid Factors'!I352</f>
        <v>1.3560000000000001</v>
      </c>
      <c r="J39" s="100">
        <f>'BGS Cost &amp; Bid Factors'!J352</f>
        <v>4.6970000000000001</v>
      </c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</row>
    <row r="40" spans="1:22" x14ac:dyDescent="0.2">
      <c r="A40" s="6"/>
      <c r="B40" s="99"/>
      <c r="C40" s="198"/>
      <c r="D40" s="209"/>
      <c r="E40" s="197"/>
      <c r="F40" s="203"/>
      <c r="G40" s="204" t="s">
        <v>103</v>
      </c>
      <c r="H40" s="100">
        <f>'BGS Cost &amp; Bid Factors'!H353</f>
        <v>0</v>
      </c>
      <c r="I40" s="100">
        <f>'BGS Cost &amp; Bid Factors'!I353</f>
        <v>1.339</v>
      </c>
      <c r="J40" s="100">
        <f>'BGS Cost &amp; Bid Factors'!J353</f>
        <v>4.7329999999999997</v>
      </c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</row>
    <row r="41" spans="1:22" x14ac:dyDescent="0.2">
      <c r="A41" s="6"/>
      <c r="B41" s="99"/>
      <c r="C41" s="198"/>
      <c r="D41" s="209"/>
      <c r="E41" s="197"/>
      <c r="F41" s="203"/>
      <c r="G41" s="204"/>
      <c r="H41" s="81"/>
      <c r="I41" s="95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</row>
    <row r="42" spans="1:22" x14ac:dyDescent="0.2">
      <c r="A42" s="6"/>
      <c r="B42" s="71"/>
      <c r="C42" s="199"/>
      <c r="D42" s="209"/>
      <c r="E42" s="103"/>
      <c r="F42" s="71"/>
      <c r="G42" s="205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</row>
    <row r="43" spans="1:22" x14ac:dyDescent="0.2">
      <c r="A43" s="6"/>
      <c r="B43" s="71" t="s">
        <v>150</v>
      </c>
      <c r="C43" s="14">
        <f>'BGS Cost &amp; Bid Factors'!C356</f>
        <v>0.99399999999999999</v>
      </c>
      <c r="D43" s="209"/>
      <c r="E43" s="103"/>
      <c r="F43" s="71"/>
      <c r="G43" s="204"/>
      <c r="H43" s="81"/>
      <c r="I43" s="95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</row>
    <row r="44" spans="1:22" x14ac:dyDescent="0.2">
      <c r="A44" s="6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</row>
    <row r="45" spans="1:22" x14ac:dyDescent="0.2">
      <c r="A45" s="115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</row>
    <row r="46" spans="1:22" x14ac:dyDescent="0.2">
      <c r="A46" s="214" t="s">
        <v>348</v>
      </c>
      <c r="B46" s="18" t="s">
        <v>349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</row>
    <row r="47" spans="1:22" x14ac:dyDescent="0.2">
      <c r="A47" s="115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</row>
    <row r="48" spans="1:22" x14ac:dyDescent="0.2">
      <c r="A48" s="115"/>
      <c r="B48" s="115" t="s">
        <v>350</v>
      </c>
      <c r="C48" s="71"/>
      <c r="D48" s="250">
        <f>'Weighted Avg Price Calc'!G46*10</f>
        <v>83.68</v>
      </c>
      <c r="E48" s="87" t="s">
        <v>351</v>
      </c>
      <c r="F48" s="87" t="s">
        <v>259</v>
      </c>
      <c r="G48" s="71"/>
      <c r="H48" s="71"/>
      <c r="I48" s="71"/>
      <c r="J48" s="71"/>
      <c r="K48" s="35" t="s">
        <v>232</v>
      </c>
      <c r="L48" s="251">
        <f>'BGS Cost &amp; Bid Factors'!M464</f>
        <v>53.6</v>
      </c>
      <c r="M48" s="71"/>
      <c r="N48" s="71"/>
      <c r="O48" s="71"/>
      <c r="P48" s="71"/>
      <c r="Q48" s="71"/>
      <c r="R48" s="71"/>
      <c r="S48" s="71"/>
      <c r="T48" s="71"/>
      <c r="U48" s="71"/>
      <c r="V48" s="71"/>
    </row>
    <row r="49" spans="1:22" x14ac:dyDescent="0.2">
      <c r="A49" s="115"/>
      <c r="B49" s="115" t="s">
        <v>260</v>
      </c>
      <c r="C49" s="71"/>
      <c r="D49" s="232">
        <f>-L54</f>
        <v>-11.611767158042882</v>
      </c>
      <c r="E49" s="87" t="s">
        <v>352</v>
      </c>
      <c r="F49" s="71" t="s">
        <v>261</v>
      </c>
      <c r="G49" s="71"/>
      <c r="H49" s="71"/>
      <c r="I49" s="71"/>
      <c r="J49" s="71"/>
      <c r="K49" s="35" t="s">
        <v>234</v>
      </c>
      <c r="L49" s="251">
        <f>'BGS Cost &amp; Bid Factors'!M465</f>
        <v>100</v>
      </c>
      <c r="M49" s="71"/>
      <c r="N49" s="71"/>
      <c r="O49" s="71"/>
      <c r="P49" s="71"/>
      <c r="Q49" s="71"/>
      <c r="R49" s="71"/>
      <c r="S49" s="71"/>
      <c r="T49" s="71"/>
      <c r="U49" s="71"/>
      <c r="V49" s="71"/>
    </row>
    <row r="50" spans="1:22" x14ac:dyDescent="0.2">
      <c r="A50" s="115"/>
      <c r="B50" s="115" t="s">
        <v>262</v>
      </c>
      <c r="C50" s="71"/>
      <c r="D50" s="109">
        <f>D48+D49</f>
        <v>72.068232841957126</v>
      </c>
      <c r="E50" s="87" t="s">
        <v>116</v>
      </c>
      <c r="F50" s="71" t="str">
        <f>"** RECO average transmission rate of "&amp;TEXT(L52,"0.00")&amp;" minus"</f>
        <v>** RECO average transmission rate of 13.17 minus</v>
      </c>
      <c r="G50" s="71"/>
      <c r="H50" s="71"/>
      <c r="I50" s="71"/>
      <c r="J50" s="71"/>
      <c r="K50" s="35" t="s">
        <v>236</v>
      </c>
      <c r="L50" s="71">
        <f>ROUND(L48/L49,3)</f>
        <v>0.53600000000000003</v>
      </c>
      <c r="M50" s="71"/>
      <c r="N50" s="71"/>
      <c r="O50" s="71"/>
      <c r="P50" s="71"/>
      <c r="Q50" s="71"/>
      <c r="R50" s="71"/>
      <c r="S50" s="71"/>
      <c r="T50" s="71"/>
      <c r="U50" s="71"/>
      <c r="V50" s="71"/>
    </row>
    <row r="51" spans="1:22" x14ac:dyDescent="0.2">
      <c r="A51" s="115"/>
      <c r="B51" s="71"/>
      <c r="C51" s="71"/>
      <c r="D51" s="71"/>
      <c r="E51" s="71"/>
      <c r="F51" s="71" t="s">
        <v>263</v>
      </c>
      <c r="G51" s="71"/>
      <c r="H51" s="71"/>
      <c r="I51" s="71"/>
      <c r="J51" s="71"/>
      <c r="K51" s="71"/>
      <c r="L51" s="114"/>
      <c r="M51" s="71"/>
      <c r="N51" s="71"/>
      <c r="O51" s="71"/>
      <c r="P51" s="71"/>
      <c r="Q51" s="71"/>
      <c r="R51" s="71"/>
      <c r="S51" s="71"/>
      <c r="T51" s="71"/>
      <c r="U51" s="71"/>
      <c r="V51" s="71"/>
    </row>
    <row r="52" spans="1:22" x14ac:dyDescent="0.2">
      <c r="A52" s="115"/>
      <c r="B52" s="71"/>
      <c r="C52" s="71"/>
      <c r="D52" s="233"/>
      <c r="E52" s="71"/>
      <c r="F52" s="71" t="str">
        <f>"average rate "&amp;TEXT(L50,"0.000")&amp;"/"&amp;TEXT(4+L50,"0.000")&amp;" *$"&amp;TEXT(L52,"0.00")&amp;" per MWh)."</f>
        <v>average rate 0.536/4.536 *$13.17 per MWh).</v>
      </c>
      <c r="G52" s="71"/>
      <c r="H52" s="71"/>
      <c r="I52" s="258">
        <f>ROUND(L50/(4+L50)*L52,2)</f>
        <v>1.56</v>
      </c>
      <c r="J52" s="71"/>
      <c r="K52" s="35" t="s">
        <v>240</v>
      </c>
      <c r="L52" s="114">
        <f>'BGS Cost &amp; Bid Factors'!D223-'BGS Cost &amp; Bid Factors'!D318</f>
        <v>13.171767158042883</v>
      </c>
      <c r="M52" s="71" t="s">
        <v>241</v>
      </c>
      <c r="N52" s="71"/>
      <c r="O52" s="71"/>
      <c r="P52" s="71"/>
      <c r="Q52" s="71"/>
      <c r="R52" s="71"/>
      <c r="S52" s="71"/>
      <c r="T52" s="71"/>
      <c r="U52" s="71"/>
      <c r="V52" s="71"/>
    </row>
    <row r="53" spans="1:22" x14ac:dyDescent="0.2">
      <c r="A53" s="115"/>
      <c r="B53" s="25" t="s">
        <v>264</v>
      </c>
      <c r="C53" s="71"/>
      <c r="D53" s="71"/>
      <c r="E53" s="71"/>
      <c r="F53" s="71"/>
      <c r="G53" s="71"/>
      <c r="H53" s="71"/>
      <c r="I53" s="71"/>
      <c r="J53" s="71"/>
      <c r="K53" s="35" t="s">
        <v>243</v>
      </c>
      <c r="L53" s="114">
        <f>I52</f>
        <v>1.56</v>
      </c>
      <c r="M53" s="71" t="s">
        <v>241</v>
      </c>
      <c r="N53" s="71"/>
      <c r="O53" s="71"/>
      <c r="P53" s="71"/>
      <c r="Q53" s="71"/>
      <c r="R53" s="71"/>
      <c r="S53" s="71"/>
      <c r="T53" s="71"/>
      <c r="U53" s="71"/>
      <c r="V53" s="71"/>
    </row>
    <row r="54" spans="1:22" x14ac:dyDescent="0.2">
      <c r="A54" s="115"/>
      <c r="B54" s="71"/>
      <c r="C54" s="71"/>
      <c r="D54" s="71"/>
      <c r="E54" s="71"/>
      <c r="F54" s="71"/>
      <c r="G54" s="71"/>
      <c r="H54" s="71"/>
      <c r="I54" s="71"/>
      <c r="J54" s="71"/>
      <c r="K54" s="35" t="s">
        <v>245</v>
      </c>
      <c r="L54" s="251">
        <f>L52-L53</f>
        <v>11.611767158042882</v>
      </c>
      <c r="M54" s="71" t="s">
        <v>241</v>
      </c>
      <c r="N54" s="71"/>
      <c r="O54" s="71"/>
      <c r="P54" s="71"/>
      <c r="Q54" s="71"/>
      <c r="R54" s="71"/>
      <c r="S54" s="71"/>
      <c r="T54" s="71"/>
      <c r="U54" s="71"/>
      <c r="V54" s="71"/>
    </row>
    <row r="55" spans="1:22" x14ac:dyDescent="0.2">
      <c r="A55" s="115"/>
      <c r="B55" s="71"/>
      <c r="C55" s="22" t="str">
        <f>'BGS Cost &amp; Bid Factors'!C$6</f>
        <v>SC1/SC5</v>
      </c>
      <c r="D55" s="22" t="str">
        <f>'BGS Cost &amp; Bid Factors'!D$6</f>
        <v>SC3</v>
      </c>
      <c r="E55" s="22" t="str">
        <f>'BGS Cost &amp; Bid Factors'!E$6</f>
        <v>SC2 ND</v>
      </c>
      <c r="F55" s="22" t="str">
        <f>'BGS Cost &amp; Bid Factors'!F$6</f>
        <v>SC4</v>
      </c>
      <c r="G55" s="22" t="str">
        <f>'BGS Cost &amp; Bid Factors'!G$6</f>
        <v>SC6</v>
      </c>
      <c r="H55" s="22" t="str">
        <f>'BGS Cost &amp; Bid Factors'!H$6</f>
        <v>SC2 Dem</v>
      </c>
      <c r="I55" s="26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</row>
    <row r="56" spans="1:22" x14ac:dyDescent="0.2">
      <c r="A56" s="115"/>
      <c r="B56" s="27" t="s">
        <v>68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</row>
    <row r="57" spans="1:22" x14ac:dyDescent="0.2">
      <c r="A57" s="115"/>
      <c r="B57" s="78" t="s">
        <v>265</v>
      </c>
      <c r="C57" s="112">
        <f>ROUND(($D$50*C14)/10,3)</f>
        <v>7.2859999999999996</v>
      </c>
      <c r="D57" s="92"/>
      <c r="E57" s="92">
        <f>ROUND(E14*$D$50/10,3)</f>
        <v>6.2560000000000002</v>
      </c>
      <c r="F57" s="92">
        <f>ROUND(F14*$D$50/10,3)</f>
        <v>4.5039999999999996</v>
      </c>
      <c r="G57" s="92">
        <f>ROUND(G14*$D$50/10,3)</f>
        <v>4.4969999999999999</v>
      </c>
      <c r="H57" s="92">
        <f>ROUND((C35*$D$50+D35)/10,3)</f>
        <v>5.0670000000000002</v>
      </c>
      <c r="I57" s="92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</row>
    <row r="58" spans="1:22" x14ac:dyDescent="0.2">
      <c r="A58" s="115"/>
      <c r="B58" s="78" t="s">
        <v>266</v>
      </c>
      <c r="C58" s="92"/>
      <c r="D58" s="92">
        <f>ROUND(D15*$D$50/10,3)</f>
        <v>11.516999999999999</v>
      </c>
      <c r="E58" s="92"/>
      <c r="F58" s="92"/>
      <c r="G58" s="92"/>
      <c r="H58" s="92"/>
      <c r="I58" s="92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</row>
    <row r="59" spans="1:22" x14ac:dyDescent="0.2">
      <c r="A59" s="115"/>
      <c r="B59" s="78" t="s">
        <v>267</v>
      </c>
      <c r="C59" s="92"/>
      <c r="D59" s="92">
        <f>ROUND(D16*$D$50/10,3)</f>
        <v>4.4029999999999996</v>
      </c>
      <c r="E59" s="92"/>
      <c r="F59" s="92"/>
      <c r="G59" s="92"/>
      <c r="H59" s="92"/>
      <c r="I59" s="92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</row>
    <row r="60" spans="1:22" x14ac:dyDescent="0.2">
      <c r="A60" s="115"/>
      <c r="B60" s="76" t="s">
        <v>40</v>
      </c>
      <c r="C60" s="112">
        <f>ROUND(($D$50*C14+C19)/10,3)</f>
        <v>5.34</v>
      </c>
      <c r="D60" s="92"/>
      <c r="E60" s="92"/>
      <c r="F60" s="92"/>
      <c r="G60" s="92"/>
      <c r="H60" s="92"/>
      <c r="I60" s="92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</row>
    <row r="61" spans="1:22" x14ac:dyDescent="0.2">
      <c r="A61" s="115"/>
      <c r="B61" s="78" t="s">
        <v>41</v>
      </c>
      <c r="C61" s="92">
        <f>ROUND(($D$50*C14+C20)/10,3)</f>
        <v>8.7010000000000005</v>
      </c>
      <c r="D61" s="92"/>
      <c r="E61" s="92"/>
      <c r="F61" s="92"/>
      <c r="G61" s="92"/>
      <c r="H61" s="92"/>
      <c r="I61" s="92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</row>
    <row r="62" spans="1:22" x14ac:dyDescent="0.2">
      <c r="A62" s="115"/>
      <c r="B62" s="92"/>
      <c r="C62" s="92"/>
      <c r="D62" s="92"/>
      <c r="E62" s="92"/>
      <c r="F62" s="92"/>
      <c r="G62" s="92"/>
      <c r="H62" s="92"/>
      <c r="I62" s="92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</row>
    <row r="63" spans="1:22" x14ac:dyDescent="0.2">
      <c r="A63" s="115"/>
      <c r="B63" s="71"/>
      <c r="C63" s="92"/>
      <c r="D63" s="92"/>
      <c r="E63" s="92"/>
      <c r="F63" s="92"/>
      <c r="G63" s="92"/>
      <c r="H63" s="92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</row>
    <row r="64" spans="1:22" x14ac:dyDescent="0.2">
      <c r="A64" s="115"/>
      <c r="B64" s="76" t="s">
        <v>268</v>
      </c>
      <c r="C64" s="92"/>
      <c r="D64" s="92"/>
      <c r="E64" s="92"/>
      <c r="F64" s="92"/>
      <c r="G64" s="92"/>
      <c r="H64" s="92">
        <f>'BGS Cost &amp; Bid Factors'!H213</f>
        <v>1.3560000000000001</v>
      </c>
      <c r="I64" s="163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</row>
    <row r="65" spans="1:22" x14ac:dyDescent="0.2">
      <c r="A65" s="115"/>
      <c r="B65" s="76" t="s">
        <v>353</v>
      </c>
      <c r="C65" s="92"/>
      <c r="D65" s="92"/>
      <c r="E65" s="92"/>
      <c r="F65" s="92"/>
      <c r="G65" s="92"/>
      <c r="H65" s="92">
        <f>'BGS Cost &amp; Bid Factors'!I213</f>
        <v>4.6970000000000001</v>
      </c>
      <c r="I65" s="163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</row>
    <row r="66" spans="1:22" x14ac:dyDescent="0.2">
      <c r="A66" s="115"/>
      <c r="B66" s="71"/>
      <c r="C66" s="92"/>
      <c r="D66" s="92"/>
      <c r="E66" s="92"/>
      <c r="F66" s="92"/>
      <c r="G66" s="92"/>
      <c r="H66" s="92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</row>
    <row r="67" spans="1:22" x14ac:dyDescent="0.2">
      <c r="A67" s="115"/>
      <c r="B67" s="27" t="s">
        <v>61</v>
      </c>
      <c r="C67" s="92"/>
      <c r="D67" s="92"/>
      <c r="E67" s="92"/>
      <c r="F67" s="92"/>
      <c r="G67" s="92"/>
      <c r="H67" s="92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</row>
    <row r="68" spans="1:22" x14ac:dyDescent="0.2">
      <c r="A68" s="115"/>
      <c r="B68" s="78" t="s">
        <v>265</v>
      </c>
      <c r="C68" s="92">
        <f>ROUND(C23*$D$50/10,3)</f>
        <v>8.7629999999999999</v>
      </c>
      <c r="D68" s="92"/>
      <c r="E68" s="92">
        <f>ROUND(E23*$D$50/10,3)</f>
        <v>6.7309999999999999</v>
      </c>
      <c r="F68" s="92">
        <f>ROUND(F23*$D$50/10,3)</f>
        <v>5.3760000000000003</v>
      </c>
      <c r="G68" s="92">
        <f>ROUND(G23*$D$50/10,3)</f>
        <v>5.34</v>
      </c>
      <c r="H68" s="92">
        <f>ROUND((C39*$D$50+D39)/10,3)</f>
        <v>5.7050000000000001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</row>
    <row r="69" spans="1:22" x14ac:dyDescent="0.2">
      <c r="A69" s="115"/>
      <c r="B69" s="78" t="s">
        <v>266</v>
      </c>
      <c r="C69" s="92"/>
      <c r="D69" s="92">
        <f>ROUND(D24*$D$50/10,3)</f>
        <v>10.933</v>
      </c>
      <c r="E69" s="92"/>
      <c r="F69" s="92"/>
      <c r="G69" s="92"/>
      <c r="H69" s="92"/>
      <c r="I69" s="92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</row>
    <row r="70" spans="1:22" x14ac:dyDescent="0.2">
      <c r="A70" s="115"/>
      <c r="B70" s="78" t="s">
        <v>267</v>
      </c>
      <c r="C70" s="92"/>
      <c r="D70" s="92">
        <f>ROUND(D25*$D$50/10,3)</f>
        <v>5.42</v>
      </c>
      <c r="E70" s="92"/>
      <c r="F70" s="92"/>
      <c r="G70" s="92"/>
      <c r="H70" s="92"/>
      <c r="I70" s="92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</row>
    <row r="71" spans="1:22" x14ac:dyDescent="0.2">
      <c r="A71" s="115"/>
      <c r="B71" s="71"/>
      <c r="C71" s="92"/>
      <c r="D71" s="92"/>
      <c r="E71" s="92"/>
      <c r="F71" s="92"/>
      <c r="G71" s="92"/>
      <c r="H71" s="92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</row>
    <row r="72" spans="1:22" x14ac:dyDescent="0.2">
      <c r="A72" s="115"/>
      <c r="B72" s="76" t="s">
        <v>268</v>
      </c>
      <c r="C72" s="92"/>
      <c r="D72" s="92"/>
      <c r="E72" s="92"/>
      <c r="F72" s="92"/>
      <c r="G72" s="92"/>
      <c r="H72" s="92">
        <f>'BGS Cost &amp; Bid Factors'!H214</f>
        <v>1.339</v>
      </c>
      <c r="I72" s="163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</row>
    <row r="73" spans="1:22" x14ac:dyDescent="0.2">
      <c r="A73" s="115"/>
      <c r="B73" s="76" t="s">
        <v>269</v>
      </c>
      <c r="C73" s="92"/>
      <c r="D73" s="92"/>
      <c r="E73" s="92"/>
      <c r="F73" s="92"/>
      <c r="G73" s="92"/>
      <c r="H73" s="92">
        <f>'BGS Cost &amp; Bid Factors'!I214</f>
        <v>4.7329999999999997</v>
      </c>
      <c r="I73" s="163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</row>
    <row r="74" spans="1:22" x14ac:dyDescent="0.2">
      <c r="A74" s="115"/>
      <c r="B74" s="76"/>
      <c r="C74" s="92"/>
      <c r="D74" s="92"/>
      <c r="E74" s="92"/>
      <c r="F74" s="92"/>
      <c r="G74" s="92"/>
      <c r="H74" s="92"/>
      <c r="I74" s="163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</row>
    <row r="75" spans="1:22" x14ac:dyDescent="0.2">
      <c r="A75" s="115"/>
      <c r="B75" s="76"/>
      <c r="C75" s="71"/>
      <c r="D75" s="71"/>
      <c r="E75" s="71"/>
      <c r="F75" s="71"/>
      <c r="G75" s="71"/>
      <c r="H75" s="163"/>
      <c r="I75" s="163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</row>
    <row r="76" spans="1:22" x14ac:dyDescent="0.2">
      <c r="A76" s="214" t="s">
        <v>354</v>
      </c>
      <c r="B76" s="18" t="s">
        <v>355</v>
      </c>
      <c r="C76" s="71"/>
      <c r="D76" s="71"/>
      <c r="E76" s="71"/>
      <c r="F76" s="71"/>
      <c r="G76" s="71"/>
      <c r="H76" s="163"/>
      <c r="I76" s="163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</row>
    <row r="77" spans="1:22" ht="13.5" thickBot="1" x14ac:dyDescent="0.25">
      <c r="A77" s="115"/>
      <c r="B77" s="76"/>
      <c r="C77" s="71"/>
      <c r="D77" s="71"/>
      <c r="E77" s="71"/>
      <c r="F77" s="71"/>
      <c r="G77" s="71"/>
      <c r="H77" s="163"/>
      <c r="I77" s="163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</row>
    <row r="78" spans="1:22" x14ac:dyDescent="0.2">
      <c r="A78" s="115"/>
      <c r="B78" s="71"/>
      <c r="C78" s="22" t="str">
        <f>'BGS Cost &amp; Bid Factors'!C$6</f>
        <v>SC1/SC5</v>
      </c>
      <c r="D78" s="22" t="str">
        <f>'BGS Cost &amp; Bid Factors'!D$6</f>
        <v>SC3</v>
      </c>
      <c r="E78" s="22" t="str">
        <f>'BGS Cost &amp; Bid Factors'!E$6</f>
        <v>SC2 ND</v>
      </c>
      <c r="F78" s="22" t="str">
        <f>'BGS Cost &amp; Bid Factors'!F$6</f>
        <v>SC4</v>
      </c>
      <c r="G78" s="22" t="str">
        <f>'BGS Cost &amp; Bid Factors'!G$6</f>
        <v>SC6</v>
      </c>
      <c r="H78" s="22" t="str">
        <f>'BGS Cost &amp; Bid Factors'!H$6</f>
        <v>SC2 Dem</v>
      </c>
      <c r="I78" s="22"/>
      <c r="J78" s="163"/>
      <c r="K78" s="189" t="s">
        <v>153</v>
      </c>
      <c r="L78" s="190"/>
      <c r="M78" s="71"/>
      <c r="N78" s="71"/>
      <c r="O78" s="71"/>
      <c r="P78" s="71"/>
      <c r="Q78" s="71"/>
      <c r="R78" s="71"/>
      <c r="S78" s="71"/>
      <c r="T78" s="71"/>
      <c r="U78" s="71"/>
      <c r="V78" s="71"/>
    </row>
    <row r="79" spans="1:22" x14ac:dyDescent="0.2">
      <c r="A79" s="115"/>
      <c r="B79" s="87" t="s">
        <v>288</v>
      </c>
      <c r="C79" s="71"/>
      <c r="D79" s="71"/>
      <c r="E79" s="71"/>
      <c r="F79" s="71"/>
      <c r="G79" s="71"/>
      <c r="H79" s="71"/>
      <c r="I79" s="71"/>
      <c r="J79" s="163"/>
      <c r="K79" s="191"/>
      <c r="L79" s="192" t="s">
        <v>156</v>
      </c>
      <c r="M79" s="71"/>
      <c r="N79" s="71"/>
      <c r="O79" s="71"/>
      <c r="P79" s="71"/>
      <c r="Q79" s="71"/>
      <c r="R79" s="71"/>
      <c r="S79" s="71"/>
      <c r="T79" s="71"/>
      <c r="U79" s="71"/>
      <c r="V79" s="71"/>
    </row>
    <row r="80" spans="1:22" x14ac:dyDescent="0.2">
      <c r="A80" s="115"/>
      <c r="B80" s="157" t="s">
        <v>68</v>
      </c>
      <c r="C80" s="19">
        <f>ROUND((C57*'BGS Cost &amp; Bid Factors'!L$48)/100,0)</f>
        <v>20777</v>
      </c>
      <c r="D80" s="82">
        <f>ROUND((D58*'BGS Cost &amp; Bid Factors'!M$49+D59*'BGS Cost &amp; Bid Factors'!M$50)/100,0)</f>
        <v>6</v>
      </c>
      <c r="E80" s="19">
        <f>ROUND((E57*'BGS Cost &amp; Bid Factors'!N$48)/100,0)</f>
        <v>438</v>
      </c>
      <c r="F80" s="19">
        <f>ROUND((F57*'BGS Cost &amp; Bid Factors'!O$48)/100,0)</f>
        <v>61</v>
      </c>
      <c r="G80" s="19">
        <f>ROUND((G57*'BGS Cost &amp; Bid Factors'!P$48)/100,0)</f>
        <v>66</v>
      </c>
      <c r="H80" s="82">
        <f>ROUND(H57*'BGS Cost &amp; Bid Factors'!Q$48/100+(H64*($L$80/4*'BGS Cost &amp; Bid Factors'!H$144)+H65*($L$80/4*'BGS Cost &amp; Bid Factors'!H$144))/1000,0)</f>
        <v>8225</v>
      </c>
      <c r="I80" s="82"/>
      <c r="J80" s="163"/>
      <c r="K80" s="191" t="s">
        <v>68</v>
      </c>
      <c r="L80" s="193">
        <v>341438.25299470645</v>
      </c>
      <c r="M80" s="71"/>
      <c r="N80" s="71"/>
      <c r="O80" s="71"/>
      <c r="P80" s="71"/>
      <c r="Q80" s="71"/>
      <c r="R80" s="71"/>
      <c r="S80" s="71"/>
      <c r="T80" s="71"/>
      <c r="U80" s="71"/>
      <c r="V80" s="71"/>
    </row>
    <row r="81" spans="1:22" ht="13.5" thickBot="1" x14ac:dyDescent="0.25">
      <c r="A81" s="115"/>
      <c r="B81" s="157" t="s">
        <v>61</v>
      </c>
      <c r="C81" s="28">
        <f>ROUND(C68*'BGS Cost &amp; Bid Factors'!L$44/100,0)</f>
        <v>33006</v>
      </c>
      <c r="D81" s="236">
        <f>ROUND((D69*'BGS Cost &amp; Bid Factors'!M$45+D70*'BGS Cost &amp; Bid Factors'!M$46)/100,0)</f>
        <v>15</v>
      </c>
      <c r="E81" s="28">
        <f>ROUND(E68*'BGS Cost &amp; Bid Factors'!N$44/100,0)</f>
        <v>1047</v>
      </c>
      <c r="F81" s="28">
        <f>ROUND(F68*'BGS Cost &amp; Bid Factors'!O$44/100,0)</f>
        <v>183</v>
      </c>
      <c r="G81" s="28">
        <f>ROUND(G68*'BGS Cost &amp; Bid Factors'!P$44/100,0)</f>
        <v>196</v>
      </c>
      <c r="H81" s="236">
        <f>ROUND(H68*'BGS Cost &amp; Bid Factors'!Q$44/100+(H72*($L$81/8*'BGS Cost &amp; Bid Factors'!H$145)++H73*($L$81/8*'BGS Cost &amp; Bid Factors'!H$145))/1000,0)</f>
        <v>16167</v>
      </c>
      <c r="I81" s="236"/>
      <c r="J81" s="163"/>
      <c r="K81" s="194" t="s">
        <v>61</v>
      </c>
      <c r="L81" s="195">
        <v>606342.76965902583</v>
      </c>
      <c r="M81" s="71"/>
      <c r="N81" s="71"/>
      <c r="O81" s="71"/>
      <c r="P81" s="71"/>
      <c r="Q81" s="71"/>
      <c r="R81" s="71"/>
      <c r="S81" s="71"/>
      <c r="T81" s="71"/>
      <c r="U81" s="71"/>
      <c r="V81" s="71"/>
    </row>
    <row r="82" spans="1:22" x14ac:dyDescent="0.2">
      <c r="A82" s="115"/>
      <c r="B82" s="157" t="s">
        <v>35</v>
      </c>
      <c r="C82" s="96">
        <f t="shared" ref="C82:H82" si="0">+C81+C80</f>
        <v>53783</v>
      </c>
      <c r="D82" s="96">
        <f t="shared" si="0"/>
        <v>21</v>
      </c>
      <c r="E82" s="96">
        <f t="shared" si="0"/>
        <v>1485</v>
      </c>
      <c r="F82" s="96">
        <f t="shared" si="0"/>
        <v>244</v>
      </c>
      <c r="G82" s="96">
        <f t="shared" si="0"/>
        <v>262</v>
      </c>
      <c r="H82" s="96">
        <f t="shared" si="0"/>
        <v>24392</v>
      </c>
      <c r="I82" s="96"/>
      <c r="J82" s="163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</row>
    <row r="83" spans="1:22" x14ac:dyDescent="0.2">
      <c r="A83" s="115"/>
      <c r="B83" s="157"/>
      <c r="C83" s="96"/>
      <c r="D83" s="96"/>
      <c r="E83" s="96"/>
      <c r="F83" s="96"/>
      <c r="G83" s="96"/>
      <c r="H83" s="96"/>
      <c r="I83" s="163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</row>
    <row r="84" spans="1:22" x14ac:dyDescent="0.2">
      <c r="A84" s="115"/>
      <c r="B84" s="157" t="s">
        <v>35</v>
      </c>
      <c r="C84" s="96"/>
      <c r="D84" s="96"/>
      <c r="E84" s="96"/>
      <c r="F84" s="96"/>
      <c r="G84" s="96"/>
      <c r="H84" s="96"/>
      <c r="I84" s="163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</row>
    <row r="85" spans="1:22" x14ac:dyDescent="0.2">
      <c r="A85" s="115"/>
      <c r="B85" s="157" t="s">
        <v>68</v>
      </c>
      <c r="C85" s="96">
        <f>SUM(C80:H80)</f>
        <v>29573</v>
      </c>
      <c r="D85" s="96"/>
      <c r="E85" s="96"/>
      <c r="F85" s="71"/>
      <c r="G85" s="96"/>
      <c r="H85" s="96"/>
      <c r="I85" s="163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</row>
    <row r="86" spans="1:22" x14ac:dyDescent="0.2">
      <c r="A86" s="115"/>
      <c r="B86" s="157" t="s">
        <v>61</v>
      </c>
      <c r="C86" s="29">
        <f>SUM(C81:H81)</f>
        <v>50614</v>
      </c>
      <c r="D86" s="103"/>
      <c r="E86" s="71"/>
      <c r="F86" s="71"/>
      <c r="G86" s="71"/>
      <c r="H86" s="71"/>
      <c r="I86" s="163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</row>
    <row r="87" spans="1:22" x14ac:dyDescent="0.2">
      <c r="A87" s="115"/>
      <c r="B87" s="157" t="s">
        <v>35</v>
      </c>
      <c r="C87" s="96">
        <f>+C86+C85</f>
        <v>80187</v>
      </c>
      <c r="D87" s="103"/>
      <c r="E87" s="71"/>
      <c r="F87" s="71"/>
      <c r="G87" s="71"/>
      <c r="H87" s="71"/>
      <c r="I87" s="163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</row>
    <row r="88" spans="1:22" x14ac:dyDescent="0.2">
      <c r="A88" s="115"/>
      <c r="B88" s="157"/>
      <c r="C88" s="96"/>
      <c r="D88" s="71"/>
      <c r="E88" s="103"/>
      <c r="F88" s="71"/>
      <c r="G88" s="71"/>
      <c r="H88" s="71"/>
      <c r="I88" s="71"/>
      <c r="J88" s="163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</row>
    <row r="89" spans="1:22" x14ac:dyDescent="0.2">
      <c r="A89" s="115"/>
      <c r="B89" s="71"/>
      <c r="C89" s="103"/>
      <c r="D89" s="103"/>
      <c r="E89" s="103"/>
      <c r="F89" s="103"/>
      <c r="G89" s="103"/>
      <c r="H89" s="103"/>
      <c r="I89" s="103"/>
      <c r="J89" s="163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</row>
    <row r="90" spans="1:22" x14ac:dyDescent="0.2">
      <c r="A90" s="115"/>
      <c r="B90" s="27" t="s">
        <v>356</v>
      </c>
      <c r="C90" s="103"/>
      <c r="D90" s="103"/>
      <c r="E90" s="103"/>
      <c r="F90" s="103"/>
      <c r="G90" s="103"/>
      <c r="H90" s="103"/>
      <c r="I90" s="103"/>
      <c r="J90" s="163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</row>
    <row r="91" spans="1:22" x14ac:dyDescent="0.2">
      <c r="A91" s="115"/>
      <c r="B91" s="71"/>
      <c r="C91" s="103"/>
      <c r="D91" s="103"/>
      <c r="E91" s="103"/>
      <c r="F91" s="103"/>
      <c r="G91" s="103"/>
      <c r="H91" s="103"/>
      <c r="I91" s="103"/>
      <c r="J91" s="163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</row>
    <row r="92" spans="1:22" ht="15" x14ac:dyDescent="0.35">
      <c r="A92" s="115"/>
      <c r="B92" s="71" t="s">
        <v>357</v>
      </c>
      <c r="C92" s="44" t="s">
        <v>35</v>
      </c>
      <c r="D92" s="44" t="s">
        <v>337</v>
      </c>
      <c r="E92" s="44" t="s">
        <v>358</v>
      </c>
      <c r="F92" s="103"/>
      <c r="G92" s="103"/>
      <c r="H92" s="103"/>
      <c r="I92" s="103"/>
      <c r="J92" s="163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</row>
    <row r="93" spans="1:22" x14ac:dyDescent="0.2">
      <c r="A93" s="115"/>
      <c r="B93" s="157" t="s">
        <v>68</v>
      </c>
      <c r="C93" s="96">
        <f>'Weighted Avg Price Calc'!G$27/1000</f>
        <v>34558.044999999998</v>
      </c>
      <c r="D93" s="102">
        <f>ROUND('BGS Cost &amp; Bid Factors'!$C$147*SUM('BGS Cost &amp; Bid Factors'!$C$141:$H$141)/12*'BGS Cost &amp; Bid Factors'!H$144/1000*'BGS Cost &amp; Bid Factors'!D447,0)</f>
        <v>4594</v>
      </c>
      <c r="E93" s="96">
        <f>C93-D93</f>
        <v>29964.044999999998</v>
      </c>
      <c r="F93" s="103"/>
      <c r="G93" s="103"/>
      <c r="H93" s="103"/>
      <c r="I93" s="103"/>
      <c r="J93" s="163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</row>
    <row r="94" spans="1:22" ht="15" x14ac:dyDescent="0.35">
      <c r="A94" s="115"/>
      <c r="B94" s="157" t="s">
        <v>61</v>
      </c>
      <c r="C94" s="45">
        <f>'Weighted Avg Price Calc'!G$28/1000</f>
        <v>51290.699000000001</v>
      </c>
      <c r="D94" s="45">
        <f>ROUND('BGS Cost &amp; Bid Factors'!$C$147*SUM('BGS Cost &amp; Bid Factors'!$C$141:$H$141)/12*'BGS Cost &amp; Bid Factors'!H$145/1000*'BGS Cost &amp; Bid Factors'!F459,0)</f>
        <v>9188</v>
      </c>
      <c r="E94" s="45">
        <f>C94-D94</f>
        <v>42102.699000000001</v>
      </c>
      <c r="F94" s="103"/>
      <c r="G94" s="103"/>
      <c r="H94" s="103"/>
      <c r="I94" s="103"/>
      <c r="J94" s="163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</row>
    <row r="95" spans="1:22" x14ac:dyDescent="0.2">
      <c r="A95" s="115"/>
      <c r="B95" s="157" t="s">
        <v>35</v>
      </c>
      <c r="C95" s="96">
        <f>+C94+C93</f>
        <v>85848.744000000006</v>
      </c>
      <c r="D95" s="96">
        <f>D93+D94</f>
        <v>13782</v>
      </c>
      <c r="E95" s="96">
        <f>E93+E94</f>
        <v>72066.744000000006</v>
      </c>
      <c r="F95" s="103"/>
      <c r="G95" s="103"/>
      <c r="H95" s="103"/>
      <c r="I95" s="103"/>
      <c r="J95" s="163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</row>
    <row r="96" spans="1:22" x14ac:dyDescent="0.2">
      <c r="A96" s="115"/>
      <c r="B96" s="71"/>
      <c r="C96" s="103"/>
      <c r="D96" s="103"/>
      <c r="E96" s="103"/>
      <c r="F96" s="103"/>
      <c r="G96" s="103"/>
      <c r="H96" s="103"/>
      <c r="I96" s="103"/>
      <c r="J96" s="163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</row>
    <row r="97" spans="1:22" ht="15" x14ac:dyDescent="0.35">
      <c r="A97" s="115"/>
      <c r="B97" s="71" t="s">
        <v>359</v>
      </c>
      <c r="C97" s="44" t="s">
        <v>35</v>
      </c>
      <c r="D97" s="44" t="s">
        <v>337</v>
      </c>
      <c r="E97" s="44" t="s">
        <v>358</v>
      </c>
      <c r="F97" s="103"/>
      <c r="G97" s="103"/>
      <c r="H97" s="103"/>
      <c r="I97" s="103"/>
      <c r="J97" s="163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</row>
    <row r="98" spans="1:22" x14ac:dyDescent="0.2">
      <c r="A98" s="115"/>
      <c r="B98" s="157" t="s">
        <v>68</v>
      </c>
      <c r="C98" s="96">
        <f>ROUND($E$251*1000*'Weighted Avg Price Calc'!E40/100/1000,0)</f>
        <v>2946</v>
      </c>
      <c r="D98" s="96">
        <v>0</v>
      </c>
      <c r="E98" s="96">
        <f>C98-D98</f>
        <v>2946</v>
      </c>
      <c r="F98" s="103"/>
      <c r="G98" s="103"/>
      <c r="H98" s="103"/>
      <c r="I98" s="103"/>
      <c r="J98" s="163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</row>
    <row r="99" spans="1:22" ht="15" x14ac:dyDescent="0.35">
      <c r="A99" s="115"/>
      <c r="B99" s="157" t="s">
        <v>61</v>
      </c>
      <c r="C99" s="45">
        <f>ROUND($E$252*1000*'Weighted Avg Price Calc'!E40/100/1000,0)</f>
        <v>4331</v>
      </c>
      <c r="D99" s="45">
        <v>0</v>
      </c>
      <c r="E99" s="45">
        <f>C99-D99</f>
        <v>4331</v>
      </c>
      <c r="F99" s="103"/>
      <c r="G99" s="103"/>
      <c r="H99" s="103"/>
      <c r="I99" s="103"/>
      <c r="J99" s="163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</row>
    <row r="100" spans="1:22" x14ac:dyDescent="0.2">
      <c r="A100" s="115"/>
      <c r="B100" s="157" t="s">
        <v>35</v>
      </c>
      <c r="C100" s="96">
        <f>+C99+C98</f>
        <v>7277</v>
      </c>
      <c r="D100" s="96">
        <f>D98+D99</f>
        <v>0</v>
      </c>
      <c r="E100" s="96">
        <f>E98+E99</f>
        <v>7277</v>
      </c>
      <c r="F100" s="103"/>
      <c r="G100" s="103"/>
      <c r="H100" s="103"/>
      <c r="I100" s="103"/>
      <c r="J100" s="163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</row>
    <row r="101" spans="1:22" x14ac:dyDescent="0.2">
      <c r="A101" s="115"/>
      <c r="B101" s="71"/>
      <c r="C101" s="103"/>
      <c r="D101" s="103"/>
      <c r="E101" s="103"/>
      <c r="F101" s="103"/>
      <c r="G101" s="103"/>
      <c r="H101" s="103"/>
      <c r="I101" s="103"/>
      <c r="J101" s="163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</row>
    <row r="102" spans="1:22" ht="15" x14ac:dyDescent="0.35">
      <c r="A102" s="115"/>
      <c r="B102" s="71" t="s">
        <v>360</v>
      </c>
      <c r="C102" s="44" t="s">
        <v>35</v>
      </c>
      <c r="D102" s="44" t="s">
        <v>337</v>
      </c>
      <c r="E102" s="44" t="s">
        <v>358</v>
      </c>
      <c r="F102" s="103"/>
      <c r="G102" s="103"/>
      <c r="H102" s="103"/>
      <c r="I102" s="103"/>
      <c r="J102" s="163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</row>
    <row r="103" spans="1:22" x14ac:dyDescent="0.2">
      <c r="A103" s="115"/>
      <c r="B103" s="157" t="s">
        <v>68</v>
      </c>
      <c r="C103" s="96">
        <f>C93+C98</f>
        <v>37504.044999999998</v>
      </c>
      <c r="D103" s="96">
        <f>D93+D98</f>
        <v>4594</v>
      </c>
      <c r="E103" s="96">
        <f>C103-D103</f>
        <v>32910.044999999998</v>
      </c>
      <c r="F103" s="71"/>
      <c r="G103" s="71"/>
      <c r="H103" s="71"/>
      <c r="I103" s="71"/>
      <c r="J103" s="163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</row>
    <row r="104" spans="1:22" ht="15" x14ac:dyDescent="0.35">
      <c r="A104" s="115"/>
      <c r="B104" s="157" t="s">
        <v>61</v>
      </c>
      <c r="C104" s="45">
        <f>C94+C99</f>
        <v>55621.699000000001</v>
      </c>
      <c r="D104" s="45">
        <f>D94+D99</f>
        <v>9188</v>
      </c>
      <c r="E104" s="45">
        <f>C104-D104</f>
        <v>46433.699000000001</v>
      </c>
      <c r="F104" s="71"/>
      <c r="G104" s="71"/>
      <c r="H104" s="71"/>
      <c r="I104" s="71"/>
      <c r="J104" s="163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</row>
    <row r="105" spans="1:22" x14ac:dyDescent="0.2">
      <c r="A105" s="115"/>
      <c r="B105" s="157" t="s">
        <v>35</v>
      </c>
      <c r="C105" s="96">
        <f>+C104+C103</f>
        <v>93125.744000000006</v>
      </c>
      <c r="D105" s="96">
        <f>+D104+D103</f>
        <v>13782</v>
      </c>
      <c r="E105" s="96">
        <f>E103+E104</f>
        <v>79343.744000000006</v>
      </c>
      <c r="F105" s="71"/>
      <c r="G105" s="71"/>
      <c r="H105" s="71"/>
      <c r="I105" s="71"/>
      <c r="J105" s="163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</row>
    <row r="106" spans="1:22" x14ac:dyDescent="0.2">
      <c r="A106" s="115"/>
      <c r="B106" s="71"/>
      <c r="C106" s="103"/>
      <c r="D106" s="31"/>
      <c r="E106" s="103"/>
      <c r="F106" s="233"/>
      <c r="G106" s="76" t="s">
        <v>361</v>
      </c>
      <c r="H106" s="71"/>
      <c r="I106" s="71"/>
      <c r="J106" s="163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</row>
    <row r="107" spans="1:22" x14ac:dyDescent="0.2">
      <c r="A107" s="115"/>
      <c r="B107" s="71" t="s">
        <v>292</v>
      </c>
      <c r="C107" s="76" t="s">
        <v>331</v>
      </c>
      <c r="D107" s="76" t="s">
        <v>331</v>
      </c>
      <c r="E107" s="76"/>
      <c r="F107" s="71"/>
      <c r="G107" s="76" t="s">
        <v>362</v>
      </c>
      <c r="H107" s="71"/>
      <c r="I107" s="71"/>
      <c r="J107" s="163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</row>
    <row r="108" spans="1:22" x14ac:dyDescent="0.2">
      <c r="A108" s="115"/>
      <c r="B108" s="76"/>
      <c r="C108" s="219" t="s">
        <v>363</v>
      </c>
      <c r="D108" s="219" t="s">
        <v>364</v>
      </c>
      <c r="E108" s="219" t="s">
        <v>365</v>
      </c>
      <c r="F108" s="71"/>
      <c r="G108" s="219" t="s">
        <v>366</v>
      </c>
      <c r="H108" s="71"/>
      <c r="I108" s="163"/>
      <c r="J108" s="163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</row>
    <row r="109" spans="1:22" x14ac:dyDescent="0.2">
      <c r="A109" s="115"/>
      <c r="B109" s="157" t="s">
        <v>68</v>
      </c>
      <c r="C109" s="96">
        <f>C85</f>
        <v>29573</v>
      </c>
      <c r="D109" s="96">
        <f>E103</f>
        <v>32910.044999999998</v>
      </c>
      <c r="E109" s="96">
        <f>D109-C109</f>
        <v>3337.0449999999983</v>
      </c>
      <c r="F109" s="71"/>
      <c r="G109" s="13">
        <f>ROUND(1+E109/C85,5)</f>
        <v>1.1128400000000001</v>
      </c>
      <c r="H109" s="71"/>
      <c r="I109" s="163"/>
      <c r="J109" s="163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</row>
    <row r="110" spans="1:22" x14ac:dyDescent="0.2">
      <c r="A110" s="115"/>
      <c r="B110" s="157" t="s">
        <v>61</v>
      </c>
      <c r="C110" s="29">
        <f>C86</f>
        <v>50614</v>
      </c>
      <c r="D110" s="29">
        <f>E104</f>
        <v>46433.699000000001</v>
      </c>
      <c r="E110" s="29">
        <f>D110-C110</f>
        <v>-4180.3009999999995</v>
      </c>
      <c r="F110" s="71"/>
      <c r="G110" s="13">
        <f>ROUND(1+E110/C86,5)</f>
        <v>0.91740999999999995</v>
      </c>
      <c r="H110" s="71"/>
      <c r="I110" s="163"/>
      <c r="J110" s="163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</row>
    <row r="111" spans="1:22" x14ac:dyDescent="0.2">
      <c r="A111" s="115"/>
      <c r="B111" s="157" t="s">
        <v>35</v>
      </c>
      <c r="C111" s="96">
        <f>+C110+C109</f>
        <v>80187</v>
      </c>
      <c r="D111" s="96">
        <f>+D110+D109</f>
        <v>79343.744000000006</v>
      </c>
      <c r="E111" s="96">
        <f>+E110+E109</f>
        <v>-843.25600000000122</v>
      </c>
      <c r="F111" s="71"/>
      <c r="G111" s="71"/>
      <c r="H111" s="71"/>
      <c r="I111" s="163"/>
      <c r="J111" s="163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</row>
    <row r="112" spans="1:22" x14ac:dyDescent="0.2">
      <c r="A112" s="115"/>
      <c r="B112" s="76"/>
      <c r="C112" s="71"/>
      <c r="D112" s="71"/>
      <c r="E112" s="71"/>
      <c r="F112" s="71"/>
      <c r="G112" s="71"/>
      <c r="H112" s="71"/>
      <c r="I112" s="163"/>
      <c r="J112" s="163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</row>
    <row r="113" spans="1:36" x14ac:dyDescent="0.2">
      <c r="A113" s="214" t="s">
        <v>367</v>
      </c>
      <c r="B113" s="18" t="s">
        <v>368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</row>
    <row r="114" spans="1:36" x14ac:dyDescent="0.2">
      <c r="A114" s="214"/>
      <c r="B114" s="18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</row>
    <row r="115" spans="1:36" x14ac:dyDescent="0.2">
      <c r="A115" s="214"/>
      <c r="B115" s="18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</row>
    <row r="116" spans="1:36" x14ac:dyDescent="0.2">
      <c r="A116" s="115"/>
      <c r="B116" s="237" t="s">
        <v>369</v>
      </c>
      <c r="C116" s="71"/>
      <c r="D116" s="71"/>
      <c r="E116" s="71"/>
      <c r="F116" s="71"/>
      <c r="G116" s="71"/>
      <c r="H116" s="71"/>
      <c r="I116" s="71"/>
      <c r="J116" s="71"/>
      <c r="K116" s="237" t="s">
        <v>370</v>
      </c>
      <c r="L116" s="71"/>
      <c r="M116" s="71"/>
      <c r="N116" s="71"/>
      <c r="O116" s="71"/>
      <c r="P116" s="71"/>
      <c r="Q116" s="71"/>
      <c r="R116" s="71"/>
      <c r="S116" s="71"/>
      <c r="T116" s="237" t="s">
        <v>365</v>
      </c>
      <c r="U116" s="71"/>
      <c r="V116" s="71"/>
      <c r="W116" s="46"/>
      <c r="X116" s="46"/>
      <c r="Y116" s="46"/>
      <c r="Z116" s="46"/>
      <c r="AA116" s="46"/>
      <c r="AB116" s="46"/>
      <c r="AC116" s="47" t="s">
        <v>365</v>
      </c>
      <c r="AD116" s="46"/>
      <c r="AE116" s="46"/>
      <c r="AF116" s="46"/>
      <c r="AG116" s="46"/>
      <c r="AH116" s="46"/>
      <c r="AI116" s="46"/>
      <c r="AJ116" s="46"/>
    </row>
    <row r="117" spans="1:36" x14ac:dyDescent="0.2">
      <c r="A117" s="115"/>
      <c r="B117" s="13"/>
      <c r="C117" s="71"/>
      <c r="D117" s="71"/>
      <c r="E117" s="71"/>
      <c r="F117" s="71"/>
      <c r="G117" s="71"/>
      <c r="H117" s="71"/>
      <c r="I117" s="71"/>
      <c r="J117" s="71"/>
      <c r="K117" s="13"/>
      <c r="L117" s="71"/>
      <c r="M117" s="71"/>
      <c r="N117" s="71"/>
      <c r="O117" s="71"/>
      <c r="P117" s="71"/>
      <c r="Q117" s="71"/>
      <c r="R117" s="71"/>
      <c r="S117" s="71"/>
      <c r="T117" s="13"/>
      <c r="U117" s="71"/>
      <c r="V117" s="71"/>
      <c r="W117" s="46"/>
      <c r="X117" s="46"/>
      <c r="Y117" s="46"/>
      <c r="Z117" s="46"/>
      <c r="AA117" s="46"/>
      <c r="AB117" s="46"/>
      <c r="AC117" s="48"/>
      <c r="AD117" s="46"/>
      <c r="AE117" s="46"/>
      <c r="AF117" s="46"/>
      <c r="AG117" s="46"/>
      <c r="AH117" s="46"/>
      <c r="AI117" s="46"/>
      <c r="AJ117" s="46"/>
    </row>
    <row r="118" spans="1:36" x14ac:dyDescent="0.2">
      <c r="A118" s="115"/>
      <c r="B118" s="71"/>
      <c r="C118" s="22" t="str">
        <f>'BGS Cost &amp; Bid Factors'!C$6</f>
        <v>SC1/SC5</v>
      </c>
      <c r="D118" s="22" t="str">
        <f>'BGS Cost &amp; Bid Factors'!D$6</f>
        <v>SC3</v>
      </c>
      <c r="E118" s="22" t="str">
        <f>'BGS Cost &amp; Bid Factors'!E$6</f>
        <v>SC2 ND</v>
      </c>
      <c r="F118" s="22" t="str">
        <f>'BGS Cost &amp; Bid Factors'!F$6</f>
        <v>SC4</v>
      </c>
      <c r="G118" s="22" t="str">
        <f>'BGS Cost &amp; Bid Factors'!G$6</f>
        <v>SC6</v>
      </c>
      <c r="H118" s="22" t="str">
        <f>'BGS Cost &amp; Bid Factors'!H$6</f>
        <v>SC2 Dem</v>
      </c>
      <c r="I118" s="22"/>
      <c r="J118" s="26"/>
      <c r="K118" s="71"/>
      <c r="L118" s="22" t="s">
        <v>272</v>
      </c>
      <c r="M118" s="22" t="s">
        <v>8</v>
      </c>
      <c r="N118" s="22" t="s">
        <v>9</v>
      </c>
      <c r="O118" s="22" t="s">
        <v>10</v>
      </c>
      <c r="P118" s="22" t="s">
        <v>11</v>
      </c>
      <c r="Q118" s="22" t="s">
        <v>12</v>
      </c>
      <c r="R118" s="71"/>
      <c r="S118" s="71"/>
      <c r="T118" s="22" t="s">
        <v>272</v>
      </c>
      <c r="U118" s="22" t="s">
        <v>8</v>
      </c>
      <c r="V118" s="22" t="s">
        <v>9</v>
      </c>
      <c r="W118" s="49" t="s">
        <v>10</v>
      </c>
      <c r="X118" s="49" t="s">
        <v>11</v>
      </c>
      <c r="Y118" s="49" t="s">
        <v>12</v>
      </c>
      <c r="Z118" s="46"/>
      <c r="AA118" s="46"/>
      <c r="AB118" s="49" t="s">
        <v>272</v>
      </c>
      <c r="AC118" s="49"/>
      <c r="AD118" s="49" t="s">
        <v>8</v>
      </c>
      <c r="AE118" s="49" t="s">
        <v>9</v>
      </c>
      <c r="AF118" s="49" t="s">
        <v>10</v>
      </c>
      <c r="AG118" s="49" t="s">
        <v>11</v>
      </c>
      <c r="AH118" s="49" t="s">
        <v>12</v>
      </c>
      <c r="AI118" s="49"/>
      <c r="AJ118" s="49"/>
    </row>
    <row r="119" spans="1:36" x14ac:dyDescent="0.2">
      <c r="A119" s="115"/>
      <c r="B119" s="71"/>
      <c r="C119" s="26"/>
      <c r="D119" s="26"/>
      <c r="E119" s="26"/>
      <c r="F119" s="26"/>
      <c r="G119" s="26"/>
      <c r="H119" s="26"/>
      <c r="I119" s="26"/>
      <c r="J119" s="26"/>
      <c r="K119" s="71"/>
      <c r="L119" s="26"/>
      <c r="M119" s="26"/>
      <c r="N119" s="26"/>
      <c r="O119" s="26"/>
      <c r="P119" s="26"/>
      <c r="Q119" s="26"/>
      <c r="R119" s="71"/>
      <c r="S119" s="71"/>
      <c r="T119" s="26"/>
      <c r="U119" s="26"/>
      <c r="V119" s="26"/>
      <c r="W119" s="50"/>
      <c r="X119" s="50"/>
      <c r="Y119" s="50"/>
      <c r="Z119" s="46"/>
      <c r="AA119" s="46"/>
      <c r="AB119" s="50"/>
      <c r="AC119" s="50"/>
      <c r="AD119" s="50"/>
      <c r="AE119" s="50"/>
      <c r="AF119" s="50"/>
      <c r="AG119" s="50"/>
      <c r="AH119" s="50"/>
      <c r="AI119" s="50"/>
      <c r="AJ119" s="50"/>
    </row>
    <row r="120" spans="1:36" x14ac:dyDescent="0.2">
      <c r="A120" s="115"/>
      <c r="B120" s="27" t="s">
        <v>68</v>
      </c>
      <c r="C120" s="71"/>
      <c r="D120" s="71"/>
      <c r="E120" s="71"/>
      <c r="F120" s="71"/>
      <c r="G120" s="71"/>
      <c r="H120" s="71"/>
      <c r="I120" s="71"/>
      <c r="J120" s="71"/>
      <c r="K120" s="27" t="s">
        <v>68</v>
      </c>
      <c r="L120" s="71"/>
      <c r="M120" s="71"/>
      <c r="N120" s="71"/>
      <c r="O120" s="71"/>
      <c r="P120" s="71"/>
      <c r="Q120" s="71"/>
      <c r="R120" s="71"/>
      <c r="S120" s="27" t="s">
        <v>68</v>
      </c>
      <c r="T120" s="71"/>
      <c r="U120" s="71"/>
      <c r="V120" s="71"/>
      <c r="W120" s="46"/>
      <c r="X120" s="46"/>
      <c r="Y120" s="46"/>
      <c r="Z120" s="46"/>
      <c r="AA120" s="51" t="s">
        <v>68</v>
      </c>
      <c r="AB120" s="46"/>
      <c r="AC120" s="46"/>
      <c r="AD120" s="46"/>
      <c r="AE120" s="46"/>
      <c r="AF120" s="46"/>
      <c r="AG120" s="46"/>
      <c r="AH120" s="46"/>
      <c r="AI120" s="46"/>
      <c r="AJ120" s="46"/>
    </row>
    <row r="121" spans="1:36" x14ac:dyDescent="0.2">
      <c r="A121" s="115"/>
      <c r="B121" s="78" t="s">
        <v>265</v>
      </c>
      <c r="C121" s="252">
        <f>ROUND(C57*$G$109,3)</f>
        <v>8.1080000000000005</v>
      </c>
      <c r="D121" s="259"/>
      <c r="E121" s="252">
        <f>ROUND(E57*$G$109,3)</f>
        <v>6.9619999999999997</v>
      </c>
      <c r="F121" s="252">
        <f>ROUND(F57*$G$109,3)</f>
        <v>5.0119999999999996</v>
      </c>
      <c r="G121" s="252">
        <f>ROUND(G57*$G$109,3)</f>
        <v>5.0039999999999996</v>
      </c>
      <c r="H121" s="252">
        <f>ROUND(H57*$G$109,3)</f>
        <v>5.6390000000000002</v>
      </c>
      <c r="I121" s="252"/>
      <c r="J121" s="92"/>
      <c r="K121" s="87" t="s">
        <v>265</v>
      </c>
      <c r="L121" s="252">
        <v>9.5500000000000007</v>
      </c>
      <c r="M121" s="259"/>
      <c r="N121" s="252">
        <v>9.7089999999999996</v>
      </c>
      <c r="O121" s="252">
        <v>5.8860000000000001</v>
      </c>
      <c r="P121" s="252">
        <v>5.8860000000000001</v>
      </c>
      <c r="Q121" s="252">
        <v>7.4980000000000002</v>
      </c>
      <c r="R121" s="71"/>
      <c r="S121" s="87" t="s">
        <v>265</v>
      </c>
      <c r="T121" s="252">
        <f>C121-L121</f>
        <v>-1.4420000000000002</v>
      </c>
      <c r="U121" s="259"/>
      <c r="V121" s="252">
        <f>E121-N121</f>
        <v>-2.7469999999999999</v>
      </c>
      <c r="W121" s="53">
        <f>F121-O121</f>
        <v>-0.87400000000000055</v>
      </c>
      <c r="X121" s="53">
        <f>G121-P121</f>
        <v>-0.88200000000000056</v>
      </c>
      <c r="Y121" s="53">
        <f>H121-Q121</f>
        <v>-1.859</v>
      </c>
      <c r="Z121" s="46"/>
      <c r="AA121" s="52" t="s">
        <v>265</v>
      </c>
      <c r="AB121" s="55">
        <f>T121/L121</f>
        <v>-0.15099476439790577</v>
      </c>
      <c r="AC121" s="54"/>
      <c r="AD121" s="55">
        <f>V121/N121</f>
        <v>-0.2829333607992584</v>
      </c>
      <c r="AE121" s="55">
        <f>W121/O121</f>
        <v>-0.14848793747876327</v>
      </c>
      <c r="AF121" s="55">
        <f>X121/P121</f>
        <v>-0.14984709480122332</v>
      </c>
      <c r="AG121" s="55">
        <f>Y121/Q121</f>
        <v>-0.24793278207522004</v>
      </c>
      <c r="AH121" s="55"/>
      <c r="AI121" s="55"/>
      <c r="AJ121" s="55"/>
    </row>
    <row r="122" spans="1:36" x14ac:dyDescent="0.2">
      <c r="A122" s="115"/>
      <c r="B122" s="78" t="s">
        <v>266</v>
      </c>
      <c r="C122" s="259"/>
      <c r="D122" s="252">
        <f>ROUND(D58*$G$109,3)</f>
        <v>12.817</v>
      </c>
      <c r="E122" s="259"/>
      <c r="F122" s="259"/>
      <c r="G122" s="259"/>
      <c r="H122" s="259"/>
      <c r="I122" s="259"/>
      <c r="J122" s="92"/>
      <c r="K122" s="87" t="s">
        <v>266</v>
      </c>
      <c r="L122" s="259"/>
      <c r="M122" s="252">
        <v>14.58</v>
      </c>
      <c r="N122" s="259"/>
      <c r="O122" s="259"/>
      <c r="P122" s="259"/>
      <c r="Q122" s="259"/>
      <c r="R122" s="71"/>
      <c r="S122" s="87" t="s">
        <v>266</v>
      </c>
      <c r="T122" s="259"/>
      <c r="U122" s="252">
        <f>D122-M122</f>
        <v>-1.7629999999999999</v>
      </c>
      <c r="V122" s="259"/>
      <c r="W122" s="54"/>
      <c r="X122" s="54"/>
      <c r="Y122" s="54"/>
      <c r="Z122" s="46"/>
      <c r="AA122" s="52" t="s">
        <v>266</v>
      </c>
      <c r="AB122" s="54"/>
      <c r="AC122" s="55">
        <f>U122/M122</f>
        <v>-0.12091906721536351</v>
      </c>
      <c r="AD122" s="54"/>
      <c r="AE122" s="54"/>
      <c r="AF122" s="54"/>
      <c r="AG122" s="54"/>
      <c r="AH122" s="54"/>
      <c r="AI122" s="54"/>
      <c r="AJ122" s="54"/>
    </row>
    <row r="123" spans="1:36" x14ac:dyDescent="0.2">
      <c r="A123" s="115"/>
      <c r="B123" s="78" t="s">
        <v>267</v>
      </c>
      <c r="C123" s="259"/>
      <c r="D123" s="252">
        <f>ROUND(D59*$G$109,3)</f>
        <v>4.9000000000000004</v>
      </c>
      <c r="E123" s="259"/>
      <c r="F123" s="259"/>
      <c r="G123" s="259"/>
      <c r="H123" s="259"/>
      <c r="I123" s="259"/>
      <c r="J123" s="92"/>
      <c r="K123" s="87" t="s">
        <v>267</v>
      </c>
      <c r="L123" s="259"/>
      <c r="M123" s="252">
        <v>5.7709999999999999</v>
      </c>
      <c r="N123" s="259"/>
      <c r="O123" s="259"/>
      <c r="P123" s="259"/>
      <c r="Q123" s="259"/>
      <c r="R123" s="71"/>
      <c r="S123" s="87" t="s">
        <v>267</v>
      </c>
      <c r="T123" s="259"/>
      <c r="U123" s="252">
        <f>D123-M123</f>
        <v>-0.87099999999999955</v>
      </c>
      <c r="V123" s="259"/>
      <c r="W123" s="54"/>
      <c r="X123" s="54"/>
      <c r="Y123" s="54"/>
      <c r="Z123" s="46"/>
      <c r="AA123" s="52" t="s">
        <v>267</v>
      </c>
      <c r="AB123" s="54"/>
      <c r="AC123" s="55">
        <f>U123/M123</f>
        <v>-0.15092704903829485</v>
      </c>
      <c r="AD123" s="54"/>
      <c r="AE123" s="54"/>
      <c r="AF123" s="54"/>
      <c r="AG123" s="54"/>
      <c r="AH123" s="54"/>
      <c r="AI123" s="54"/>
      <c r="AJ123" s="54"/>
    </row>
    <row r="124" spans="1:36" x14ac:dyDescent="0.2">
      <c r="A124" s="115"/>
      <c r="B124" s="76" t="s">
        <v>40</v>
      </c>
      <c r="C124" s="252">
        <f>ROUND(C60*$G$109,3)</f>
        <v>5.9429999999999996</v>
      </c>
      <c r="D124" s="259"/>
      <c r="E124" s="259"/>
      <c r="F124" s="259"/>
      <c r="G124" s="259"/>
      <c r="H124" s="259"/>
      <c r="I124" s="259"/>
      <c r="J124" s="92"/>
      <c r="K124" s="115" t="s">
        <v>40</v>
      </c>
      <c r="L124" s="252">
        <v>8.4120000000000008</v>
      </c>
      <c r="M124" s="259"/>
      <c r="N124" s="259"/>
      <c r="O124" s="259"/>
      <c r="P124" s="259"/>
      <c r="Q124" s="259"/>
      <c r="R124" s="71"/>
      <c r="S124" s="115" t="s">
        <v>40</v>
      </c>
      <c r="T124" s="252">
        <f>C124-L124</f>
        <v>-2.4690000000000012</v>
      </c>
      <c r="U124" s="259"/>
      <c r="V124" s="259"/>
      <c r="W124" s="54"/>
      <c r="X124" s="54"/>
      <c r="Y124" s="54"/>
      <c r="Z124" s="46"/>
      <c r="AA124" s="56" t="s">
        <v>40</v>
      </c>
      <c r="AB124" s="55">
        <f>T124/L124</f>
        <v>-0.29350927246790309</v>
      </c>
      <c r="AC124" s="57"/>
      <c r="AD124" s="54"/>
      <c r="AE124" s="54"/>
      <c r="AF124" s="54"/>
      <c r="AG124" s="54"/>
      <c r="AH124" s="54"/>
      <c r="AI124" s="54"/>
      <c r="AJ124" s="54"/>
    </row>
    <row r="125" spans="1:36" x14ac:dyDescent="0.2">
      <c r="A125" s="115"/>
      <c r="B125" s="78" t="s">
        <v>41</v>
      </c>
      <c r="C125" s="252">
        <f>ROUND(C61*$G$109,3)</f>
        <v>9.6829999999999998</v>
      </c>
      <c r="D125" s="259"/>
      <c r="E125" s="259"/>
      <c r="F125" s="259"/>
      <c r="G125" s="259"/>
      <c r="H125" s="259"/>
      <c r="I125" s="259"/>
      <c r="J125" s="92"/>
      <c r="K125" s="87" t="s">
        <v>41</v>
      </c>
      <c r="L125" s="252">
        <v>9.8390000000000004</v>
      </c>
      <c r="M125" s="259"/>
      <c r="N125" s="259"/>
      <c r="O125" s="259"/>
      <c r="P125" s="259"/>
      <c r="Q125" s="259"/>
      <c r="R125" s="71"/>
      <c r="S125" s="87" t="s">
        <v>41</v>
      </c>
      <c r="T125" s="252">
        <f>C125-L125</f>
        <v>-0.15600000000000058</v>
      </c>
      <c r="U125" s="259"/>
      <c r="V125" s="259"/>
      <c r="W125" s="54"/>
      <c r="X125" s="54"/>
      <c r="Y125" s="54"/>
      <c r="Z125" s="46"/>
      <c r="AA125" s="58" t="s">
        <v>41</v>
      </c>
      <c r="AB125" s="55">
        <f>T125/L125</f>
        <v>-1.585526984449645E-2</v>
      </c>
      <c r="AC125" s="57"/>
      <c r="AD125" s="54"/>
      <c r="AE125" s="54"/>
      <c r="AF125" s="54"/>
      <c r="AG125" s="54"/>
      <c r="AH125" s="54"/>
      <c r="AI125" s="54"/>
      <c r="AJ125" s="54"/>
    </row>
    <row r="126" spans="1:36" x14ac:dyDescent="0.2">
      <c r="A126" s="115"/>
      <c r="B126" s="259"/>
      <c r="C126" s="259"/>
      <c r="D126" s="259"/>
      <c r="E126" s="259"/>
      <c r="F126" s="259"/>
      <c r="G126" s="259"/>
      <c r="H126" s="259"/>
      <c r="I126" s="259"/>
      <c r="J126" s="92"/>
      <c r="K126" s="87" t="s">
        <v>42</v>
      </c>
      <c r="L126" s="260" t="s">
        <v>371</v>
      </c>
      <c r="M126" s="259"/>
      <c r="N126" s="259"/>
      <c r="O126" s="259"/>
      <c r="P126" s="259"/>
      <c r="Q126" s="259"/>
      <c r="R126" s="71"/>
      <c r="S126" s="87" t="s">
        <v>42</v>
      </c>
      <c r="T126" s="260" t="s">
        <v>371</v>
      </c>
      <c r="U126" s="259"/>
      <c r="V126" s="259"/>
      <c r="W126" s="54"/>
      <c r="X126" s="54"/>
      <c r="Y126" s="54"/>
      <c r="Z126" s="46"/>
      <c r="AA126" s="58" t="s">
        <v>42</v>
      </c>
      <c r="AB126" s="59" t="s">
        <v>371</v>
      </c>
      <c r="AC126" s="57"/>
      <c r="AD126" s="54"/>
      <c r="AE126" s="54"/>
      <c r="AF126" s="54"/>
      <c r="AG126" s="54"/>
      <c r="AH126" s="54"/>
      <c r="AI126" s="54"/>
      <c r="AJ126" s="54"/>
    </row>
    <row r="127" spans="1:36" x14ac:dyDescent="0.2">
      <c r="A127" s="115"/>
      <c r="B127" s="71"/>
      <c r="C127" s="259"/>
      <c r="D127" s="259"/>
      <c r="E127" s="259"/>
      <c r="F127" s="259"/>
      <c r="G127" s="259"/>
      <c r="H127" s="259"/>
      <c r="I127" s="259"/>
      <c r="J127" s="71"/>
      <c r="K127" s="71"/>
      <c r="L127" s="259"/>
      <c r="M127" s="259"/>
      <c r="N127" s="259"/>
      <c r="O127" s="259"/>
      <c r="P127" s="259"/>
      <c r="Q127" s="259"/>
      <c r="R127" s="71"/>
      <c r="S127" s="71"/>
      <c r="T127" s="259"/>
      <c r="U127" s="259"/>
      <c r="V127" s="259"/>
      <c r="W127" s="54"/>
      <c r="X127" s="54"/>
      <c r="Y127" s="54"/>
      <c r="Z127" s="46"/>
      <c r="AA127" s="60"/>
      <c r="AB127" s="54"/>
      <c r="AC127" s="54"/>
      <c r="AD127" s="54"/>
      <c r="AE127" s="54"/>
      <c r="AF127" s="54"/>
      <c r="AG127" s="54"/>
      <c r="AH127" s="54"/>
      <c r="AI127" s="54"/>
      <c r="AJ127" s="54"/>
    </row>
    <row r="128" spans="1:36" x14ac:dyDescent="0.2">
      <c r="A128" s="115"/>
      <c r="B128" s="76" t="s">
        <v>268</v>
      </c>
      <c r="C128" s="259"/>
      <c r="D128" s="259"/>
      <c r="E128" s="259"/>
      <c r="F128" s="259"/>
      <c r="G128" s="259"/>
      <c r="H128" s="252">
        <f>ROUND(H64*$G$109,3)</f>
        <v>1.5089999999999999</v>
      </c>
      <c r="I128" s="252"/>
      <c r="J128" s="163"/>
      <c r="K128" s="115" t="s">
        <v>280</v>
      </c>
      <c r="L128" s="259"/>
      <c r="M128" s="259"/>
      <c r="N128" s="259"/>
      <c r="O128" s="259"/>
      <c r="P128" s="259"/>
      <c r="Q128" s="252">
        <v>5.4420000000000002</v>
      </c>
      <c r="R128" s="71"/>
      <c r="S128" s="115" t="s">
        <v>280</v>
      </c>
      <c r="T128" s="259"/>
      <c r="U128" s="259"/>
      <c r="V128" s="259"/>
      <c r="W128" s="54"/>
      <c r="X128" s="54"/>
      <c r="Y128" s="53">
        <f>H128-Q128</f>
        <v>-3.9330000000000003</v>
      </c>
      <c r="Z128" s="46"/>
      <c r="AA128" s="60" t="s">
        <v>280</v>
      </c>
      <c r="AB128" s="54"/>
      <c r="AC128" s="54"/>
      <c r="AD128" s="54"/>
      <c r="AE128" s="54"/>
      <c r="AF128" s="54"/>
      <c r="AG128" s="55">
        <f>Y128/Q128</f>
        <v>-0.72271223814773988</v>
      </c>
      <c r="AH128" s="55"/>
      <c r="AI128" s="55"/>
      <c r="AJ128" s="55"/>
    </row>
    <row r="129" spans="1:36" x14ac:dyDescent="0.2">
      <c r="A129" s="115"/>
      <c r="B129" s="76" t="s">
        <v>269</v>
      </c>
      <c r="C129" s="259"/>
      <c r="D129" s="259"/>
      <c r="E129" s="259"/>
      <c r="F129" s="259"/>
      <c r="G129" s="259"/>
      <c r="H129" s="252">
        <f>ROUND(H65*$G$109,3)</f>
        <v>5.2270000000000003</v>
      </c>
      <c r="I129" s="252"/>
      <c r="J129" s="163"/>
      <c r="K129" s="71"/>
      <c r="L129" s="259"/>
      <c r="M129" s="259"/>
      <c r="N129" s="259"/>
      <c r="O129" s="259"/>
      <c r="P129" s="259"/>
      <c r="Q129" s="259"/>
      <c r="R129" s="71"/>
      <c r="S129" s="71"/>
      <c r="T129" s="259"/>
      <c r="U129" s="259"/>
      <c r="V129" s="259"/>
      <c r="W129" s="54"/>
      <c r="X129" s="54"/>
      <c r="Y129" s="54"/>
      <c r="Z129" s="46"/>
      <c r="AA129" s="60"/>
      <c r="AB129" s="54"/>
      <c r="AC129" s="54"/>
      <c r="AD129" s="54"/>
      <c r="AE129" s="54"/>
      <c r="AF129" s="54"/>
      <c r="AG129" s="54"/>
      <c r="AH129" s="54"/>
      <c r="AI129" s="54"/>
      <c r="AJ129" s="54"/>
    </row>
    <row r="130" spans="1:36" x14ac:dyDescent="0.2">
      <c r="A130" s="115"/>
      <c r="B130" s="71"/>
      <c r="C130" s="259"/>
      <c r="D130" s="259"/>
      <c r="E130" s="259"/>
      <c r="F130" s="259"/>
      <c r="G130" s="259"/>
      <c r="H130" s="259"/>
      <c r="I130" s="259"/>
      <c r="J130" s="71"/>
      <c r="K130" s="27" t="s">
        <v>61</v>
      </c>
      <c r="L130" s="259"/>
      <c r="M130" s="259"/>
      <c r="N130" s="259"/>
      <c r="O130" s="259"/>
      <c r="P130" s="259"/>
      <c r="Q130" s="259"/>
      <c r="R130" s="71"/>
      <c r="S130" s="27" t="s">
        <v>61</v>
      </c>
      <c r="T130" s="259"/>
      <c r="U130" s="259"/>
      <c r="V130" s="259"/>
      <c r="W130" s="54"/>
      <c r="X130" s="54"/>
      <c r="Y130" s="54"/>
      <c r="Z130" s="46"/>
      <c r="AA130" s="61" t="s">
        <v>61</v>
      </c>
      <c r="AB130" s="54"/>
      <c r="AC130" s="54"/>
      <c r="AD130" s="54"/>
      <c r="AE130" s="54"/>
      <c r="AF130" s="54"/>
      <c r="AG130" s="54"/>
      <c r="AH130" s="54"/>
      <c r="AI130" s="54"/>
      <c r="AJ130" s="54"/>
    </row>
    <row r="131" spans="1:36" x14ac:dyDescent="0.2">
      <c r="A131" s="115"/>
      <c r="B131" s="27" t="s">
        <v>61</v>
      </c>
      <c r="C131" s="259"/>
      <c r="D131" s="259"/>
      <c r="E131" s="259"/>
      <c r="F131" s="259"/>
      <c r="G131" s="259"/>
      <c r="H131" s="259"/>
      <c r="I131" s="259"/>
      <c r="J131" s="71"/>
      <c r="K131" s="87" t="s">
        <v>265</v>
      </c>
      <c r="L131" s="252">
        <v>9.7379999999999995</v>
      </c>
      <c r="M131" s="259"/>
      <c r="N131" s="252">
        <v>8.1769999999999996</v>
      </c>
      <c r="O131" s="252">
        <v>5.8460000000000001</v>
      </c>
      <c r="P131" s="252">
        <v>5.8209999999999997</v>
      </c>
      <c r="Q131" s="252">
        <v>6.7539999999999996</v>
      </c>
      <c r="R131" s="71"/>
      <c r="S131" s="87" t="s">
        <v>265</v>
      </c>
      <c r="T131" s="252">
        <f>C132-L131</f>
        <v>-1.6989999999999998</v>
      </c>
      <c r="U131" s="259"/>
      <c r="V131" s="252">
        <f>E132-N131</f>
        <v>-2.0019999999999998</v>
      </c>
      <c r="W131" s="53">
        <f>F132-O131</f>
        <v>-0.9139999999999997</v>
      </c>
      <c r="X131" s="53">
        <f>G132-P131</f>
        <v>-0.92199999999999971</v>
      </c>
      <c r="Y131" s="53">
        <f>H132-Q131</f>
        <v>-1.5199999999999996</v>
      </c>
      <c r="Z131" s="46"/>
      <c r="AA131" s="52" t="s">
        <v>265</v>
      </c>
      <c r="AB131" s="55">
        <f>T131/L131</f>
        <v>-0.17447114397206817</v>
      </c>
      <c r="AC131" s="54"/>
      <c r="AD131" s="55">
        <f>V131/N131</f>
        <v>-0.24483306836248012</v>
      </c>
      <c r="AE131" s="55">
        <f>W131/O131</f>
        <v>-0.15634621963735881</v>
      </c>
      <c r="AF131" s="55">
        <f>X131/P131</f>
        <v>-0.15839202886102041</v>
      </c>
      <c r="AG131" s="55">
        <f>Y131/Q131</f>
        <v>-0.2250518211430263</v>
      </c>
      <c r="AH131" s="55"/>
      <c r="AI131" s="55"/>
      <c r="AJ131" s="55"/>
    </row>
    <row r="132" spans="1:36" x14ac:dyDescent="0.2">
      <c r="A132" s="115"/>
      <c r="B132" s="78" t="s">
        <v>265</v>
      </c>
      <c r="C132" s="252">
        <f>ROUND(C68*$G$110,3)</f>
        <v>8.0389999999999997</v>
      </c>
      <c r="D132" s="259"/>
      <c r="E132" s="252">
        <f>ROUND(E68*$G$110,3)</f>
        <v>6.1749999999999998</v>
      </c>
      <c r="F132" s="252">
        <f>ROUND(F68*$G$110,3)</f>
        <v>4.9320000000000004</v>
      </c>
      <c r="G132" s="252">
        <f>ROUND(G68*$G$110,3)</f>
        <v>4.899</v>
      </c>
      <c r="H132" s="252">
        <f>ROUND(H68*$G$110,3)</f>
        <v>5.234</v>
      </c>
      <c r="I132" s="252"/>
      <c r="J132" s="71"/>
      <c r="K132" s="87" t="s">
        <v>266</v>
      </c>
      <c r="L132" s="259"/>
      <c r="M132" s="252">
        <v>12.37</v>
      </c>
      <c r="N132" s="259"/>
      <c r="O132" s="259"/>
      <c r="P132" s="259"/>
      <c r="Q132" s="259"/>
      <c r="R132" s="71"/>
      <c r="S132" s="87" t="s">
        <v>266</v>
      </c>
      <c r="T132" s="259"/>
      <c r="U132" s="252">
        <f>D133-M132</f>
        <v>-2.34</v>
      </c>
      <c r="V132" s="259"/>
      <c r="W132" s="54"/>
      <c r="X132" s="54"/>
      <c r="Y132" s="54"/>
      <c r="Z132" s="46"/>
      <c r="AA132" s="52" t="s">
        <v>266</v>
      </c>
      <c r="AB132" s="54"/>
      <c r="AC132" s="55">
        <f>U132/M132</f>
        <v>-0.18916734033953111</v>
      </c>
      <c r="AD132" s="54"/>
      <c r="AE132" s="54"/>
      <c r="AF132" s="54"/>
      <c r="AG132" s="54"/>
      <c r="AH132" s="54"/>
      <c r="AI132" s="54"/>
      <c r="AJ132" s="54"/>
    </row>
    <row r="133" spans="1:36" x14ac:dyDescent="0.2">
      <c r="A133" s="115"/>
      <c r="B133" s="78" t="s">
        <v>266</v>
      </c>
      <c r="C133" s="259"/>
      <c r="D133" s="252">
        <f>ROUND(D69*$G$110,3)</f>
        <v>10.029999999999999</v>
      </c>
      <c r="E133" s="259"/>
      <c r="F133" s="259"/>
      <c r="G133" s="259"/>
      <c r="H133" s="259"/>
      <c r="I133" s="259"/>
      <c r="J133" s="92"/>
      <c r="K133" s="87" t="s">
        <v>267</v>
      </c>
      <c r="L133" s="259"/>
      <c r="M133" s="252">
        <v>5.6959999999999997</v>
      </c>
      <c r="N133" s="259"/>
      <c r="O133" s="259"/>
      <c r="P133" s="259"/>
      <c r="Q133" s="259"/>
      <c r="R133" s="71"/>
      <c r="S133" s="87" t="s">
        <v>267</v>
      </c>
      <c r="T133" s="259"/>
      <c r="U133" s="252">
        <f>D134-M133</f>
        <v>-0.72399999999999931</v>
      </c>
      <c r="V133" s="259"/>
      <c r="W133" s="54"/>
      <c r="X133" s="54"/>
      <c r="Y133" s="54"/>
      <c r="Z133" s="46"/>
      <c r="AA133" s="52" t="s">
        <v>267</v>
      </c>
      <c r="AB133" s="54"/>
      <c r="AC133" s="55">
        <f>U133/M133</f>
        <v>-0.12710674157303359</v>
      </c>
      <c r="AD133" s="54"/>
      <c r="AE133" s="54"/>
      <c r="AF133" s="54"/>
      <c r="AG133" s="54"/>
      <c r="AH133" s="54"/>
      <c r="AI133" s="54"/>
      <c r="AJ133" s="54"/>
    </row>
    <row r="134" spans="1:36" x14ac:dyDescent="0.2">
      <c r="A134" s="115"/>
      <c r="B134" s="78" t="s">
        <v>267</v>
      </c>
      <c r="C134" s="259"/>
      <c r="D134" s="252">
        <f>ROUND(D70*$G$110,3)</f>
        <v>4.9720000000000004</v>
      </c>
      <c r="E134" s="259"/>
      <c r="F134" s="259"/>
      <c r="G134" s="259"/>
      <c r="H134" s="259"/>
      <c r="I134" s="259"/>
      <c r="J134" s="92"/>
      <c r="K134" s="115"/>
      <c r="L134" s="259"/>
      <c r="M134" s="259"/>
      <c r="N134" s="259"/>
      <c r="O134" s="259"/>
      <c r="P134" s="259"/>
      <c r="Q134" s="259"/>
      <c r="R134" s="71"/>
      <c r="S134" s="115"/>
      <c r="T134" s="259"/>
      <c r="U134" s="259"/>
      <c r="V134" s="259"/>
      <c r="W134" s="54"/>
      <c r="X134" s="54"/>
      <c r="Y134" s="54"/>
      <c r="Z134" s="46"/>
      <c r="AA134" s="60"/>
      <c r="AB134" s="54"/>
      <c r="AC134" s="54"/>
      <c r="AD134" s="54"/>
      <c r="AE134" s="54"/>
      <c r="AF134" s="54"/>
      <c r="AG134" s="54"/>
      <c r="AH134" s="54"/>
      <c r="AI134" s="54"/>
      <c r="AJ134" s="54"/>
    </row>
    <row r="135" spans="1:36" x14ac:dyDescent="0.2">
      <c r="A135" s="115"/>
      <c r="B135" s="71"/>
      <c r="C135" s="259"/>
      <c r="D135" s="259"/>
      <c r="E135" s="259"/>
      <c r="F135" s="259"/>
      <c r="G135" s="259"/>
      <c r="H135" s="259"/>
      <c r="I135" s="259"/>
      <c r="J135" s="71"/>
      <c r="K135" s="115" t="s">
        <v>280</v>
      </c>
      <c r="L135" s="259"/>
      <c r="M135" s="259"/>
      <c r="N135" s="259"/>
      <c r="O135" s="259"/>
      <c r="P135" s="259"/>
      <c r="Q135" s="252">
        <v>5.4</v>
      </c>
      <c r="R135" s="71"/>
      <c r="S135" s="115" t="s">
        <v>280</v>
      </c>
      <c r="T135" s="259"/>
      <c r="U135" s="259"/>
      <c r="V135" s="259"/>
      <c r="W135" s="54"/>
      <c r="X135" s="54"/>
      <c r="Y135" s="53">
        <f>H136-Q135</f>
        <v>-4.1720000000000006</v>
      </c>
      <c r="Z135" s="46"/>
      <c r="AA135" s="60" t="s">
        <v>280</v>
      </c>
      <c r="AB135" s="54"/>
      <c r="AC135" s="54"/>
      <c r="AD135" s="54"/>
      <c r="AE135" s="54"/>
      <c r="AF135" s="54"/>
      <c r="AG135" s="55">
        <f>Y135/Q135</f>
        <v>-0.77259259259259261</v>
      </c>
      <c r="AH135" s="55"/>
      <c r="AI135" s="55"/>
      <c r="AJ135" s="55"/>
    </row>
    <row r="136" spans="1:36" x14ac:dyDescent="0.2">
      <c r="A136" s="115"/>
      <c r="B136" s="76" t="s">
        <v>268</v>
      </c>
      <c r="C136" s="259"/>
      <c r="D136" s="259"/>
      <c r="E136" s="259"/>
      <c r="F136" s="259"/>
      <c r="G136" s="259"/>
      <c r="H136" s="252">
        <f>ROUND(H72*$G$110,3)</f>
        <v>1.228</v>
      </c>
      <c r="I136" s="252"/>
      <c r="J136" s="163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</row>
    <row r="137" spans="1:36" x14ac:dyDescent="0.2">
      <c r="A137" s="115"/>
      <c r="B137" s="76" t="s">
        <v>269</v>
      </c>
      <c r="C137" s="259"/>
      <c r="D137" s="259"/>
      <c r="E137" s="259"/>
      <c r="F137" s="259"/>
      <c r="G137" s="259"/>
      <c r="H137" s="252">
        <f>ROUND(H73*$G$110,3)</f>
        <v>4.3419999999999996</v>
      </c>
      <c r="I137" s="252"/>
      <c r="J137" s="163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</row>
    <row r="138" spans="1:36" x14ac:dyDescent="0.2">
      <c r="A138" s="115"/>
      <c r="B138" s="76"/>
      <c r="C138" s="71"/>
      <c r="D138" s="71"/>
      <c r="E138" s="71"/>
      <c r="F138" s="71"/>
      <c r="G138" s="71"/>
      <c r="H138" s="71"/>
      <c r="I138" s="112"/>
      <c r="J138" s="163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</row>
    <row r="139" spans="1:36" x14ac:dyDescent="0.2">
      <c r="A139" s="115"/>
      <c r="B139" s="237" t="s">
        <v>372</v>
      </c>
      <c r="C139" s="71"/>
      <c r="D139" s="71" t="s">
        <v>271</v>
      </c>
      <c r="E139" s="111">
        <v>6.6250000000000003E-2</v>
      </c>
      <c r="F139" s="71"/>
      <c r="G139" s="71"/>
      <c r="H139" s="71"/>
      <c r="I139" s="71"/>
      <c r="J139" s="163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</row>
    <row r="140" spans="1:36" x14ac:dyDescent="0.2">
      <c r="A140" s="115"/>
      <c r="B140" s="71"/>
      <c r="C140" s="71"/>
      <c r="D140" s="71"/>
      <c r="E140" s="71"/>
      <c r="F140" s="71"/>
      <c r="G140" s="71"/>
      <c r="H140" s="71"/>
      <c r="I140" s="71"/>
      <c r="J140" s="163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</row>
    <row r="141" spans="1:36" x14ac:dyDescent="0.2">
      <c r="A141" s="115"/>
      <c r="B141" s="71"/>
      <c r="C141" s="22" t="s">
        <v>272</v>
      </c>
      <c r="D141" s="22" t="s">
        <v>8</v>
      </c>
      <c r="E141" s="22" t="s">
        <v>9</v>
      </c>
      <c r="F141" s="22" t="s">
        <v>10</v>
      </c>
      <c r="G141" s="22" t="s">
        <v>11</v>
      </c>
      <c r="H141" s="22" t="s">
        <v>12</v>
      </c>
      <c r="I141" s="163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</row>
    <row r="142" spans="1:36" x14ac:dyDescent="0.2">
      <c r="A142" s="115"/>
      <c r="B142" s="27" t="s">
        <v>68</v>
      </c>
      <c r="C142" s="71"/>
      <c r="D142" s="71"/>
      <c r="E142" s="71"/>
      <c r="F142" s="71"/>
      <c r="G142" s="71"/>
      <c r="H142" s="71"/>
      <c r="I142" s="163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</row>
    <row r="143" spans="1:36" x14ac:dyDescent="0.2">
      <c r="A143" s="115"/>
      <c r="B143" s="78" t="s">
        <v>265</v>
      </c>
      <c r="C143" s="78"/>
      <c r="D143" s="71"/>
      <c r="E143" s="112">
        <f>ROUND(E121*(1+$E$139),3)</f>
        <v>7.423</v>
      </c>
      <c r="F143" s="112">
        <f>ROUND(F121*(1+$E$139),3)</f>
        <v>5.3440000000000003</v>
      </c>
      <c r="G143" s="112">
        <f>ROUND(G121*(1+$E$139),3)</f>
        <v>5.3360000000000003</v>
      </c>
      <c r="H143" s="112">
        <f>ROUND(H121*(1+$E$139),3)</f>
        <v>6.0129999999999999</v>
      </c>
      <c r="I143" s="163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</row>
    <row r="144" spans="1:36" x14ac:dyDescent="0.2">
      <c r="A144" s="115"/>
      <c r="B144" s="78" t="s">
        <v>266</v>
      </c>
      <c r="C144" s="71"/>
      <c r="D144" s="112">
        <f>ROUND(D122*(1+$E$139),3)</f>
        <v>13.666</v>
      </c>
      <c r="E144" s="71"/>
      <c r="F144" s="71"/>
      <c r="G144" s="71"/>
      <c r="H144" s="71"/>
      <c r="I144" s="163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</row>
    <row r="145" spans="1:22" x14ac:dyDescent="0.2">
      <c r="A145" s="115"/>
      <c r="B145" s="78" t="s">
        <v>267</v>
      </c>
      <c r="C145" s="71"/>
      <c r="D145" s="112">
        <f>ROUND(D123*(1+$E$139),3)</f>
        <v>5.2249999999999996</v>
      </c>
      <c r="E145" s="71"/>
      <c r="F145" s="71"/>
      <c r="G145" s="71"/>
      <c r="H145" s="71"/>
      <c r="I145" s="163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</row>
    <row r="146" spans="1:22" x14ac:dyDescent="0.2">
      <c r="A146" s="115"/>
      <c r="B146" s="76" t="s">
        <v>40</v>
      </c>
      <c r="C146" s="112">
        <f>ROUND(C124*(1+$E$139),3)</f>
        <v>6.3369999999999997</v>
      </c>
      <c r="D146" s="92"/>
      <c r="E146" s="71"/>
      <c r="F146" s="71"/>
      <c r="G146" s="71"/>
      <c r="H146" s="71"/>
      <c r="I146" s="163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</row>
    <row r="147" spans="1:22" x14ac:dyDescent="0.2">
      <c r="A147" s="115"/>
      <c r="B147" s="78" t="s">
        <v>41</v>
      </c>
      <c r="C147" s="112">
        <f>ROUND(C125*(1+$E$139),3)</f>
        <v>10.324</v>
      </c>
      <c r="D147" s="92"/>
      <c r="E147" s="71"/>
      <c r="F147" s="71"/>
      <c r="G147" s="71"/>
      <c r="H147" s="71"/>
      <c r="I147" s="163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</row>
    <row r="148" spans="1:22" x14ac:dyDescent="0.2">
      <c r="A148" s="115"/>
      <c r="B148" s="92"/>
      <c r="C148" s="92"/>
      <c r="D148" s="92"/>
      <c r="E148" s="71"/>
      <c r="F148" s="71"/>
      <c r="G148" s="71"/>
      <c r="H148" s="71"/>
      <c r="I148" s="163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</row>
    <row r="149" spans="1:22" x14ac:dyDescent="0.2">
      <c r="A149" s="115"/>
      <c r="B149" s="71"/>
      <c r="C149" s="71"/>
      <c r="D149" s="71"/>
      <c r="E149" s="71"/>
      <c r="F149" s="71"/>
      <c r="G149" s="71"/>
      <c r="H149" s="71"/>
      <c r="I149" s="163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</row>
    <row r="150" spans="1:22" x14ac:dyDescent="0.2">
      <c r="A150" s="115"/>
      <c r="B150" s="76" t="s">
        <v>268</v>
      </c>
      <c r="C150" s="71"/>
      <c r="D150" s="71"/>
      <c r="E150" s="71"/>
      <c r="F150" s="71"/>
      <c r="G150" s="71"/>
      <c r="H150" s="253">
        <f>ROUND(H128*(1+$E$139),2)</f>
        <v>1.61</v>
      </c>
      <c r="I150" s="163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</row>
    <row r="151" spans="1:22" x14ac:dyDescent="0.2">
      <c r="A151" s="115"/>
      <c r="B151" s="76" t="s">
        <v>353</v>
      </c>
      <c r="C151" s="71"/>
      <c r="D151" s="71"/>
      <c r="E151" s="71"/>
      <c r="F151" s="71"/>
      <c r="G151" s="71"/>
      <c r="H151" s="253">
        <f>ROUND(H129*(1+$E$139),2)</f>
        <v>5.57</v>
      </c>
      <c r="I151" s="163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</row>
    <row r="152" spans="1:22" x14ac:dyDescent="0.2">
      <c r="A152" s="115"/>
      <c r="B152" s="71"/>
      <c r="C152" s="71"/>
      <c r="D152" s="71"/>
      <c r="E152" s="71"/>
      <c r="F152" s="71"/>
      <c r="G152" s="71"/>
      <c r="H152" s="71"/>
      <c r="I152" s="163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</row>
    <row r="153" spans="1:22" x14ac:dyDescent="0.2">
      <c r="A153" s="115"/>
      <c r="B153" s="27" t="s">
        <v>61</v>
      </c>
      <c r="C153" s="71"/>
      <c r="D153" s="71"/>
      <c r="E153" s="71"/>
      <c r="F153" s="71"/>
      <c r="G153" s="71"/>
      <c r="H153" s="71"/>
      <c r="I153" s="163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</row>
    <row r="154" spans="1:22" x14ac:dyDescent="0.2">
      <c r="A154" s="115"/>
      <c r="B154" s="78" t="s">
        <v>265</v>
      </c>
      <c r="C154" s="112">
        <f>ROUND(C132*(1+$E$139),3)</f>
        <v>8.5719999999999992</v>
      </c>
      <c r="D154" s="71"/>
      <c r="E154" s="112">
        <f>ROUND(E132*(1+$E$139),3)</f>
        <v>6.5839999999999996</v>
      </c>
      <c r="F154" s="112">
        <f>ROUND(F132*(1+$E$139),3)</f>
        <v>5.2590000000000003</v>
      </c>
      <c r="G154" s="112">
        <f>ROUND(G132*(1+$E$139),3)</f>
        <v>5.2240000000000002</v>
      </c>
      <c r="H154" s="112">
        <f>ROUND(H132*(1+$E$139),3)</f>
        <v>5.5810000000000004</v>
      </c>
      <c r="I154" s="163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</row>
    <row r="155" spans="1:22" x14ac:dyDescent="0.2">
      <c r="A155" s="115"/>
      <c r="B155" s="78" t="s">
        <v>266</v>
      </c>
      <c r="C155" s="71"/>
      <c r="D155" s="112">
        <f>ROUND(D133*(1+$E$139),3)</f>
        <v>10.694000000000001</v>
      </c>
      <c r="E155" s="71"/>
      <c r="F155" s="71"/>
      <c r="G155" s="71"/>
      <c r="H155" s="71"/>
      <c r="I155" s="163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</row>
    <row r="156" spans="1:22" x14ac:dyDescent="0.2">
      <c r="A156" s="115"/>
      <c r="B156" s="78" t="s">
        <v>267</v>
      </c>
      <c r="C156" s="71"/>
      <c r="D156" s="112">
        <f>ROUND(D134*(1+$E$139),3)</f>
        <v>5.3010000000000002</v>
      </c>
      <c r="E156" s="71"/>
      <c r="F156" s="71"/>
      <c r="G156" s="71"/>
      <c r="H156" s="71"/>
      <c r="I156" s="163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</row>
    <row r="157" spans="1:22" x14ac:dyDescent="0.2">
      <c r="A157" s="115"/>
      <c r="B157" s="71"/>
      <c r="C157" s="71"/>
      <c r="D157" s="71"/>
      <c r="E157" s="71"/>
      <c r="F157" s="71"/>
      <c r="G157" s="71"/>
      <c r="H157" s="71"/>
      <c r="I157" s="163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</row>
    <row r="158" spans="1:22" x14ac:dyDescent="0.2">
      <c r="A158" s="115"/>
      <c r="B158" s="76" t="s">
        <v>268</v>
      </c>
      <c r="C158" s="71"/>
      <c r="D158" s="71"/>
      <c r="E158" s="71"/>
      <c r="F158" s="71"/>
      <c r="G158" s="71"/>
      <c r="H158" s="253">
        <f>ROUND(H136*(1+$E$139),2)</f>
        <v>1.31</v>
      </c>
      <c r="I158" s="163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</row>
    <row r="159" spans="1:22" x14ac:dyDescent="0.2">
      <c r="A159" s="115"/>
      <c r="B159" s="76" t="s">
        <v>269</v>
      </c>
      <c r="C159" s="71"/>
      <c r="D159" s="71"/>
      <c r="E159" s="71"/>
      <c r="F159" s="71"/>
      <c r="G159" s="71"/>
      <c r="H159" s="253">
        <f>ROUND(H137*(1+$E$139),2)</f>
        <v>4.63</v>
      </c>
      <c r="I159" s="163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</row>
    <row r="160" spans="1:22" x14ac:dyDescent="0.2">
      <c r="A160" s="115"/>
      <c r="B160" s="76"/>
      <c r="C160" s="71"/>
      <c r="D160" s="71"/>
      <c r="E160" s="71"/>
      <c r="F160" s="71"/>
      <c r="G160" s="71"/>
      <c r="H160" s="112"/>
      <c r="I160" s="163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</row>
    <row r="161" spans="1:22" x14ac:dyDescent="0.2">
      <c r="A161" s="115"/>
      <c r="B161" s="76"/>
      <c r="C161" s="71"/>
      <c r="D161" s="71"/>
      <c r="E161" s="71"/>
      <c r="F161" s="71"/>
      <c r="G161" s="71"/>
      <c r="H161" s="163"/>
      <c r="I161" s="163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</row>
    <row r="162" spans="1:22" x14ac:dyDescent="0.2">
      <c r="A162" s="214" t="s">
        <v>373</v>
      </c>
      <c r="B162" s="214" t="s">
        <v>374</v>
      </c>
      <c r="C162" s="71"/>
      <c r="D162" s="71"/>
      <c r="E162" s="71"/>
      <c r="F162" s="71"/>
      <c r="G162" s="71"/>
      <c r="H162" s="163"/>
      <c r="I162" s="163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</row>
    <row r="163" spans="1:22" x14ac:dyDescent="0.2">
      <c r="A163" s="115"/>
      <c r="B163" s="214"/>
      <c r="C163" s="71"/>
      <c r="D163" s="71"/>
      <c r="E163" s="71"/>
      <c r="F163" s="71"/>
      <c r="G163" s="71"/>
      <c r="H163" s="163"/>
      <c r="I163" s="163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</row>
    <row r="164" spans="1:22" x14ac:dyDescent="0.2">
      <c r="A164" s="115"/>
      <c r="B164" s="214"/>
      <c r="C164" s="71"/>
      <c r="D164" s="71"/>
      <c r="E164" s="71"/>
      <c r="F164" s="71"/>
      <c r="G164" s="71"/>
      <c r="H164" s="163"/>
      <c r="I164" s="163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</row>
    <row r="165" spans="1:22" x14ac:dyDescent="0.2">
      <c r="A165" s="115"/>
      <c r="B165" s="25" t="s">
        <v>288</v>
      </c>
      <c r="C165" s="71"/>
      <c r="D165" s="71"/>
      <c r="E165" s="71"/>
      <c r="F165" s="71"/>
      <c r="G165" s="71"/>
      <c r="H165" s="163"/>
      <c r="I165" s="163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</row>
    <row r="166" spans="1:22" ht="13.5" thickBot="1" x14ac:dyDescent="0.25">
      <c r="A166" s="115"/>
      <c r="B166" s="25"/>
      <c r="C166" s="71"/>
      <c r="D166" s="71"/>
      <c r="E166" s="71"/>
      <c r="F166" s="71"/>
      <c r="G166" s="71"/>
      <c r="H166" s="163"/>
      <c r="I166" s="163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</row>
    <row r="167" spans="1:22" x14ac:dyDescent="0.2">
      <c r="A167" s="115"/>
      <c r="B167" s="71"/>
      <c r="C167" s="22" t="str">
        <f>'BGS Cost &amp; Bid Factors'!C$6</f>
        <v>SC1/SC5</v>
      </c>
      <c r="D167" s="22" t="str">
        <f>'BGS Cost &amp; Bid Factors'!D$6</f>
        <v>SC3</v>
      </c>
      <c r="E167" s="22" t="str">
        <f>'BGS Cost &amp; Bid Factors'!E$6</f>
        <v>SC2 ND</v>
      </c>
      <c r="F167" s="22" t="str">
        <f>'BGS Cost &amp; Bid Factors'!F$6</f>
        <v>SC4</v>
      </c>
      <c r="G167" s="22" t="str">
        <f>'BGS Cost &amp; Bid Factors'!G$6</f>
        <v>SC6</v>
      </c>
      <c r="H167" s="22" t="str">
        <f>'BGS Cost &amp; Bid Factors'!H$6</f>
        <v>SC2 Dem</v>
      </c>
      <c r="I167" s="22"/>
      <c r="J167" s="163"/>
      <c r="K167" s="189" t="s">
        <v>153</v>
      </c>
      <c r="L167" s="190"/>
      <c r="M167" s="71"/>
      <c r="N167" s="71"/>
      <c r="O167" s="71"/>
      <c r="P167" s="71"/>
      <c r="Q167" s="71"/>
      <c r="R167" s="71"/>
      <c r="S167" s="71"/>
      <c r="T167" s="71"/>
      <c r="U167" s="71"/>
      <c r="V167" s="71"/>
    </row>
    <row r="168" spans="1:22" x14ac:dyDescent="0.2">
      <c r="A168" s="115"/>
      <c r="B168" s="25"/>
      <c r="C168" s="71"/>
      <c r="D168" s="71"/>
      <c r="E168" s="71"/>
      <c r="F168" s="71"/>
      <c r="G168" s="71"/>
      <c r="H168" s="71"/>
      <c r="I168" s="71"/>
      <c r="J168" s="163"/>
      <c r="K168" s="191"/>
      <c r="L168" s="192" t="s">
        <v>156</v>
      </c>
      <c r="M168" s="71"/>
      <c r="N168" s="71"/>
      <c r="O168" s="71"/>
      <c r="P168" s="71"/>
      <c r="Q168" s="71"/>
      <c r="R168" s="71"/>
      <c r="S168" s="71"/>
      <c r="T168" s="71"/>
      <c r="U168" s="71"/>
      <c r="V168" s="71"/>
    </row>
    <row r="169" spans="1:22" x14ac:dyDescent="0.2">
      <c r="A169" s="115"/>
      <c r="B169" s="157" t="s">
        <v>68</v>
      </c>
      <c r="C169" s="19">
        <f>ROUND((C121*'BGS Cost &amp; Bid Factors'!L$48)/100,0)</f>
        <v>23121</v>
      </c>
      <c r="D169" s="82">
        <f>ROUND((D122*'BGS Cost &amp; Bid Factors'!M$49+D123*'BGS Cost &amp; Bid Factors'!M$50)/100,0)</f>
        <v>7</v>
      </c>
      <c r="E169" s="19">
        <f>ROUND((E121*'BGS Cost &amp; Bid Factors'!N$48)/100,0)</f>
        <v>488</v>
      </c>
      <c r="F169" s="19">
        <f>ROUND((F121*'BGS Cost &amp; Bid Factors'!O$48)/100,0)</f>
        <v>67</v>
      </c>
      <c r="G169" s="19">
        <f>ROUND((G121*'BGS Cost &amp; Bid Factors'!P$48)/100,0)</f>
        <v>74</v>
      </c>
      <c r="H169" s="82">
        <f>ROUND(H121*'BGS Cost &amp; Bid Factors'!Q$48/100+(H128*($L$169/4*'BGS Cost &amp; Bid Factors'!H$144)+H129*($L$169/4*'BGS Cost &amp; Bid Factors'!H$144))/1000,0)</f>
        <v>9154</v>
      </c>
      <c r="I169" s="82"/>
      <c r="J169" s="163"/>
      <c r="K169" s="191" t="s">
        <v>68</v>
      </c>
      <c r="L169" s="193">
        <v>341438.25299470645</v>
      </c>
      <c r="M169" s="71"/>
      <c r="N169" s="71"/>
      <c r="O169" s="71"/>
      <c r="P169" s="71"/>
      <c r="Q169" s="71"/>
      <c r="R169" s="71"/>
      <c r="S169" s="71"/>
      <c r="T169" s="71"/>
      <c r="U169" s="71"/>
      <c r="V169" s="71"/>
    </row>
    <row r="170" spans="1:22" ht="13.5" thickBot="1" x14ac:dyDescent="0.25">
      <c r="A170" s="115"/>
      <c r="B170" s="157" t="s">
        <v>61</v>
      </c>
      <c r="C170" s="28">
        <f>ROUND(C132*'BGS Cost &amp; Bid Factors'!L$44/100,0)</f>
        <v>30279</v>
      </c>
      <c r="D170" s="236">
        <f>ROUND((D133*'BGS Cost &amp; Bid Factors'!M$45+D134*'BGS Cost &amp; Bid Factors'!M$46)/100,0)</f>
        <v>14</v>
      </c>
      <c r="E170" s="28">
        <f>ROUND(E132*'BGS Cost &amp; Bid Factors'!N$44/100,0)</f>
        <v>961</v>
      </c>
      <c r="F170" s="28">
        <f>ROUND(F132*'BGS Cost &amp; Bid Factors'!O$44/100,0)</f>
        <v>168</v>
      </c>
      <c r="G170" s="28">
        <f>ROUND(G132*'BGS Cost &amp; Bid Factors'!P$44/100,0)</f>
        <v>180</v>
      </c>
      <c r="H170" s="236">
        <f>ROUND(H132*'BGS Cost &amp; Bid Factors'!Q$44/100+(H136*($L$170/8*'BGS Cost &amp; Bid Factors'!H$145)+H137*($L$170/8*'BGS Cost &amp; Bid Factors'!H$145))/1000,0)</f>
        <v>14831</v>
      </c>
      <c r="I170" s="236"/>
      <c r="J170" s="163"/>
      <c r="K170" s="194" t="s">
        <v>61</v>
      </c>
      <c r="L170" s="195">
        <v>606342.76965902583</v>
      </c>
      <c r="M170" s="71"/>
      <c r="N170" s="71"/>
      <c r="O170" s="71"/>
      <c r="P170" s="71"/>
      <c r="Q170" s="71"/>
      <c r="R170" s="71"/>
      <c r="S170" s="71"/>
      <c r="T170" s="71"/>
      <c r="U170" s="71"/>
      <c r="V170" s="71"/>
    </row>
    <row r="171" spans="1:22" x14ac:dyDescent="0.2">
      <c r="A171" s="115"/>
      <c r="B171" s="157" t="s">
        <v>35</v>
      </c>
      <c r="C171" s="96">
        <f t="shared" ref="C171:H171" si="1">+C170+C169</f>
        <v>53400</v>
      </c>
      <c r="D171" s="96">
        <f t="shared" si="1"/>
        <v>21</v>
      </c>
      <c r="E171" s="96">
        <f t="shared" si="1"/>
        <v>1449</v>
      </c>
      <c r="F171" s="96">
        <f t="shared" si="1"/>
        <v>235</v>
      </c>
      <c r="G171" s="96">
        <f t="shared" si="1"/>
        <v>254</v>
      </c>
      <c r="H171" s="96">
        <f t="shared" si="1"/>
        <v>23985</v>
      </c>
      <c r="I171" s="163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</row>
    <row r="172" spans="1:22" x14ac:dyDescent="0.2">
      <c r="A172" s="115"/>
      <c r="B172" s="157"/>
      <c r="C172" s="96"/>
      <c r="D172" s="96"/>
      <c r="E172" s="96"/>
      <c r="F172" s="96"/>
      <c r="G172" s="96"/>
      <c r="H172" s="96"/>
      <c r="I172" s="163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</row>
    <row r="173" spans="1:22" x14ac:dyDescent="0.2">
      <c r="A173" s="115"/>
      <c r="B173" s="157" t="s">
        <v>35</v>
      </c>
      <c r="C173" s="96"/>
      <c r="D173" s="96"/>
      <c r="E173" s="96"/>
      <c r="F173" s="96"/>
      <c r="G173" s="96"/>
      <c r="H173" s="96"/>
      <c r="I173" s="163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</row>
    <row r="174" spans="1:22" x14ac:dyDescent="0.2">
      <c r="A174" s="115"/>
      <c r="B174" s="157" t="s">
        <v>68</v>
      </c>
      <c r="C174" s="96">
        <f>SUM(C169:H169)</f>
        <v>32911</v>
      </c>
      <c r="D174" s="96"/>
      <c r="E174" s="96"/>
      <c r="F174" s="96"/>
      <c r="G174" s="96"/>
      <c r="H174" s="96"/>
      <c r="I174" s="163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</row>
    <row r="175" spans="1:22" x14ac:dyDescent="0.2">
      <c r="A175" s="115"/>
      <c r="B175" s="157" t="s">
        <v>61</v>
      </c>
      <c r="C175" s="29">
        <f>SUM(C170:H170)</f>
        <v>46433</v>
      </c>
      <c r="D175" s="103"/>
      <c r="E175" s="71"/>
      <c r="F175" s="71"/>
      <c r="G175" s="71"/>
      <c r="H175" s="71"/>
      <c r="I175" s="163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</row>
    <row r="176" spans="1:22" x14ac:dyDescent="0.2">
      <c r="A176" s="115"/>
      <c r="B176" s="157" t="s">
        <v>35</v>
      </c>
      <c r="C176" s="96">
        <f>+C175+C174</f>
        <v>79344</v>
      </c>
      <c r="D176" s="103"/>
      <c r="E176" s="71"/>
      <c r="F176" s="71"/>
      <c r="G176" s="71"/>
      <c r="H176" s="82"/>
      <c r="I176" s="163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</row>
    <row r="177" spans="1:22" x14ac:dyDescent="0.2">
      <c r="A177" s="115"/>
      <c r="B177" s="157"/>
      <c r="C177" s="96"/>
      <c r="D177" s="71"/>
      <c r="E177" s="103"/>
      <c r="F177" s="71"/>
      <c r="G177" s="71"/>
      <c r="H177" s="71"/>
      <c r="I177" s="236"/>
      <c r="J177" s="163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</row>
    <row r="178" spans="1:22" x14ac:dyDescent="0.2">
      <c r="A178" s="115"/>
      <c r="B178" s="27" t="s">
        <v>375</v>
      </c>
      <c r="C178" s="26"/>
      <c r="D178" s="26"/>
      <c r="E178" s="26"/>
      <c r="F178" s="26"/>
      <c r="G178" s="26"/>
      <c r="H178" s="26"/>
      <c r="I178" s="96"/>
      <c r="J178" s="163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</row>
    <row r="179" spans="1:22" x14ac:dyDescent="0.2">
      <c r="A179" s="115"/>
      <c r="B179" s="71"/>
      <c r="C179" s="26"/>
      <c r="D179" s="26"/>
      <c r="E179" s="26"/>
      <c r="F179" s="26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</row>
    <row r="180" spans="1:22" x14ac:dyDescent="0.2">
      <c r="A180" s="115"/>
      <c r="B180" s="71" t="s">
        <v>357</v>
      </c>
      <c r="C180" s="103"/>
      <c r="D180" s="103"/>
      <c r="E180" s="103"/>
      <c r="F180" s="26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</row>
    <row r="181" spans="1:22" ht="15" x14ac:dyDescent="0.35">
      <c r="A181" s="115"/>
      <c r="B181" s="71"/>
      <c r="C181" s="44" t="s">
        <v>35</v>
      </c>
      <c r="D181" s="44" t="s">
        <v>337</v>
      </c>
      <c r="E181" s="44" t="s">
        <v>358</v>
      </c>
      <c r="F181" s="26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</row>
    <row r="182" spans="1:22" x14ac:dyDescent="0.2">
      <c r="A182" s="115"/>
      <c r="B182" s="157" t="s">
        <v>68</v>
      </c>
      <c r="C182" s="96">
        <f>'Weighted Avg Price Calc'!G$27/1000</f>
        <v>34558.044999999998</v>
      </c>
      <c r="D182" s="102">
        <f>ROUND('BGS Cost &amp; Bid Factors'!$C$147*SUM('BGS Cost &amp; Bid Factors'!$C$141:$H$141)/12*'BGS Cost &amp; Bid Factors'!H$144/1000*'BGS Cost &amp; Bid Factors'!D447,0)</f>
        <v>4594</v>
      </c>
      <c r="E182" s="96">
        <f>C182-D182</f>
        <v>29964.044999999998</v>
      </c>
      <c r="F182" s="26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</row>
    <row r="183" spans="1:22" ht="15" x14ac:dyDescent="0.35">
      <c r="A183" s="115"/>
      <c r="B183" s="157" t="s">
        <v>61</v>
      </c>
      <c r="C183" s="45">
        <f>'Weighted Avg Price Calc'!G$28/1000</f>
        <v>51290.699000000001</v>
      </c>
      <c r="D183" s="45">
        <f>ROUND('BGS Cost &amp; Bid Factors'!$C$147*SUM('BGS Cost &amp; Bid Factors'!$C$141:$H$141)/12*'BGS Cost &amp; Bid Factors'!H$145/1000*'BGS Cost &amp; Bid Factors'!D447,0)</f>
        <v>9188</v>
      </c>
      <c r="E183" s="45">
        <f>C183-D183</f>
        <v>42102.699000000001</v>
      </c>
      <c r="F183" s="26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</row>
    <row r="184" spans="1:22" x14ac:dyDescent="0.2">
      <c r="A184" s="115"/>
      <c r="B184" s="157" t="s">
        <v>35</v>
      </c>
      <c r="C184" s="96">
        <f>+C183+C182</f>
        <v>85848.744000000006</v>
      </c>
      <c r="D184" s="96">
        <f>D182+D183</f>
        <v>13782</v>
      </c>
      <c r="E184" s="96">
        <f>E182+E183</f>
        <v>72066.744000000006</v>
      </c>
      <c r="F184" s="26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</row>
    <row r="185" spans="1:22" x14ac:dyDescent="0.2">
      <c r="A185" s="115"/>
      <c r="B185" s="71"/>
      <c r="C185" s="103"/>
      <c r="D185" s="103"/>
      <c r="E185" s="103"/>
      <c r="F185" s="26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</row>
    <row r="186" spans="1:22" x14ac:dyDescent="0.2">
      <c r="A186" s="115"/>
      <c r="B186" s="71" t="s">
        <v>359</v>
      </c>
      <c r="C186" s="103"/>
      <c r="D186" s="103"/>
      <c r="E186" s="103"/>
      <c r="F186" s="26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</row>
    <row r="187" spans="1:22" ht="15" x14ac:dyDescent="0.35">
      <c r="A187" s="115"/>
      <c r="B187" s="71"/>
      <c r="C187" s="44" t="s">
        <v>35</v>
      </c>
      <c r="D187" s="44" t="s">
        <v>337</v>
      </c>
      <c r="E187" s="44" t="s">
        <v>358</v>
      </c>
      <c r="F187" s="26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</row>
    <row r="188" spans="1:22" x14ac:dyDescent="0.2">
      <c r="A188" s="115"/>
      <c r="B188" s="157" t="s">
        <v>68</v>
      </c>
      <c r="C188" s="96">
        <f>ROUND($E$251*1000*'Weighted Avg Price Calc'!E40/100/1000,0)</f>
        <v>2946</v>
      </c>
      <c r="D188" s="96">
        <v>0</v>
      </c>
      <c r="E188" s="96">
        <f>C188-D188</f>
        <v>2946</v>
      </c>
      <c r="F188" s="26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</row>
    <row r="189" spans="1:22" ht="15" x14ac:dyDescent="0.35">
      <c r="A189" s="115"/>
      <c r="B189" s="157" t="s">
        <v>61</v>
      </c>
      <c r="C189" s="45">
        <f>ROUND($E$252*1000*'Weighted Avg Price Calc'!E40/100/1000,0)</f>
        <v>4331</v>
      </c>
      <c r="D189" s="45">
        <v>0</v>
      </c>
      <c r="E189" s="45">
        <f>C189-D189</f>
        <v>4331</v>
      </c>
      <c r="F189" s="26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</row>
    <row r="190" spans="1:22" x14ac:dyDescent="0.2">
      <c r="A190" s="115"/>
      <c r="B190" s="157" t="s">
        <v>35</v>
      </c>
      <c r="C190" s="96">
        <f>+C189+C188</f>
        <v>7277</v>
      </c>
      <c r="D190" s="96">
        <f>D188+D189</f>
        <v>0</v>
      </c>
      <c r="E190" s="96">
        <f>E188+E189</f>
        <v>7277</v>
      </c>
      <c r="F190" s="26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</row>
    <row r="191" spans="1:22" x14ac:dyDescent="0.2">
      <c r="A191" s="115"/>
      <c r="B191" s="71"/>
      <c r="C191" s="103"/>
      <c r="D191" s="103"/>
      <c r="E191" s="103"/>
      <c r="F191" s="26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</row>
    <row r="192" spans="1:22" x14ac:dyDescent="0.2">
      <c r="A192" s="115"/>
      <c r="B192" s="71" t="s">
        <v>360</v>
      </c>
      <c r="C192" s="26"/>
      <c r="D192" s="26"/>
      <c r="E192" s="26"/>
      <c r="F192" s="26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</row>
    <row r="193" spans="1:22" ht="15" x14ac:dyDescent="0.35">
      <c r="A193" s="115"/>
      <c r="B193" s="71"/>
      <c r="C193" s="44" t="s">
        <v>35</v>
      </c>
      <c r="D193" s="44" t="s">
        <v>337</v>
      </c>
      <c r="E193" s="44" t="s">
        <v>358</v>
      </c>
      <c r="F193" s="103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</row>
    <row r="194" spans="1:22" x14ac:dyDescent="0.2">
      <c r="A194" s="115"/>
      <c r="B194" s="157" t="s">
        <v>68</v>
      </c>
      <c r="C194" s="96">
        <f>C182+C188</f>
        <v>37504.044999999998</v>
      </c>
      <c r="D194" s="96">
        <f>D182+D188</f>
        <v>4594</v>
      </c>
      <c r="E194" s="96">
        <f>C194-D194</f>
        <v>32910.044999999998</v>
      </c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</row>
    <row r="195" spans="1:22" ht="15" x14ac:dyDescent="0.35">
      <c r="A195" s="115"/>
      <c r="B195" s="157" t="s">
        <v>61</v>
      </c>
      <c r="C195" s="45">
        <f>C183+C189</f>
        <v>55621.699000000001</v>
      </c>
      <c r="D195" s="45">
        <f>D183+D189</f>
        <v>9188</v>
      </c>
      <c r="E195" s="45">
        <f>C195-D195</f>
        <v>46433.699000000001</v>
      </c>
      <c r="F195" s="71"/>
      <c r="G195" s="71"/>
      <c r="H195" s="71"/>
      <c r="I195" s="71"/>
      <c r="J195" s="163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</row>
    <row r="196" spans="1:22" x14ac:dyDescent="0.2">
      <c r="A196" s="115"/>
      <c r="B196" s="157" t="s">
        <v>35</v>
      </c>
      <c r="C196" s="96">
        <f>+C195+C194</f>
        <v>93125.744000000006</v>
      </c>
      <c r="D196" s="96">
        <f>D194+D195</f>
        <v>13782</v>
      </c>
      <c r="E196" s="96">
        <f>E194+E195</f>
        <v>79343.744000000006</v>
      </c>
      <c r="F196" s="71"/>
      <c r="G196" s="71"/>
      <c r="H196" s="71"/>
      <c r="I196" s="71"/>
      <c r="J196" s="163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</row>
    <row r="197" spans="1:22" x14ac:dyDescent="0.2">
      <c r="A197" s="115"/>
      <c r="B197" s="71"/>
      <c r="C197" s="103"/>
      <c r="D197" s="31"/>
      <c r="E197" s="103"/>
      <c r="F197" s="233"/>
      <c r="G197" s="71"/>
      <c r="H197" s="71"/>
      <c r="I197" s="71"/>
      <c r="J197" s="163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</row>
    <row r="198" spans="1:22" x14ac:dyDescent="0.2">
      <c r="A198" s="115"/>
      <c r="B198" s="71" t="s">
        <v>292</v>
      </c>
      <c r="C198" s="71"/>
      <c r="D198" s="71"/>
      <c r="E198" s="71"/>
      <c r="F198" s="71"/>
      <c r="G198" s="76"/>
      <c r="H198" s="71"/>
      <c r="I198" s="71"/>
      <c r="J198" s="163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</row>
    <row r="199" spans="1:22" x14ac:dyDescent="0.2">
      <c r="A199" s="115"/>
      <c r="B199" s="71"/>
      <c r="C199" s="76" t="s">
        <v>331</v>
      </c>
      <c r="D199" s="76" t="s">
        <v>331</v>
      </c>
      <c r="E199" s="76"/>
      <c r="F199" s="71"/>
      <c r="G199" s="76"/>
      <c r="H199" s="71"/>
      <c r="I199" s="71"/>
      <c r="J199" s="163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</row>
    <row r="200" spans="1:22" x14ac:dyDescent="0.2">
      <c r="A200" s="115"/>
      <c r="B200" s="76"/>
      <c r="C200" s="219" t="s">
        <v>363</v>
      </c>
      <c r="D200" s="219" t="s">
        <v>364</v>
      </c>
      <c r="E200" s="219" t="s">
        <v>365</v>
      </c>
      <c r="F200" s="71"/>
      <c r="G200" s="219"/>
      <c r="H200" s="71"/>
      <c r="I200" s="163"/>
      <c r="J200" s="163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</row>
    <row r="201" spans="1:22" x14ac:dyDescent="0.2">
      <c r="A201" s="115"/>
      <c r="B201" s="157" t="s">
        <v>68</v>
      </c>
      <c r="C201" s="96">
        <f>C174</f>
        <v>32911</v>
      </c>
      <c r="D201" s="96">
        <f>E194</f>
        <v>32910.044999999998</v>
      </c>
      <c r="E201" s="96">
        <f>D201-C201</f>
        <v>-0.95500000000174623</v>
      </c>
      <c r="F201" s="71"/>
      <c r="G201" s="71"/>
      <c r="H201" s="71"/>
      <c r="I201" s="163"/>
      <c r="J201" s="163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</row>
    <row r="202" spans="1:22" x14ac:dyDescent="0.2">
      <c r="A202" s="115"/>
      <c r="B202" s="157" t="s">
        <v>61</v>
      </c>
      <c r="C202" s="29">
        <f>C175</f>
        <v>46433</v>
      </c>
      <c r="D202" s="29">
        <f>E195</f>
        <v>46433.699000000001</v>
      </c>
      <c r="E202" s="29">
        <f>D202-C202</f>
        <v>0.69900000000052387</v>
      </c>
      <c r="F202" s="71"/>
      <c r="G202" s="71"/>
      <c r="H202" s="71"/>
      <c r="I202" s="163"/>
      <c r="J202" s="163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</row>
    <row r="203" spans="1:22" x14ac:dyDescent="0.2">
      <c r="A203" s="115"/>
      <c r="B203" s="157" t="s">
        <v>35</v>
      </c>
      <c r="C203" s="96">
        <f>+C202+C201</f>
        <v>79344</v>
      </c>
      <c r="D203" s="96">
        <f>+D202+D201</f>
        <v>79343.744000000006</v>
      </c>
      <c r="E203" s="96">
        <f>+E202+E201</f>
        <v>-0.25600000000122236</v>
      </c>
      <c r="F203" s="71"/>
      <c r="G203" s="71"/>
      <c r="H203" s="71"/>
      <c r="I203" s="163"/>
      <c r="J203" s="163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</row>
    <row r="204" spans="1:22" x14ac:dyDescent="0.2">
      <c r="A204" s="115"/>
      <c r="B204" s="76"/>
      <c r="C204" s="71"/>
      <c r="D204" s="71"/>
      <c r="E204" s="71"/>
      <c r="F204" s="71"/>
      <c r="G204" s="71"/>
      <c r="H204" s="71"/>
      <c r="I204" s="163"/>
      <c r="J204" s="163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</row>
    <row r="205" spans="1:22" x14ac:dyDescent="0.2">
      <c r="A205" s="156"/>
      <c r="B205" s="18" t="s">
        <v>274</v>
      </c>
      <c r="C205" s="71"/>
      <c r="D205" s="71"/>
      <c r="E205" s="71"/>
      <c r="F205" s="71"/>
      <c r="G205" s="71"/>
      <c r="H205" s="71"/>
      <c r="I205" s="71"/>
      <c r="J205" s="163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</row>
    <row r="206" spans="1:22" x14ac:dyDescent="0.2">
      <c r="A206" s="156"/>
      <c r="B206" s="18"/>
      <c r="C206" s="71"/>
      <c r="D206" s="71"/>
      <c r="E206" s="71"/>
      <c r="F206" s="71"/>
      <c r="G206" s="71"/>
      <c r="H206" s="71"/>
      <c r="I206" s="71"/>
      <c r="J206" s="163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</row>
    <row r="207" spans="1:22" x14ac:dyDescent="0.2">
      <c r="A207" s="156"/>
      <c r="B207" s="25" t="s">
        <v>275</v>
      </c>
      <c r="C207" s="71"/>
      <c r="D207" s="71"/>
      <c r="E207" s="71"/>
      <c r="F207" s="71"/>
      <c r="G207" s="71"/>
      <c r="H207" s="71"/>
      <c r="I207" s="71"/>
      <c r="J207" s="163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</row>
    <row r="208" spans="1:22" x14ac:dyDescent="0.2">
      <c r="A208" s="156"/>
      <c r="B208" s="115"/>
      <c r="C208" s="26" t="str">
        <f t="shared" ref="C208" si="2">C55</f>
        <v>SC1/SC5</v>
      </c>
      <c r="D208" s="26" t="str">
        <f>D55</f>
        <v>SC3</v>
      </c>
      <c r="E208" s="26" t="str">
        <f>E55</f>
        <v>SC2 ND</v>
      </c>
      <c r="F208" s="26" t="str">
        <f>F55</f>
        <v>SC4</v>
      </c>
      <c r="G208" s="26" t="str">
        <f>G55</f>
        <v>SC6</v>
      </c>
      <c r="H208" s="26" t="str">
        <f>H55</f>
        <v>SC2 Dem</v>
      </c>
      <c r="I208" s="163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</row>
    <row r="209" spans="1:22" x14ac:dyDescent="0.2">
      <c r="A209" s="156"/>
      <c r="B209" s="115" t="s">
        <v>276</v>
      </c>
      <c r="C209" s="83">
        <f>'BGS Cost &amp; Bid Factors'!C538</f>
        <v>1.421</v>
      </c>
      <c r="D209" s="83">
        <f>'BGS Cost &amp; Bid Factors'!D538</f>
        <v>1.421</v>
      </c>
      <c r="E209" s="83">
        <f>'BGS Cost &amp; Bid Factors'!E538</f>
        <v>0.52300000000000002</v>
      </c>
      <c r="F209" s="83">
        <f>'BGS Cost &amp; Bid Factors'!F538</f>
        <v>1.147</v>
      </c>
      <c r="G209" s="83">
        <f>'BGS Cost &amp; Bid Factors'!G538</f>
        <v>1.147</v>
      </c>
      <c r="H209" s="83">
        <f>'BGS Cost &amp; Bid Factors'!H538</f>
        <v>0.52300000000000002</v>
      </c>
      <c r="I209" s="163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</row>
    <row r="210" spans="1:22" x14ac:dyDescent="0.2">
      <c r="A210" s="156"/>
      <c r="B210" s="115" t="s">
        <v>376</v>
      </c>
      <c r="C210" s="71"/>
      <c r="D210" s="71"/>
      <c r="E210" s="71"/>
      <c r="F210" s="71"/>
      <c r="G210" s="71"/>
      <c r="H210" s="114">
        <f>'BGS Cost &amp; Bid Factors'!H539</f>
        <v>1.32</v>
      </c>
      <c r="I210" s="163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</row>
    <row r="211" spans="1:22" x14ac:dyDescent="0.2">
      <c r="A211" s="115"/>
      <c r="B211" s="71"/>
      <c r="C211" s="71"/>
      <c r="D211" s="71"/>
      <c r="E211" s="71"/>
      <c r="F211" s="71"/>
      <c r="G211" s="71"/>
      <c r="H211" s="114">
        <f>'BGS Cost &amp; Bid Factors'!H540</f>
        <v>1.1100000000000001</v>
      </c>
      <c r="I211" s="163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</row>
    <row r="212" spans="1:22" x14ac:dyDescent="0.2">
      <c r="A212" s="115"/>
      <c r="B212" s="71"/>
      <c r="C212" s="71"/>
      <c r="D212" s="71"/>
      <c r="E212" s="71"/>
      <c r="F212" s="71"/>
      <c r="G212" s="71"/>
      <c r="H212" s="71"/>
      <c r="I212" s="163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</row>
    <row r="213" spans="1:22" x14ac:dyDescent="0.2">
      <c r="A213" s="115"/>
      <c r="B213" s="71"/>
      <c r="C213" s="71"/>
      <c r="D213" s="71"/>
      <c r="E213" s="71"/>
      <c r="F213" s="71"/>
      <c r="G213" s="71"/>
      <c r="H213" s="71"/>
      <c r="I213" s="163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</row>
    <row r="214" spans="1:22" x14ac:dyDescent="0.2">
      <c r="A214" s="115"/>
      <c r="B214" s="25" t="s">
        <v>279</v>
      </c>
      <c r="C214" s="71"/>
      <c r="D214" s="71"/>
      <c r="E214" s="71"/>
      <c r="F214" s="71"/>
      <c r="G214" s="71"/>
      <c r="H214" s="71"/>
      <c r="I214" s="163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</row>
    <row r="215" spans="1:22" x14ac:dyDescent="0.2">
      <c r="A215" s="115"/>
      <c r="B215" s="71"/>
      <c r="C215" s="71"/>
      <c r="D215" s="71"/>
      <c r="E215" s="71"/>
      <c r="F215" s="71"/>
      <c r="G215" s="71"/>
      <c r="H215" s="71"/>
      <c r="I215" s="163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</row>
    <row r="216" spans="1:22" x14ac:dyDescent="0.2">
      <c r="A216" s="115"/>
      <c r="B216" s="71"/>
      <c r="C216" s="71"/>
      <c r="D216" s="71"/>
      <c r="E216" s="71"/>
      <c r="F216" s="71"/>
      <c r="G216" s="71"/>
      <c r="H216" s="71"/>
      <c r="I216" s="163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</row>
    <row r="217" spans="1:22" x14ac:dyDescent="0.2">
      <c r="A217" s="115"/>
      <c r="B217" s="27" t="s">
        <v>68</v>
      </c>
      <c r="C217" s="71"/>
      <c r="D217" s="71"/>
      <c r="E217" s="71"/>
      <c r="F217" s="71"/>
      <c r="G217" s="71"/>
      <c r="H217" s="71"/>
      <c r="I217" s="163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</row>
    <row r="218" spans="1:22" x14ac:dyDescent="0.2">
      <c r="A218" s="115"/>
      <c r="B218" s="78" t="s">
        <v>265</v>
      </c>
      <c r="C218" s="92">
        <f t="shared" ref="C218:H225" si="3">IF(C121&gt;0,C121+C$209,"")</f>
        <v>9.5289999999999999</v>
      </c>
      <c r="D218" s="92" t="str">
        <f t="shared" si="3"/>
        <v/>
      </c>
      <c r="E218" s="92">
        <f t="shared" si="3"/>
        <v>7.4849999999999994</v>
      </c>
      <c r="F218" s="92">
        <f t="shared" si="3"/>
        <v>6.1589999999999998</v>
      </c>
      <c r="G218" s="92">
        <f t="shared" si="3"/>
        <v>6.1509999999999998</v>
      </c>
      <c r="H218" s="92">
        <f t="shared" si="3"/>
        <v>6.1619999999999999</v>
      </c>
      <c r="I218" s="163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</row>
    <row r="219" spans="1:22" x14ac:dyDescent="0.2">
      <c r="A219" s="115"/>
      <c r="B219" s="78" t="s">
        <v>266</v>
      </c>
      <c r="C219" s="92" t="str">
        <f t="shared" si="3"/>
        <v/>
      </c>
      <c r="D219" s="92">
        <f t="shared" si="3"/>
        <v>14.238</v>
      </c>
      <c r="E219" s="92" t="str">
        <f t="shared" si="3"/>
        <v/>
      </c>
      <c r="F219" s="92" t="str">
        <f t="shared" si="3"/>
        <v/>
      </c>
      <c r="G219" s="92" t="str">
        <f t="shared" si="3"/>
        <v/>
      </c>
      <c r="H219" s="92" t="str">
        <f t="shared" si="3"/>
        <v/>
      </c>
      <c r="I219" s="163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</row>
    <row r="220" spans="1:22" x14ac:dyDescent="0.2">
      <c r="A220" s="115"/>
      <c r="B220" s="78" t="s">
        <v>267</v>
      </c>
      <c r="C220" s="92" t="str">
        <f t="shared" si="3"/>
        <v/>
      </c>
      <c r="D220" s="92">
        <f t="shared" si="3"/>
        <v>6.3210000000000006</v>
      </c>
      <c r="E220" s="92" t="str">
        <f t="shared" si="3"/>
        <v/>
      </c>
      <c r="F220" s="92" t="str">
        <f t="shared" si="3"/>
        <v/>
      </c>
      <c r="G220" s="92" t="str">
        <f t="shared" si="3"/>
        <v/>
      </c>
      <c r="H220" s="92" t="str">
        <f t="shared" si="3"/>
        <v/>
      </c>
      <c r="I220" s="163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</row>
    <row r="221" spans="1:22" x14ac:dyDescent="0.2">
      <c r="A221" s="115"/>
      <c r="B221" s="76" t="s">
        <v>40</v>
      </c>
      <c r="C221" s="92">
        <f t="shared" si="3"/>
        <v>7.3639999999999999</v>
      </c>
      <c r="D221" s="92" t="str">
        <f t="shared" si="3"/>
        <v/>
      </c>
      <c r="E221" s="92" t="str">
        <f t="shared" si="3"/>
        <v/>
      </c>
      <c r="F221" s="92" t="str">
        <f t="shared" si="3"/>
        <v/>
      </c>
      <c r="G221" s="92" t="str">
        <f t="shared" si="3"/>
        <v/>
      </c>
      <c r="H221" s="92" t="str">
        <f t="shared" si="3"/>
        <v/>
      </c>
      <c r="I221" s="163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</row>
    <row r="222" spans="1:22" x14ac:dyDescent="0.2">
      <c r="A222" s="115"/>
      <c r="B222" s="78" t="s">
        <v>41</v>
      </c>
      <c r="C222" s="92">
        <f t="shared" si="3"/>
        <v>11.103999999999999</v>
      </c>
      <c r="D222" s="92" t="str">
        <f t="shared" si="3"/>
        <v/>
      </c>
      <c r="E222" s="92" t="str">
        <f t="shared" si="3"/>
        <v/>
      </c>
      <c r="F222" s="92" t="str">
        <f t="shared" si="3"/>
        <v/>
      </c>
      <c r="G222" s="92" t="str">
        <f t="shared" si="3"/>
        <v/>
      </c>
      <c r="H222" s="92" t="str">
        <f t="shared" si="3"/>
        <v/>
      </c>
      <c r="I222" s="163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</row>
    <row r="223" spans="1:22" x14ac:dyDescent="0.2">
      <c r="A223" s="115"/>
      <c r="B223" s="92"/>
      <c r="C223" s="92"/>
      <c r="D223" s="92" t="str">
        <f t="shared" si="3"/>
        <v/>
      </c>
      <c r="E223" s="92" t="str">
        <f t="shared" si="3"/>
        <v/>
      </c>
      <c r="F223" s="92" t="str">
        <f t="shared" si="3"/>
        <v/>
      </c>
      <c r="G223" s="92" t="str">
        <f t="shared" si="3"/>
        <v/>
      </c>
      <c r="H223" s="92" t="str">
        <f t="shared" si="3"/>
        <v/>
      </c>
      <c r="I223" s="163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</row>
    <row r="224" spans="1:22" x14ac:dyDescent="0.2">
      <c r="A224" s="115"/>
      <c r="B224" s="71"/>
      <c r="C224" s="92" t="str">
        <f t="shared" si="3"/>
        <v/>
      </c>
      <c r="D224" s="92" t="str">
        <f t="shared" si="3"/>
        <v/>
      </c>
      <c r="E224" s="92" t="str">
        <f t="shared" si="3"/>
        <v/>
      </c>
      <c r="F224" s="92" t="str">
        <f t="shared" si="3"/>
        <v/>
      </c>
      <c r="G224" s="92" t="str">
        <f t="shared" si="3"/>
        <v/>
      </c>
      <c r="H224" s="92" t="str">
        <f t="shared" si="3"/>
        <v/>
      </c>
      <c r="I224" s="163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</row>
    <row r="225" spans="1:22" x14ac:dyDescent="0.2">
      <c r="A225" s="115"/>
      <c r="B225" s="76" t="s">
        <v>268</v>
      </c>
      <c r="C225" s="92" t="str">
        <f t="shared" si="3"/>
        <v/>
      </c>
      <c r="D225" s="92" t="str">
        <f>IF(D128&gt;0,D128+D$209,"")</f>
        <v/>
      </c>
      <c r="E225" s="92" t="str">
        <f>IF(E128&gt;0,E128+E$209,"")</f>
        <v/>
      </c>
      <c r="F225" s="92" t="str">
        <f>IF(F128&gt;0,F128+F$209,"")</f>
        <v/>
      </c>
      <c r="G225" s="92" t="str">
        <f>IF(G128&gt;0,G128+G$209,"")</f>
        <v/>
      </c>
      <c r="H225" s="92">
        <f>IF(H128&gt;0,H128+H$210,"")</f>
        <v>2.8289999999999997</v>
      </c>
      <c r="I225" s="163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</row>
    <row r="226" spans="1:22" x14ac:dyDescent="0.2">
      <c r="A226" s="115"/>
      <c r="B226" s="76" t="s">
        <v>269</v>
      </c>
      <c r="C226" s="71"/>
      <c r="D226" s="71"/>
      <c r="E226" s="71"/>
      <c r="F226" s="71"/>
      <c r="G226" s="71"/>
      <c r="H226" s="92">
        <f>IF(H129&gt;0,H129+H$210,"")</f>
        <v>6.5470000000000006</v>
      </c>
      <c r="I226" s="163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</row>
    <row r="227" spans="1:22" x14ac:dyDescent="0.2">
      <c r="A227" s="115"/>
      <c r="B227" s="76"/>
      <c r="C227" s="71"/>
      <c r="D227" s="71"/>
      <c r="E227" s="71"/>
      <c r="F227" s="71"/>
      <c r="G227" s="71"/>
      <c r="H227" s="71"/>
      <c r="I227" s="163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</row>
    <row r="228" spans="1:22" x14ac:dyDescent="0.2">
      <c r="A228" s="115"/>
      <c r="B228" s="27" t="s">
        <v>61</v>
      </c>
      <c r="C228" s="71"/>
      <c r="D228" s="71"/>
      <c r="E228" s="71"/>
      <c r="F228" s="71"/>
      <c r="G228" s="71"/>
      <c r="H228" s="71"/>
      <c r="I228" s="163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</row>
    <row r="229" spans="1:22" x14ac:dyDescent="0.2">
      <c r="A229" s="115"/>
      <c r="B229" s="78" t="s">
        <v>265</v>
      </c>
      <c r="C229" s="92">
        <f t="shared" ref="C229:H233" si="4">IF(C132&gt;0,C132+C$209,"")</f>
        <v>9.4599999999999991</v>
      </c>
      <c r="D229" s="92" t="str">
        <f t="shared" si="4"/>
        <v/>
      </c>
      <c r="E229" s="92">
        <f t="shared" si="4"/>
        <v>6.6979999999999995</v>
      </c>
      <c r="F229" s="92">
        <f t="shared" si="4"/>
        <v>6.0790000000000006</v>
      </c>
      <c r="G229" s="92">
        <f t="shared" si="4"/>
        <v>6.0460000000000003</v>
      </c>
      <c r="H229" s="92">
        <f t="shared" si="4"/>
        <v>5.7569999999999997</v>
      </c>
      <c r="I229" s="163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</row>
    <row r="230" spans="1:22" x14ac:dyDescent="0.2">
      <c r="A230" s="115"/>
      <c r="B230" s="78" t="s">
        <v>266</v>
      </c>
      <c r="C230" s="92" t="str">
        <f t="shared" si="4"/>
        <v/>
      </c>
      <c r="D230" s="92">
        <f t="shared" si="4"/>
        <v>11.450999999999999</v>
      </c>
      <c r="E230" s="92" t="str">
        <f t="shared" si="4"/>
        <v/>
      </c>
      <c r="F230" s="92" t="str">
        <f t="shared" si="4"/>
        <v/>
      </c>
      <c r="G230" s="92" t="str">
        <f t="shared" si="4"/>
        <v/>
      </c>
      <c r="H230" s="92" t="str">
        <f t="shared" si="4"/>
        <v/>
      </c>
      <c r="I230" s="163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</row>
    <row r="231" spans="1:22" x14ac:dyDescent="0.2">
      <c r="A231" s="115"/>
      <c r="B231" s="78" t="s">
        <v>267</v>
      </c>
      <c r="C231" s="92" t="str">
        <f t="shared" si="4"/>
        <v/>
      </c>
      <c r="D231" s="92">
        <f t="shared" si="4"/>
        <v>6.3930000000000007</v>
      </c>
      <c r="E231" s="92" t="str">
        <f t="shared" si="4"/>
        <v/>
      </c>
      <c r="F231" s="92" t="str">
        <f t="shared" si="4"/>
        <v/>
      </c>
      <c r="G231" s="92" t="str">
        <f t="shared" si="4"/>
        <v/>
      </c>
      <c r="H231" s="92" t="str">
        <f t="shared" si="4"/>
        <v/>
      </c>
      <c r="I231" s="163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</row>
    <row r="232" spans="1:22" x14ac:dyDescent="0.2">
      <c r="A232" s="115"/>
      <c r="B232" s="71"/>
      <c r="C232" s="92" t="str">
        <f t="shared" si="4"/>
        <v/>
      </c>
      <c r="D232" s="92" t="str">
        <f t="shared" si="4"/>
        <v/>
      </c>
      <c r="E232" s="92" t="str">
        <f t="shared" si="4"/>
        <v/>
      </c>
      <c r="F232" s="92" t="str">
        <f t="shared" si="4"/>
        <v/>
      </c>
      <c r="G232" s="92" t="str">
        <f t="shared" si="4"/>
        <v/>
      </c>
      <c r="H232" s="92" t="str">
        <f t="shared" si="4"/>
        <v/>
      </c>
      <c r="I232" s="163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</row>
    <row r="233" spans="1:22" x14ac:dyDescent="0.2">
      <c r="A233" s="115"/>
      <c r="B233" s="76" t="s">
        <v>268</v>
      </c>
      <c r="C233" s="92" t="str">
        <f t="shared" si="4"/>
        <v/>
      </c>
      <c r="D233" s="92" t="str">
        <f>IF(D136&gt;0,D136+D$209,"")</f>
        <v/>
      </c>
      <c r="E233" s="92" t="str">
        <f>IF(E136&gt;0,E136+E$209,"")</f>
        <v/>
      </c>
      <c r="F233" s="92" t="str">
        <f>IF(F136&gt;0,F136+F$209,"")</f>
        <v/>
      </c>
      <c r="G233" s="92" t="str">
        <f>IF(G136&gt;0,G136+G$209,"")</f>
        <v/>
      </c>
      <c r="H233" s="92">
        <f>IF(H136&gt;0,H136+H$211,"")</f>
        <v>2.3380000000000001</v>
      </c>
      <c r="I233" s="163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</row>
    <row r="234" spans="1:22" x14ac:dyDescent="0.2">
      <c r="A234" s="115"/>
      <c r="B234" s="76" t="s">
        <v>269</v>
      </c>
      <c r="C234" s="71"/>
      <c r="D234" s="71"/>
      <c r="E234" s="71"/>
      <c r="F234" s="71"/>
      <c r="G234" s="71"/>
      <c r="H234" s="92">
        <f>IF(H137&gt;0,H137+H$211,"")</f>
        <v>5.452</v>
      </c>
      <c r="I234" s="163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</row>
    <row r="235" spans="1:22" x14ac:dyDescent="0.2">
      <c r="A235" s="115"/>
      <c r="B235" s="76"/>
      <c r="C235" s="71"/>
      <c r="D235" s="71"/>
      <c r="E235" s="71"/>
      <c r="F235" s="71"/>
      <c r="G235" s="71"/>
      <c r="H235" s="71"/>
      <c r="I235" s="163"/>
      <c r="J235" s="163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</row>
    <row r="236" spans="1:22" ht="13.5" thickBot="1" x14ac:dyDescent="0.25">
      <c r="A236" s="115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</row>
    <row r="237" spans="1:22" ht="13.5" thickBot="1" x14ac:dyDescent="0.25">
      <c r="A237" s="261" t="s">
        <v>377</v>
      </c>
      <c r="B237" s="262"/>
      <c r="C237" s="262"/>
      <c r="D237" s="262"/>
      <c r="E237" s="262"/>
      <c r="F237" s="262"/>
      <c r="G237" s="262"/>
      <c r="H237" s="262"/>
      <c r="I237" s="262"/>
      <c r="J237" s="262"/>
      <c r="K237" s="262"/>
      <c r="L237" s="262"/>
      <c r="M237" s="262"/>
      <c r="N237" s="262"/>
      <c r="O237" s="262"/>
      <c r="P237" s="262"/>
      <c r="Q237" s="262"/>
      <c r="R237" s="262"/>
      <c r="S237" s="262"/>
      <c r="T237" s="262"/>
      <c r="U237" s="262"/>
      <c r="V237" s="263"/>
    </row>
    <row r="238" spans="1:22" ht="13.5" thickBot="1" x14ac:dyDescent="0.25">
      <c r="A238" s="115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</row>
    <row r="239" spans="1:22" x14ac:dyDescent="0.2">
      <c r="A239" s="115"/>
      <c r="B239" s="264" t="s">
        <v>378</v>
      </c>
      <c r="C239" s="265"/>
      <c r="D239" s="265"/>
      <c r="E239" s="266"/>
      <c r="F239" s="190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</row>
    <row r="240" spans="1:22" x14ac:dyDescent="0.2">
      <c r="A240" s="115"/>
      <c r="B240" s="267"/>
      <c r="C240" s="148"/>
      <c r="D240" s="148"/>
      <c r="E240" s="268"/>
      <c r="F240" s="192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</row>
    <row r="241" spans="1:22" x14ac:dyDescent="0.2">
      <c r="A241" s="115"/>
      <c r="B241" s="269" t="s">
        <v>379</v>
      </c>
      <c r="C241" s="148"/>
      <c r="D241" s="148"/>
      <c r="E241" s="268"/>
      <c r="F241" s="192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</row>
    <row r="242" spans="1:22" x14ac:dyDescent="0.2">
      <c r="A242" s="115"/>
      <c r="B242" s="267"/>
      <c r="C242" s="148"/>
      <c r="D242" s="149" t="s">
        <v>380</v>
      </c>
      <c r="E242" s="270" t="s">
        <v>381</v>
      </c>
      <c r="F242" s="271" t="s">
        <v>35</v>
      </c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</row>
    <row r="243" spans="1:22" x14ac:dyDescent="0.2">
      <c r="A243" s="115"/>
      <c r="B243" s="267"/>
      <c r="C243" s="148"/>
      <c r="D243" s="148"/>
      <c r="E243" s="268"/>
      <c r="F243" s="192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</row>
    <row r="244" spans="1:22" x14ac:dyDescent="0.2">
      <c r="A244" s="115"/>
      <c r="B244" s="267"/>
      <c r="C244" s="148" t="s">
        <v>68</v>
      </c>
      <c r="D244" s="272">
        <v>367385</v>
      </c>
      <c r="E244" s="272">
        <v>49230</v>
      </c>
      <c r="F244" s="273">
        <f>SUM(D244:E244)</f>
        <v>416615</v>
      </c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</row>
    <row r="245" spans="1:22" x14ac:dyDescent="0.2">
      <c r="A245" s="115"/>
      <c r="B245" s="267"/>
      <c r="C245" s="148" t="s">
        <v>61</v>
      </c>
      <c r="D245" s="272">
        <v>545278</v>
      </c>
      <c r="E245" s="272">
        <v>73068</v>
      </c>
      <c r="F245" s="273">
        <f>SUM(D245:E245)</f>
        <v>618346</v>
      </c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</row>
    <row r="246" spans="1:22" x14ac:dyDescent="0.2">
      <c r="A246" s="115"/>
      <c r="B246" s="267"/>
      <c r="C246" s="274" t="s">
        <v>35</v>
      </c>
      <c r="D246" s="275">
        <f>SUM(D244:D245)</f>
        <v>912663</v>
      </c>
      <c r="E246" s="275">
        <f t="shared" ref="E246:F246" si="5">SUM(E244:E245)</f>
        <v>122298</v>
      </c>
      <c r="F246" s="275">
        <f t="shared" si="5"/>
        <v>1034961</v>
      </c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</row>
    <row r="247" spans="1:22" x14ac:dyDescent="0.2">
      <c r="A247" s="115"/>
      <c r="B247" s="267"/>
      <c r="C247" s="148"/>
      <c r="D247" s="148"/>
      <c r="E247" s="268"/>
      <c r="F247" s="192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</row>
    <row r="248" spans="1:22" x14ac:dyDescent="0.2">
      <c r="A248" s="115"/>
      <c r="B248" s="269" t="s">
        <v>382</v>
      </c>
      <c r="C248" s="148"/>
      <c r="D248" s="148"/>
      <c r="E248" s="268"/>
      <c r="F248" s="192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</row>
    <row r="249" spans="1:22" x14ac:dyDescent="0.2">
      <c r="A249" s="115"/>
      <c r="B249" s="267"/>
      <c r="C249" s="148"/>
      <c r="D249" s="149" t="s">
        <v>380</v>
      </c>
      <c r="E249" s="270" t="s">
        <v>381</v>
      </c>
      <c r="F249" s="271" t="s">
        <v>35</v>
      </c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</row>
    <row r="250" spans="1:22" x14ac:dyDescent="0.2">
      <c r="A250" s="115"/>
      <c r="B250" s="267"/>
      <c r="C250" s="148"/>
      <c r="D250" s="148"/>
      <c r="E250" s="268"/>
      <c r="F250" s="192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</row>
    <row r="251" spans="1:22" x14ac:dyDescent="0.2">
      <c r="A251" s="115"/>
      <c r="B251" s="267"/>
      <c r="C251" s="148" t="s">
        <v>68</v>
      </c>
      <c r="D251" s="272">
        <v>394915.23045088351</v>
      </c>
      <c r="E251" s="272">
        <v>53425.313509613734</v>
      </c>
      <c r="F251" s="273">
        <f>SUM(D251:E251)</f>
        <v>448340.54396049725</v>
      </c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</row>
    <row r="252" spans="1:22" x14ac:dyDescent="0.2">
      <c r="A252" s="115"/>
      <c r="B252" s="267"/>
      <c r="C252" s="148" t="s">
        <v>61</v>
      </c>
      <c r="D252" s="272">
        <v>586129.18296993652</v>
      </c>
      <c r="E252" s="272">
        <v>78542.112215780144</v>
      </c>
      <c r="F252" s="273">
        <f>SUM(D252:E252)</f>
        <v>664671.29518571671</v>
      </c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</row>
    <row r="253" spans="1:22" x14ac:dyDescent="0.2">
      <c r="A253" s="115"/>
      <c r="B253" s="276"/>
      <c r="C253" s="274" t="s">
        <v>35</v>
      </c>
      <c r="D253" s="275">
        <f>SUM(D251:D252)</f>
        <v>981044.41342082003</v>
      </c>
      <c r="E253" s="275">
        <f t="shared" ref="E253:F253" si="6">SUM(E251:E252)</f>
        <v>131967.42572539387</v>
      </c>
      <c r="F253" s="275">
        <f t="shared" si="6"/>
        <v>1113011.8391462141</v>
      </c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</row>
    <row r="254" spans="1:22" ht="13.5" thickBot="1" x14ac:dyDescent="0.25">
      <c r="A254" s="115"/>
      <c r="B254" s="194"/>
      <c r="C254" s="277"/>
      <c r="D254" s="277"/>
      <c r="E254" s="278"/>
      <c r="F254" s="229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</row>
    <row r="255" spans="1:22" x14ac:dyDescent="0.2">
      <c r="A255" s="115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</row>
    <row r="256" spans="1:22" ht="13.5" thickBot="1" x14ac:dyDescent="0.25">
      <c r="A256" s="115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</row>
    <row r="257" spans="1:22" ht="16.5" thickBot="1" x14ac:dyDescent="0.3">
      <c r="A257" s="115"/>
      <c r="B257" s="279"/>
      <c r="C257" s="280"/>
      <c r="D257" s="281" t="s">
        <v>383</v>
      </c>
      <c r="E257" s="313" t="s">
        <v>384</v>
      </c>
      <c r="F257" s="313"/>
      <c r="G257" s="314"/>
      <c r="H257" s="313" t="s">
        <v>385</v>
      </c>
      <c r="I257" s="313"/>
      <c r="J257" s="313"/>
      <c r="K257" s="312" t="s">
        <v>386</v>
      </c>
      <c r="L257" s="313"/>
      <c r="M257" s="314"/>
      <c r="N257" s="313" t="s">
        <v>114</v>
      </c>
      <c r="O257" s="313"/>
      <c r="P257" s="312" t="s">
        <v>387</v>
      </c>
      <c r="Q257" s="313"/>
      <c r="R257" s="314"/>
      <c r="S257" s="312" t="s">
        <v>388</v>
      </c>
      <c r="T257" s="313"/>
      <c r="U257" s="314"/>
      <c r="V257" s="71"/>
    </row>
    <row r="258" spans="1:22" ht="29.25" customHeight="1" thickBot="1" x14ac:dyDescent="0.25">
      <c r="A258" s="115"/>
      <c r="B258" s="282"/>
      <c r="C258" s="283"/>
      <c r="D258" s="284" t="s">
        <v>389</v>
      </c>
      <c r="E258" s="285" t="s">
        <v>390</v>
      </c>
      <c r="F258" s="285" t="s">
        <v>391</v>
      </c>
      <c r="G258" s="286" t="s">
        <v>392</v>
      </c>
      <c r="H258" s="285" t="s">
        <v>389</v>
      </c>
      <c r="I258" s="285" t="s">
        <v>391</v>
      </c>
      <c r="J258" s="285" t="s">
        <v>392</v>
      </c>
      <c r="K258" s="287" t="s">
        <v>389</v>
      </c>
      <c r="L258" s="285" t="s">
        <v>393</v>
      </c>
      <c r="M258" s="286" t="s">
        <v>392</v>
      </c>
      <c r="N258" s="285" t="s">
        <v>394</v>
      </c>
      <c r="O258" s="285" t="s">
        <v>392</v>
      </c>
      <c r="P258" s="287" t="s">
        <v>395</v>
      </c>
      <c r="Q258" s="285" t="s">
        <v>396</v>
      </c>
      <c r="R258" s="286" t="s">
        <v>392</v>
      </c>
      <c r="S258" s="287" t="s">
        <v>395</v>
      </c>
      <c r="T258" s="285" t="s">
        <v>396</v>
      </c>
      <c r="U258" s="286" t="s">
        <v>392</v>
      </c>
      <c r="V258" s="71"/>
    </row>
    <row r="259" spans="1:22" x14ac:dyDescent="0.2">
      <c r="A259" s="115"/>
      <c r="B259" s="288"/>
      <c r="C259" s="289"/>
      <c r="D259" s="290"/>
      <c r="E259" s="254"/>
      <c r="F259" s="254"/>
      <c r="G259" s="254"/>
      <c r="H259" s="290"/>
      <c r="I259" s="290"/>
      <c r="J259" s="157"/>
      <c r="K259" s="291"/>
      <c r="L259" s="292"/>
      <c r="M259" s="293"/>
      <c r="N259" s="290"/>
      <c r="O259" s="157"/>
      <c r="P259" s="291"/>
      <c r="Q259" s="292"/>
      <c r="R259" s="192"/>
      <c r="S259" s="291"/>
      <c r="T259" s="292"/>
      <c r="U259" s="192"/>
      <c r="V259" s="71"/>
    </row>
    <row r="260" spans="1:22" x14ac:dyDescent="0.2">
      <c r="A260" s="115"/>
      <c r="B260" s="294">
        <v>43983</v>
      </c>
      <c r="C260" s="289"/>
      <c r="D260" s="295">
        <v>8166</v>
      </c>
      <c r="E260" s="255"/>
      <c r="F260" s="255"/>
      <c r="G260" s="255"/>
      <c r="H260" s="295">
        <v>7200</v>
      </c>
      <c r="I260" s="295">
        <v>34.81</v>
      </c>
      <c r="J260" s="256">
        <f t="shared" ref="J260:J271" si="7">H260*I260</f>
        <v>250632.00000000003</v>
      </c>
      <c r="K260" s="296">
        <f>D260-E260-H260</f>
        <v>966</v>
      </c>
      <c r="L260" s="295">
        <v>26.627777777777776</v>
      </c>
      <c r="M260" s="257">
        <f t="shared" ref="M260:M271" si="8">K260*L260</f>
        <v>25722.433333333331</v>
      </c>
      <c r="N260" s="295">
        <v>2.1120899999999998</v>
      </c>
      <c r="O260" s="256">
        <f t="shared" ref="O260:O271" si="9">N260*(K260+H260)</f>
        <v>17247.326939999999</v>
      </c>
      <c r="P260" s="295">
        <v>0</v>
      </c>
      <c r="Q260" s="295">
        <v>0</v>
      </c>
      <c r="R260" s="257">
        <f>P260*Q260*1000</f>
        <v>0</v>
      </c>
      <c r="S260" s="295">
        <v>44.172203995226482</v>
      </c>
      <c r="T260" s="295">
        <v>5.1100000000000003</v>
      </c>
      <c r="U260" s="257">
        <f>S260*T260*1000</f>
        <v>225719.96241560736</v>
      </c>
      <c r="V260" s="71"/>
    </row>
    <row r="261" spans="1:22" x14ac:dyDescent="0.2">
      <c r="A261" s="115"/>
      <c r="B261" s="294">
        <f>B260+31-DAY(B260+31)+1</f>
        <v>44013</v>
      </c>
      <c r="C261" s="289"/>
      <c r="D261" s="295">
        <v>11344</v>
      </c>
      <c r="E261" s="255"/>
      <c r="F261" s="255"/>
      <c r="G261" s="255"/>
      <c r="H261" s="295">
        <v>7440</v>
      </c>
      <c r="I261" s="295">
        <v>34.81</v>
      </c>
      <c r="J261" s="256">
        <f t="shared" si="7"/>
        <v>258986.40000000002</v>
      </c>
      <c r="K261" s="296">
        <f t="shared" ref="K261:K271" si="10">D261-E261-H261</f>
        <v>3904</v>
      </c>
      <c r="L261" s="295">
        <v>32.411290322580648</v>
      </c>
      <c r="M261" s="257">
        <f t="shared" si="8"/>
        <v>126533.67741935485</v>
      </c>
      <c r="N261" s="295">
        <v>1.7971299999999999</v>
      </c>
      <c r="O261" s="256">
        <f t="shared" si="9"/>
        <v>20386.64272</v>
      </c>
      <c r="P261" s="295">
        <v>0</v>
      </c>
      <c r="Q261" s="295">
        <v>0</v>
      </c>
      <c r="R261" s="257">
        <f t="shared" ref="R261:R271" si="11">P261*Q261*1000</f>
        <v>0</v>
      </c>
      <c r="S261" s="295">
        <v>44.172203995226482</v>
      </c>
      <c r="T261" s="295">
        <v>5.1100000000000003</v>
      </c>
      <c r="U261" s="257">
        <f t="shared" ref="U261:U271" si="12">S261*T261*1000</f>
        <v>225719.96241560736</v>
      </c>
      <c r="V261" s="71"/>
    </row>
    <row r="262" spans="1:22" x14ac:dyDescent="0.2">
      <c r="A262" s="115"/>
      <c r="B262" s="294">
        <f t="shared" ref="B262:B271" si="13">B261+31-DAY(B261+31)+1</f>
        <v>44044</v>
      </c>
      <c r="C262" s="289"/>
      <c r="D262" s="295">
        <v>10551</v>
      </c>
      <c r="E262" s="255"/>
      <c r="F262" s="255"/>
      <c r="G262" s="255"/>
      <c r="H262" s="295">
        <v>7440</v>
      </c>
      <c r="I262" s="295">
        <v>34.81</v>
      </c>
      <c r="J262" s="256">
        <f t="shared" si="7"/>
        <v>258986.40000000002</v>
      </c>
      <c r="K262" s="296">
        <f t="shared" si="10"/>
        <v>3111</v>
      </c>
      <c r="L262" s="295">
        <v>29.524193548387096</v>
      </c>
      <c r="M262" s="257">
        <f t="shared" si="8"/>
        <v>91849.766129032258</v>
      </c>
      <c r="N262" s="295">
        <v>1.84619</v>
      </c>
      <c r="O262" s="256">
        <f t="shared" si="9"/>
        <v>19479.150689999999</v>
      </c>
      <c r="P262" s="295">
        <v>0</v>
      </c>
      <c r="Q262" s="295">
        <v>0</v>
      </c>
      <c r="R262" s="257">
        <f t="shared" si="11"/>
        <v>0</v>
      </c>
      <c r="S262" s="295">
        <v>44.172203995226482</v>
      </c>
      <c r="T262" s="295">
        <v>5.23</v>
      </c>
      <c r="U262" s="257">
        <f t="shared" si="12"/>
        <v>231020.62689503451</v>
      </c>
      <c r="V262" s="71"/>
    </row>
    <row r="263" spans="1:22" x14ac:dyDescent="0.2">
      <c r="A263" s="115"/>
      <c r="B263" s="294">
        <f t="shared" si="13"/>
        <v>44075</v>
      </c>
      <c r="C263" s="289"/>
      <c r="D263" s="295">
        <v>7883</v>
      </c>
      <c r="E263" s="255"/>
      <c r="F263" s="255"/>
      <c r="G263" s="255"/>
      <c r="H263" s="295">
        <v>7200</v>
      </c>
      <c r="I263" s="295">
        <v>34.81</v>
      </c>
      <c r="J263" s="256">
        <f t="shared" si="7"/>
        <v>250632.00000000003</v>
      </c>
      <c r="K263" s="296">
        <f t="shared" si="10"/>
        <v>683</v>
      </c>
      <c r="L263" s="295">
        <v>26.133333333333333</v>
      </c>
      <c r="M263" s="257">
        <f t="shared" si="8"/>
        <v>17849.066666666666</v>
      </c>
      <c r="N263" s="295">
        <v>1.7984899999999999</v>
      </c>
      <c r="O263" s="256">
        <f t="shared" si="9"/>
        <v>14177.496669999999</v>
      </c>
      <c r="P263" s="295">
        <v>0</v>
      </c>
      <c r="Q263" s="295">
        <v>0</v>
      </c>
      <c r="R263" s="257">
        <f t="shared" si="11"/>
        <v>0</v>
      </c>
      <c r="S263" s="295">
        <v>44.172203995226482</v>
      </c>
      <c r="T263" s="295">
        <v>5.21</v>
      </c>
      <c r="U263" s="257">
        <f t="shared" si="12"/>
        <v>230137.18281512996</v>
      </c>
      <c r="V263" s="71"/>
    </row>
    <row r="264" spans="1:22" x14ac:dyDescent="0.2">
      <c r="A264" s="115"/>
      <c r="B264" s="294">
        <f t="shared" si="13"/>
        <v>44105</v>
      </c>
      <c r="C264" s="289"/>
      <c r="D264" s="295">
        <v>7163</v>
      </c>
      <c r="E264" s="255"/>
      <c r="F264" s="255"/>
      <c r="G264" s="255"/>
      <c r="H264" s="295">
        <v>7440</v>
      </c>
      <c r="I264" s="295">
        <v>34.81</v>
      </c>
      <c r="J264" s="256">
        <f t="shared" si="7"/>
        <v>258986.40000000002</v>
      </c>
      <c r="K264" s="296">
        <f t="shared" si="10"/>
        <v>-277</v>
      </c>
      <c r="L264" s="295">
        <v>25.626344086021504</v>
      </c>
      <c r="M264" s="257">
        <f t="shared" si="8"/>
        <v>-7098.4973118279568</v>
      </c>
      <c r="N264" s="295">
        <v>1.9926999999999999</v>
      </c>
      <c r="O264" s="256">
        <f t="shared" si="9"/>
        <v>14273.7101</v>
      </c>
      <c r="P264" s="295">
        <v>0</v>
      </c>
      <c r="Q264" s="295">
        <v>0</v>
      </c>
      <c r="R264" s="257">
        <f t="shared" si="11"/>
        <v>0</v>
      </c>
      <c r="S264" s="295">
        <v>44.172203995226482</v>
      </c>
      <c r="T264" s="295">
        <v>5.21</v>
      </c>
      <c r="U264" s="257">
        <f t="shared" si="12"/>
        <v>230137.18281512996</v>
      </c>
      <c r="V264" s="71"/>
    </row>
    <row r="265" spans="1:22" x14ac:dyDescent="0.2">
      <c r="A265" s="115"/>
      <c r="B265" s="294">
        <f t="shared" si="13"/>
        <v>44136</v>
      </c>
      <c r="C265" s="289"/>
      <c r="D265" s="295">
        <v>7294</v>
      </c>
      <c r="E265" s="255"/>
      <c r="F265" s="255"/>
      <c r="G265" s="255"/>
      <c r="H265" s="295">
        <v>7200</v>
      </c>
      <c r="I265" s="295">
        <v>34.81</v>
      </c>
      <c r="J265" s="256">
        <f t="shared" si="7"/>
        <v>250632.00000000003</v>
      </c>
      <c r="K265" s="296">
        <f t="shared" si="10"/>
        <v>94</v>
      </c>
      <c r="L265" s="295">
        <v>27.361111111111111</v>
      </c>
      <c r="M265" s="257">
        <f t="shared" si="8"/>
        <v>2571.9444444444443</v>
      </c>
      <c r="N265" s="295">
        <v>1.9083699999999999</v>
      </c>
      <c r="O265" s="256">
        <f t="shared" si="9"/>
        <v>13919.65078</v>
      </c>
      <c r="P265" s="295">
        <v>0</v>
      </c>
      <c r="Q265" s="295">
        <v>0</v>
      </c>
      <c r="R265" s="257">
        <f t="shared" si="11"/>
        <v>0</v>
      </c>
      <c r="S265" s="295">
        <v>44.172203995226482</v>
      </c>
      <c r="T265" s="295">
        <v>1.02</v>
      </c>
      <c r="U265" s="257">
        <f t="shared" si="12"/>
        <v>45055.648075131008</v>
      </c>
      <c r="V265" s="71"/>
    </row>
    <row r="266" spans="1:22" x14ac:dyDescent="0.2">
      <c r="A266" s="115"/>
      <c r="B266" s="294">
        <f t="shared" si="13"/>
        <v>44166</v>
      </c>
      <c r="C266" s="289"/>
      <c r="D266" s="295">
        <v>9292</v>
      </c>
      <c r="E266" s="255"/>
      <c r="F266" s="255"/>
      <c r="G266" s="255"/>
      <c r="H266" s="295">
        <v>7440</v>
      </c>
      <c r="I266" s="295">
        <v>34.81</v>
      </c>
      <c r="J266" s="256">
        <f t="shared" si="7"/>
        <v>258986.40000000002</v>
      </c>
      <c r="K266" s="296">
        <f t="shared" si="10"/>
        <v>1852</v>
      </c>
      <c r="L266" s="295">
        <v>40.666666666666664</v>
      </c>
      <c r="M266" s="257">
        <f t="shared" si="8"/>
        <v>75314.666666666657</v>
      </c>
      <c r="N266" s="295">
        <v>1.83406</v>
      </c>
      <c r="O266" s="256">
        <f t="shared" si="9"/>
        <v>17042.085520000001</v>
      </c>
      <c r="P266" s="295">
        <v>0</v>
      </c>
      <c r="Q266" s="295">
        <v>0</v>
      </c>
      <c r="R266" s="257">
        <f t="shared" si="11"/>
        <v>0</v>
      </c>
      <c r="S266" s="295">
        <v>44.172203995226482</v>
      </c>
      <c r="T266" s="295">
        <v>1.02</v>
      </c>
      <c r="U266" s="257">
        <f t="shared" si="12"/>
        <v>45055.648075131008</v>
      </c>
      <c r="V266" s="71"/>
    </row>
    <row r="267" spans="1:22" x14ac:dyDescent="0.2">
      <c r="A267" s="115"/>
      <c r="B267" s="294">
        <f t="shared" si="13"/>
        <v>44197</v>
      </c>
      <c r="C267" s="289"/>
      <c r="D267" s="295">
        <v>9428</v>
      </c>
      <c r="E267" s="255"/>
      <c r="F267" s="255"/>
      <c r="G267" s="255"/>
      <c r="H267" s="295">
        <v>7440</v>
      </c>
      <c r="I267" s="295">
        <v>34.81</v>
      </c>
      <c r="J267" s="256">
        <f t="shared" si="7"/>
        <v>258986.40000000002</v>
      </c>
      <c r="K267" s="296">
        <f t="shared" si="10"/>
        <v>1988</v>
      </c>
      <c r="L267" s="295">
        <v>59.6505376344086</v>
      </c>
      <c r="M267" s="257">
        <f t="shared" si="8"/>
        <v>118585.2688172043</v>
      </c>
      <c r="N267" s="295">
        <v>1.66137</v>
      </c>
      <c r="O267" s="256">
        <f t="shared" si="9"/>
        <v>15663.396360000001</v>
      </c>
      <c r="P267" s="295">
        <v>0</v>
      </c>
      <c r="Q267" s="295">
        <v>0</v>
      </c>
      <c r="R267" s="257">
        <f t="shared" si="11"/>
        <v>0</v>
      </c>
      <c r="S267" s="295">
        <v>44.172203995226482</v>
      </c>
      <c r="T267" s="295">
        <v>1.02</v>
      </c>
      <c r="U267" s="257">
        <f t="shared" si="12"/>
        <v>45055.648075131008</v>
      </c>
      <c r="V267" s="71"/>
    </row>
    <row r="268" spans="1:22" x14ac:dyDescent="0.2">
      <c r="A268" s="115"/>
      <c r="B268" s="294">
        <f t="shared" si="13"/>
        <v>44228</v>
      </c>
      <c r="C268" s="289"/>
      <c r="D268" s="295">
        <v>8219</v>
      </c>
      <c r="E268" s="255"/>
      <c r="F268" s="255"/>
      <c r="G268" s="255"/>
      <c r="H268" s="295">
        <v>6960</v>
      </c>
      <c r="I268" s="295">
        <v>34.81</v>
      </c>
      <c r="J268" s="256">
        <f t="shared" si="7"/>
        <v>242277.6</v>
      </c>
      <c r="K268" s="296">
        <f t="shared" si="10"/>
        <v>1259</v>
      </c>
      <c r="L268" s="295">
        <v>56.477011494252871</v>
      </c>
      <c r="M268" s="257">
        <f t="shared" si="8"/>
        <v>71104.557471264357</v>
      </c>
      <c r="N268" s="295">
        <v>1.65951</v>
      </c>
      <c r="O268" s="256">
        <f t="shared" si="9"/>
        <v>13639.51269</v>
      </c>
      <c r="P268" s="295">
        <v>0</v>
      </c>
      <c r="Q268" s="295">
        <v>0</v>
      </c>
      <c r="R268" s="257">
        <f t="shared" si="11"/>
        <v>0</v>
      </c>
      <c r="S268" s="295">
        <v>44.172203995226482</v>
      </c>
      <c r="T268" s="295">
        <v>1.02</v>
      </c>
      <c r="U268" s="257">
        <f t="shared" si="12"/>
        <v>45055.648075131008</v>
      </c>
      <c r="V268" s="71"/>
    </row>
    <row r="269" spans="1:22" x14ac:dyDescent="0.2">
      <c r="A269" s="115"/>
      <c r="B269" s="294">
        <f t="shared" si="13"/>
        <v>44256</v>
      </c>
      <c r="C269" s="289"/>
      <c r="D269" s="295">
        <v>8438</v>
      </c>
      <c r="E269" s="255"/>
      <c r="F269" s="255"/>
      <c r="G269" s="255"/>
      <c r="H269" s="295">
        <v>7440</v>
      </c>
      <c r="I269" s="295">
        <v>34.81</v>
      </c>
      <c r="J269" s="256">
        <f t="shared" si="7"/>
        <v>258986.40000000002</v>
      </c>
      <c r="K269" s="296">
        <f t="shared" si="10"/>
        <v>998</v>
      </c>
      <c r="L269" s="295">
        <v>37.112903225806448</v>
      </c>
      <c r="M269" s="257">
        <f t="shared" si="8"/>
        <v>37038.677419354834</v>
      </c>
      <c r="N269" s="295">
        <v>1.64815</v>
      </c>
      <c r="O269" s="256">
        <f t="shared" si="9"/>
        <v>13907.0897</v>
      </c>
      <c r="P269" s="295">
        <v>0</v>
      </c>
      <c r="Q269" s="295">
        <v>0</v>
      </c>
      <c r="R269" s="257">
        <f t="shared" si="11"/>
        <v>0</v>
      </c>
      <c r="S269" s="295">
        <v>44.172203995226482</v>
      </c>
      <c r="T269" s="295">
        <v>1.02</v>
      </c>
      <c r="U269" s="257">
        <f t="shared" si="12"/>
        <v>45055.648075131008</v>
      </c>
      <c r="V269" s="71"/>
    </row>
    <row r="270" spans="1:22" x14ac:dyDescent="0.2">
      <c r="A270" s="115"/>
      <c r="B270" s="294">
        <f t="shared" si="13"/>
        <v>44287</v>
      </c>
      <c r="C270" s="289"/>
      <c r="D270" s="295">
        <v>7194</v>
      </c>
      <c r="E270" s="255"/>
      <c r="F270" s="255"/>
      <c r="G270" s="255"/>
      <c r="H270" s="295">
        <v>7200</v>
      </c>
      <c r="I270" s="295">
        <v>34.81</v>
      </c>
      <c r="J270" s="256">
        <f t="shared" si="7"/>
        <v>250632.00000000003</v>
      </c>
      <c r="K270" s="296">
        <f t="shared" si="10"/>
        <v>-6</v>
      </c>
      <c r="L270" s="295">
        <v>31.494444444444444</v>
      </c>
      <c r="M270" s="257">
        <f t="shared" si="8"/>
        <v>-188.96666666666667</v>
      </c>
      <c r="N270" s="295">
        <v>1.74875</v>
      </c>
      <c r="O270" s="256">
        <f t="shared" si="9"/>
        <v>12580.5075</v>
      </c>
      <c r="P270" s="295">
        <v>0</v>
      </c>
      <c r="Q270" s="295">
        <v>0</v>
      </c>
      <c r="R270" s="257">
        <f t="shared" si="11"/>
        <v>0</v>
      </c>
      <c r="S270" s="295">
        <v>44.172203995226482</v>
      </c>
      <c r="T270" s="295">
        <v>1.02</v>
      </c>
      <c r="U270" s="257">
        <f t="shared" si="12"/>
        <v>45055.648075131008</v>
      </c>
      <c r="V270" s="71"/>
    </row>
    <row r="271" spans="1:22" x14ac:dyDescent="0.2">
      <c r="A271" s="115"/>
      <c r="B271" s="294">
        <f t="shared" si="13"/>
        <v>44317</v>
      </c>
      <c r="C271" s="289"/>
      <c r="D271" s="295">
        <v>8119</v>
      </c>
      <c r="E271" s="255"/>
      <c r="F271" s="255"/>
      <c r="G271" s="255"/>
      <c r="H271" s="295">
        <v>7440</v>
      </c>
      <c r="I271" s="295">
        <v>34.81</v>
      </c>
      <c r="J271" s="256">
        <f t="shared" si="7"/>
        <v>258986.40000000002</v>
      </c>
      <c r="K271" s="296">
        <f t="shared" si="10"/>
        <v>679</v>
      </c>
      <c r="L271" s="295">
        <v>29.408602150537636</v>
      </c>
      <c r="M271" s="257">
        <f t="shared" si="8"/>
        <v>19968.440860215054</v>
      </c>
      <c r="N271" s="295">
        <v>1.9372499999999999</v>
      </c>
      <c r="O271" s="256">
        <f t="shared" si="9"/>
        <v>15728.532749999998</v>
      </c>
      <c r="P271" s="295">
        <v>0</v>
      </c>
      <c r="Q271" s="295">
        <v>0</v>
      </c>
      <c r="R271" s="257">
        <f t="shared" si="11"/>
        <v>0</v>
      </c>
      <c r="S271" s="295">
        <v>44.172203995226482</v>
      </c>
      <c r="T271" s="295">
        <v>10.1</v>
      </c>
      <c r="U271" s="257">
        <f t="shared" si="12"/>
        <v>446139.2603517875</v>
      </c>
      <c r="V271" s="71"/>
    </row>
    <row r="272" spans="1:22" ht="13.5" thickBot="1" x14ac:dyDescent="0.25">
      <c r="A272" s="115"/>
      <c r="B272" s="297"/>
      <c r="C272" s="229"/>
      <c r="D272" s="290"/>
      <c r="E272" s="298"/>
      <c r="F272" s="298"/>
      <c r="G272" s="299"/>
      <c r="H272" s="290"/>
      <c r="I272" s="290"/>
      <c r="J272" s="298"/>
      <c r="K272" s="300"/>
      <c r="L272" s="298"/>
      <c r="M272" s="299"/>
      <c r="N272" s="290"/>
      <c r="O272" s="298"/>
      <c r="P272" s="300"/>
      <c r="Q272" s="298"/>
      <c r="R272" s="229"/>
      <c r="S272" s="300"/>
      <c r="T272" s="298"/>
      <c r="U272" s="229"/>
      <c r="V272" s="71"/>
    </row>
    <row r="273" spans="1:22" ht="13.5" thickBot="1" x14ac:dyDescent="0.25">
      <c r="A273" s="115"/>
      <c r="B273" s="301" t="s">
        <v>35</v>
      </c>
      <c r="C273" s="302"/>
      <c r="D273" s="303">
        <f>SUM(D260:D272)</f>
        <v>103091</v>
      </c>
      <c r="E273" s="304">
        <v>0</v>
      </c>
      <c r="F273" s="305">
        <v>0</v>
      </c>
      <c r="G273" s="306">
        <v>0</v>
      </c>
      <c r="H273" s="304">
        <f>SUM(H260:H272)</f>
        <v>87840</v>
      </c>
      <c r="I273" s="305"/>
      <c r="J273" s="304">
        <f>SUM(J260:J272)</f>
        <v>3057710.4</v>
      </c>
      <c r="K273" s="307">
        <f>SUM(K260:K272)</f>
        <v>15251</v>
      </c>
      <c r="L273" s="305"/>
      <c r="M273" s="306">
        <f>SUM(M260:M272)</f>
        <v>579251.03524904209</v>
      </c>
      <c r="N273" s="308">
        <f>O273/D273</f>
        <v>1.8240690498685628</v>
      </c>
      <c r="O273" s="304">
        <f>SUM(O260:O271)</f>
        <v>188045.10242000001</v>
      </c>
      <c r="P273" s="309"/>
      <c r="Q273" s="305"/>
      <c r="R273" s="306">
        <f>SUM(R260:R272)</f>
        <v>0</v>
      </c>
      <c r="S273" s="309"/>
      <c r="T273" s="305"/>
      <c r="U273" s="306">
        <f>SUM(U260:U272)</f>
        <v>1859208.0661590828</v>
      </c>
      <c r="V273" s="71"/>
    </row>
    <row r="274" spans="1:22" x14ac:dyDescent="0.2">
      <c r="A274" s="115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</row>
    <row r="275" spans="1:22" x14ac:dyDescent="0.2">
      <c r="A275" s="115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</row>
    <row r="277" spans="1:22" x14ac:dyDescent="0.2">
      <c r="B277" s="62" t="s">
        <v>397</v>
      </c>
      <c r="C277" s="63"/>
      <c r="D277" s="63"/>
      <c r="E277" s="63"/>
    </row>
    <row r="278" spans="1:22" x14ac:dyDescent="0.2">
      <c r="B278" s="63"/>
      <c r="C278" s="63"/>
      <c r="D278" s="63"/>
      <c r="E278" s="63"/>
    </row>
    <row r="279" spans="1:22" x14ac:dyDescent="0.2">
      <c r="B279" s="64" t="s">
        <v>398</v>
      </c>
      <c r="C279" s="63"/>
      <c r="D279" s="65">
        <f>$G$273</f>
        <v>0</v>
      </c>
      <c r="E279" s="66">
        <f>ROUND(D279/$D$273,2)</f>
        <v>0</v>
      </c>
    </row>
    <row r="280" spans="1:22" x14ac:dyDescent="0.2">
      <c r="B280" s="64" t="s">
        <v>385</v>
      </c>
      <c r="C280" s="63"/>
      <c r="D280" s="65">
        <f>$J$273</f>
        <v>3057710.4</v>
      </c>
      <c r="E280" s="66">
        <f>ROUND(D280/$D$273,2)</f>
        <v>29.66</v>
      </c>
    </row>
    <row r="281" spans="1:22" x14ac:dyDescent="0.2">
      <c r="B281" s="64" t="s">
        <v>386</v>
      </c>
      <c r="C281" s="63"/>
      <c r="D281" s="65">
        <f>$M$273</f>
        <v>579251.03524904209</v>
      </c>
      <c r="E281" s="66">
        <f>ROUND(D281/$K$273,2)</f>
        <v>37.979999999999997</v>
      </c>
    </row>
    <row r="282" spans="1:22" x14ac:dyDescent="0.2">
      <c r="B282" s="64" t="s">
        <v>114</v>
      </c>
      <c r="C282" s="63"/>
      <c r="D282" s="65">
        <f>O273</f>
        <v>188045.10242000001</v>
      </c>
      <c r="E282" s="66">
        <f>ROUND(D282/$D$273,2)</f>
        <v>1.82</v>
      </c>
    </row>
    <row r="283" spans="1:22" x14ac:dyDescent="0.2">
      <c r="B283" s="64" t="s">
        <v>387</v>
      </c>
      <c r="C283" s="63"/>
      <c r="D283" s="67">
        <f>U273</f>
        <v>1859208.0661590828</v>
      </c>
      <c r="E283" s="68">
        <f>ROUND(D283/$D$273,2)</f>
        <v>18.03</v>
      </c>
    </row>
    <row r="284" spans="1:22" x14ac:dyDescent="0.2">
      <c r="B284" s="63"/>
      <c r="C284" s="63"/>
      <c r="D284" s="65">
        <f>SUM(D279:D283)</f>
        <v>5684214.6038281247</v>
      </c>
      <c r="E284" s="66">
        <f>SUM(E279:E283)</f>
        <v>87.49</v>
      </c>
    </row>
    <row r="285" spans="1:22" x14ac:dyDescent="0.2">
      <c r="B285" s="63" t="s">
        <v>399</v>
      </c>
      <c r="C285" s="63"/>
      <c r="D285" s="65">
        <f>$D$273</f>
        <v>103091</v>
      </c>
      <c r="E285" s="69"/>
    </row>
    <row r="286" spans="1:22" x14ac:dyDescent="0.2">
      <c r="B286" s="63" t="s">
        <v>241</v>
      </c>
      <c r="C286" s="63"/>
      <c r="D286" s="70">
        <f>ROUND(D284/D285,2)</f>
        <v>55.14</v>
      </c>
      <c r="E286" s="69"/>
    </row>
  </sheetData>
  <mergeCells count="6">
    <mergeCell ref="S257:U257"/>
    <mergeCell ref="E257:G257"/>
    <mergeCell ref="H257:J257"/>
    <mergeCell ref="K257:M257"/>
    <mergeCell ref="N257:O257"/>
    <mergeCell ref="P257:R257"/>
  </mergeCells>
  <printOptions horizontalCentered="1"/>
  <pageMargins left="0.5" right="0.5" top="0.5" bottom="0.5" header="0.5" footer="0.25"/>
  <pageSetup scale="82" orientation="landscape" r:id="rId1"/>
  <headerFooter alignWithMargins="0">
    <oddHeader xml:space="preserve">&amp;R&amp;"Arial,Bold"Attachment C&amp;"Arial,Regular"
Page &amp;P of &amp;N
</oddHeader>
    <oddFooter>&amp;L&amp;F&amp;R&amp;D</oddFooter>
  </headerFooter>
  <rowBreaks count="5" manualBreakCount="5">
    <brk id="45" max="9" man="1"/>
    <brk id="75" max="9" man="1"/>
    <brk id="112" max="9" man="1"/>
    <brk id="161" max="9" man="1"/>
    <brk id="204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BGS Cost &amp; Bid Factors</vt:lpstr>
      <vt:lpstr>Weighted Avg Price Calc</vt:lpstr>
      <vt:lpstr>Rate Calculations</vt:lpstr>
      <vt:lpstr>'BGS Cost &amp; Bid Factors'!Print_Area</vt:lpstr>
      <vt:lpstr>'Rate Calculations'!Print_Area</vt:lpstr>
      <vt:lpstr>'Weighted Avg Price Calc'!Print_Area</vt:lpstr>
      <vt:lpstr>'Rate Calculations'!Print_Titles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Jacob, Shajan</dc:creator>
  <cp:lastModifiedBy>Author</cp:lastModifiedBy>
  <dcterms:created xsi:type="dcterms:W3CDTF">2019-06-25T20:33:25Z</dcterms:created>
  <dcterms:modified xsi:type="dcterms:W3CDTF">2019-06-28T12:11:13Z</dcterms:modified>
</cp:coreProperties>
</file>