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nera-nycfs\Work\Projects\Energy\20-21 BGS (114324)\2020 Auction\3 RSCP Rates\1 July Filing\1 Rcvd frm EDCs\0 to post\"/>
    </mc:Choice>
  </mc:AlternateContent>
  <xr:revisionPtr revIDLastSave="0" documentId="13_ncr:1_{55577B8E-3FA2-49FB-AB0B-15BE9D6ECF0D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BGS Cost &amp; Bid Factors" sheetId="1" r:id="rId1"/>
    <sheet name="Weighted Avg Price Calc" sheetId="2" r:id="rId2"/>
    <sheet name="Rate Calcula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Calc'!$A$1:$N$49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9" i="3" l="1"/>
  <c r="U271" i="3"/>
  <c r="R271" i="3"/>
  <c r="J271" i="3"/>
  <c r="K271" i="3"/>
  <c r="M271" i="3" s="1"/>
  <c r="U270" i="3"/>
  <c r="R270" i="3"/>
  <c r="J270" i="3"/>
  <c r="K270" i="3"/>
  <c r="U269" i="3"/>
  <c r="R269" i="3"/>
  <c r="J269" i="3"/>
  <c r="K269" i="3"/>
  <c r="M269" i="3" s="1"/>
  <c r="U268" i="3"/>
  <c r="R268" i="3"/>
  <c r="J268" i="3"/>
  <c r="K268" i="3"/>
  <c r="U267" i="3"/>
  <c r="R267" i="3"/>
  <c r="J267" i="3"/>
  <c r="K267" i="3"/>
  <c r="M267" i="3" s="1"/>
  <c r="U266" i="3"/>
  <c r="R266" i="3"/>
  <c r="J266" i="3"/>
  <c r="K266" i="3"/>
  <c r="U265" i="3"/>
  <c r="R265" i="3"/>
  <c r="J265" i="3"/>
  <c r="K265" i="3"/>
  <c r="M265" i="3" s="1"/>
  <c r="U264" i="3"/>
  <c r="R264" i="3"/>
  <c r="J264" i="3"/>
  <c r="K264" i="3"/>
  <c r="U263" i="3"/>
  <c r="R263" i="3"/>
  <c r="O263" i="3"/>
  <c r="J263" i="3"/>
  <c r="K263" i="3"/>
  <c r="M263" i="3" s="1"/>
  <c r="U262" i="3"/>
  <c r="R262" i="3"/>
  <c r="J262" i="3"/>
  <c r="K262" i="3"/>
  <c r="U261" i="3"/>
  <c r="R261" i="3"/>
  <c r="O261" i="3"/>
  <c r="J261" i="3"/>
  <c r="K261" i="3"/>
  <c r="M261" i="3" s="1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U273" i="3" s="1"/>
  <c r="D283" i="3" s="1"/>
  <c r="E283" i="3" s="1"/>
  <c r="R260" i="3"/>
  <c r="K260" i="3"/>
  <c r="O260" i="3" s="1"/>
  <c r="J260" i="3"/>
  <c r="D273" i="3"/>
  <c r="D253" i="3"/>
  <c r="F252" i="3"/>
  <c r="E246" i="3"/>
  <c r="D246" i="3"/>
  <c r="F245" i="3"/>
  <c r="F244" i="3"/>
  <c r="G233" i="3"/>
  <c r="F233" i="3"/>
  <c r="E233" i="3"/>
  <c r="D233" i="3"/>
  <c r="C233" i="3"/>
  <c r="H232" i="3"/>
  <c r="G232" i="3"/>
  <c r="F232" i="3"/>
  <c r="E232" i="3"/>
  <c r="D232" i="3"/>
  <c r="C232" i="3"/>
  <c r="H231" i="3"/>
  <c r="G231" i="3"/>
  <c r="F231" i="3"/>
  <c r="E231" i="3"/>
  <c r="C231" i="3"/>
  <c r="H230" i="3"/>
  <c r="G230" i="3"/>
  <c r="F230" i="3"/>
  <c r="E230" i="3"/>
  <c r="C230" i="3"/>
  <c r="D229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H222" i="3"/>
  <c r="G222" i="3"/>
  <c r="F222" i="3"/>
  <c r="E222" i="3"/>
  <c r="D222" i="3"/>
  <c r="H221" i="3"/>
  <c r="G221" i="3"/>
  <c r="F221" i="3"/>
  <c r="E221" i="3"/>
  <c r="D221" i="3"/>
  <c r="H220" i="3"/>
  <c r="G220" i="3"/>
  <c r="F220" i="3"/>
  <c r="E220" i="3"/>
  <c r="C220" i="3"/>
  <c r="H219" i="3"/>
  <c r="G219" i="3"/>
  <c r="F219" i="3"/>
  <c r="E219" i="3"/>
  <c r="C219" i="3"/>
  <c r="D218" i="3"/>
  <c r="H211" i="3"/>
  <c r="H210" i="3"/>
  <c r="H209" i="3"/>
  <c r="G209" i="3"/>
  <c r="F209" i="3"/>
  <c r="E209" i="3"/>
  <c r="D209" i="3"/>
  <c r="C209" i="3"/>
  <c r="D190" i="3"/>
  <c r="H167" i="3"/>
  <c r="G167" i="3"/>
  <c r="F167" i="3"/>
  <c r="E167" i="3"/>
  <c r="D167" i="3"/>
  <c r="C167" i="3"/>
  <c r="H118" i="3"/>
  <c r="G118" i="3"/>
  <c r="F118" i="3"/>
  <c r="E118" i="3"/>
  <c r="D118" i="3"/>
  <c r="C118" i="3"/>
  <c r="D100" i="3"/>
  <c r="H78" i="3"/>
  <c r="G78" i="3"/>
  <c r="F78" i="3"/>
  <c r="E78" i="3"/>
  <c r="D78" i="3"/>
  <c r="C78" i="3"/>
  <c r="H55" i="3"/>
  <c r="H208" i="3" s="1"/>
  <c r="G55" i="3"/>
  <c r="G208" i="3" s="1"/>
  <c r="F55" i="3"/>
  <c r="F208" i="3" s="1"/>
  <c r="E55" i="3"/>
  <c r="E208" i="3" s="1"/>
  <c r="D55" i="3"/>
  <c r="D208" i="3" s="1"/>
  <c r="C55" i="3"/>
  <c r="C208" i="3" s="1"/>
  <c r="L49" i="3"/>
  <c r="L48" i="3"/>
  <c r="H40" i="3"/>
  <c r="H39" i="3"/>
  <c r="J37" i="3"/>
  <c r="I37" i="3"/>
  <c r="H37" i="3"/>
  <c r="C33" i="3"/>
  <c r="D33" i="3" s="1"/>
  <c r="G12" i="3"/>
  <c r="F12" i="3"/>
  <c r="E12" i="3"/>
  <c r="D12" i="3"/>
  <c r="C12" i="3"/>
  <c r="A2" i="3"/>
  <c r="I40" i="2"/>
  <c r="D39" i="2"/>
  <c r="D23" i="2"/>
  <c r="D22" i="2"/>
  <c r="I10" i="2"/>
  <c r="G9" i="2"/>
  <c r="E6" i="2"/>
  <c r="D6" i="2"/>
  <c r="A2" i="2"/>
  <c r="H586" i="1"/>
  <c r="G586" i="1"/>
  <c r="F586" i="1"/>
  <c r="E586" i="1"/>
  <c r="D586" i="1"/>
  <c r="C586" i="1"/>
  <c r="H575" i="1"/>
  <c r="G575" i="1"/>
  <c r="F575" i="1"/>
  <c r="E575" i="1"/>
  <c r="D575" i="1"/>
  <c r="C575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C559" i="1"/>
  <c r="H558" i="1"/>
  <c r="G558" i="1"/>
  <c r="F558" i="1"/>
  <c r="E558" i="1"/>
  <c r="C558" i="1"/>
  <c r="D557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C549" i="1"/>
  <c r="H548" i="1"/>
  <c r="G548" i="1"/>
  <c r="F548" i="1"/>
  <c r="E548" i="1"/>
  <c r="C548" i="1"/>
  <c r="D547" i="1"/>
  <c r="H491" i="1"/>
  <c r="H537" i="1" s="1"/>
  <c r="G491" i="1"/>
  <c r="G537" i="1" s="1"/>
  <c r="F491" i="1"/>
  <c r="F537" i="1" s="1"/>
  <c r="E491" i="1"/>
  <c r="E537" i="1" s="1"/>
  <c r="D491" i="1"/>
  <c r="D537" i="1" s="1"/>
  <c r="C491" i="1"/>
  <c r="C537" i="1" s="1"/>
  <c r="C474" i="1"/>
  <c r="C473" i="1"/>
  <c r="C472" i="1"/>
  <c r="C468" i="1"/>
  <c r="C467" i="1"/>
  <c r="C466" i="1"/>
  <c r="M465" i="1"/>
  <c r="M466" i="1" s="1"/>
  <c r="E447" i="1" s="1"/>
  <c r="G459" i="1" s="1"/>
  <c r="G461" i="1"/>
  <c r="P457" i="1"/>
  <c r="Q456" i="1"/>
  <c r="Q455" i="1"/>
  <c r="Q454" i="1"/>
  <c r="Q453" i="1"/>
  <c r="Q452" i="1"/>
  <c r="R451" i="1"/>
  <c r="R450" i="1"/>
  <c r="R449" i="1"/>
  <c r="D449" i="1"/>
  <c r="G420" i="1"/>
  <c r="F420" i="1"/>
  <c r="G419" i="1"/>
  <c r="F419" i="1"/>
  <c r="F418" i="1"/>
  <c r="I418" i="1" s="1"/>
  <c r="G417" i="1"/>
  <c r="D417" i="1"/>
  <c r="E417" i="1" s="1"/>
  <c r="J417" i="1" s="1"/>
  <c r="G416" i="1"/>
  <c r="D416" i="1"/>
  <c r="E416" i="1"/>
  <c r="G415" i="1"/>
  <c r="E414" i="1"/>
  <c r="J414" i="1" s="1"/>
  <c r="D415" i="1"/>
  <c r="D413" i="1"/>
  <c r="E413" i="1" s="1"/>
  <c r="J413" i="1" s="1"/>
  <c r="G412" i="1"/>
  <c r="F412" i="1"/>
  <c r="G411" i="1"/>
  <c r="F411" i="1"/>
  <c r="F410" i="1"/>
  <c r="I410" i="1" s="1"/>
  <c r="I409" i="1"/>
  <c r="G413" i="1"/>
  <c r="F413" i="1"/>
  <c r="I413" i="1" s="1"/>
  <c r="H383" i="1"/>
  <c r="G383" i="1"/>
  <c r="F383" i="1"/>
  <c r="E383" i="1"/>
  <c r="D383" i="1"/>
  <c r="C383" i="1"/>
  <c r="H361" i="1"/>
  <c r="G361" i="1"/>
  <c r="F361" i="1"/>
  <c r="E361" i="1"/>
  <c r="D361" i="1"/>
  <c r="C361" i="1"/>
  <c r="C346" i="1"/>
  <c r="D346" i="1" s="1"/>
  <c r="G325" i="1"/>
  <c r="F325" i="1"/>
  <c r="E325" i="1"/>
  <c r="D325" i="1"/>
  <c r="C325" i="1"/>
  <c r="J296" i="1"/>
  <c r="J350" i="1" s="1"/>
  <c r="I296" i="1"/>
  <c r="I350" i="1" s="1"/>
  <c r="C292" i="1"/>
  <c r="G271" i="1"/>
  <c r="F271" i="1"/>
  <c r="E271" i="1"/>
  <c r="D271" i="1"/>
  <c r="C271" i="1"/>
  <c r="C253" i="1"/>
  <c r="D253" i="1" s="1"/>
  <c r="G231" i="1"/>
  <c r="F231" i="1"/>
  <c r="E231" i="1"/>
  <c r="D231" i="1"/>
  <c r="C231" i="1"/>
  <c r="L217" i="1"/>
  <c r="L211" i="1"/>
  <c r="G206" i="1"/>
  <c r="H263" i="1" s="1"/>
  <c r="C196" i="1"/>
  <c r="G179" i="1"/>
  <c r="F179" i="1"/>
  <c r="E179" i="1"/>
  <c r="D179" i="1"/>
  <c r="C179" i="1"/>
  <c r="G165" i="1"/>
  <c r="F165" i="1"/>
  <c r="E165" i="1"/>
  <c r="D165" i="1"/>
  <c r="C165" i="1"/>
  <c r="C158" i="1"/>
  <c r="C154" i="1"/>
  <c r="E147" i="1"/>
  <c r="H146" i="1"/>
  <c r="E145" i="1"/>
  <c r="E144" i="1"/>
  <c r="I141" i="1"/>
  <c r="L137" i="1"/>
  <c r="H137" i="1"/>
  <c r="G137" i="1"/>
  <c r="F137" i="1"/>
  <c r="E137" i="1"/>
  <c r="D137" i="1"/>
  <c r="C137" i="1"/>
  <c r="L136" i="1"/>
  <c r="L133" i="1" s="1"/>
  <c r="B136" i="1"/>
  <c r="H122" i="1"/>
  <c r="G122" i="1"/>
  <c r="F122" i="1"/>
  <c r="E122" i="1"/>
  <c r="D122" i="1"/>
  <c r="C122" i="1"/>
  <c r="H104" i="1"/>
  <c r="G104" i="1"/>
  <c r="F104" i="1"/>
  <c r="E104" i="1"/>
  <c r="D104" i="1"/>
  <c r="C104" i="1"/>
  <c r="H86" i="1"/>
  <c r="G86" i="1"/>
  <c r="F86" i="1"/>
  <c r="E86" i="1"/>
  <c r="D86" i="1"/>
  <c r="C86" i="1"/>
  <c r="S78" i="1"/>
  <c r="S77" i="1"/>
  <c r="H76" i="1"/>
  <c r="G76" i="1"/>
  <c r="F76" i="1"/>
  <c r="E76" i="1"/>
  <c r="D76" i="1"/>
  <c r="C76" i="1"/>
  <c r="S60" i="1"/>
  <c r="S71" i="1" s="1"/>
  <c r="S66" i="1"/>
  <c r="P48" i="1"/>
  <c r="M48" i="1"/>
  <c r="S62" i="1"/>
  <c r="M44" i="1"/>
  <c r="P44" i="1"/>
  <c r="F56" i="1"/>
  <c r="D56" i="1"/>
  <c r="Q42" i="1"/>
  <c r="P42" i="1"/>
  <c r="O42" i="1"/>
  <c r="N42" i="1"/>
  <c r="M42" i="1"/>
  <c r="L42" i="1"/>
  <c r="H42" i="1"/>
  <c r="G42" i="1"/>
  <c r="F42" i="1"/>
  <c r="E42" i="1"/>
  <c r="D42" i="1"/>
  <c r="C42" i="1"/>
  <c r="B41" i="1"/>
  <c r="M37" i="1"/>
  <c r="M36" i="1"/>
  <c r="M35" i="1"/>
  <c r="M34" i="1"/>
  <c r="M33" i="1"/>
  <c r="S67" i="1"/>
  <c r="T67" i="1" s="1"/>
  <c r="M31" i="1"/>
  <c r="M30" i="1"/>
  <c r="M29" i="1"/>
  <c r="M28" i="1"/>
  <c r="M27" i="1"/>
  <c r="M26" i="1"/>
  <c r="S63" i="1"/>
  <c r="Q24" i="1"/>
  <c r="P24" i="1"/>
  <c r="O24" i="1"/>
  <c r="N24" i="1"/>
  <c r="M24" i="1"/>
  <c r="L24" i="1"/>
  <c r="H24" i="1"/>
  <c r="G24" i="1"/>
  <c r="F24" i="1"/>
  <c r="E24" i="1"/>
  <c r="D24" i="1"/>
  <c r="C24" i="1"/>
  <c r="M23" i="1"/>
  <c r="L19" i="1"/>
  <c r="Q19" i="1"/>
  <c r="G19" i="1"/>
  <c r="P19" i="1" s="1"/>
  <c r="N19" i="1"/>
  <c r="M19" i="1"/>
  <c r="Q18" i="1"/>
  <c r="M18" i="1"/>
  <c r="L18" i="1"/>
  <c r="G18" i="1"/>
  <c r="P18" i="1" s="1"/>
  <c r="N18" i="1"/>
  <c r="P17" i="1"/>
  <c r="L17" i="1"/>
  <c r="Q17" i="1"/>
  <c r="G17" i="1"/>
  <c r="N17" i="1"/>
  <c r="M17" i="1"/>
  <c r="Q16" i="1"/>
  <c r="M16" i="1"/>
  <c r="L16" i="1"/>
  <c r="G16" i="1"/>
  <c r="P16" i="1" s="1"/>
  <c r="N16" i="1"/>
  <c r="L15" i="1"/>
  <c r="Q15" i="1"/>
  <c r="G15" i="1"/>
  <c r="P15" i="1" s="1"/>
  <c r="N15" i="1"/>
  <c r="M15" i="1"/>
  <c r="Q14" i="1"/>
  <c r="M14" i="1"/>
  <c r="L14" i="1"/>
  <c r="G14" i="1"/>
  <c r="P14" i="1" s="1"/>
  <c r="N14" i="1"/>
  <c r="L13" i="1"/>
  <c r="G13" i="1"/>
  <c r="P13" i="1" s="1"/>
  <c r="Q12" i="1"/>
  <c r="M12" i="1"/>
  <c r="L12" i="1"/>
  <c r="G12" i="1"/>
  <c r="P12" i="1" s="1"/>
  <c r="N12" i="1"/>
  <c r="L11" i="1"/>
  <c r="Q11" i="1"/>
  <c r="G11" i="1"/>
  <c r="P11" i="1" s="1"/>
  <c r="N11" i="1"/>
  <c r="M11" i="1"/>
  <c r="Q10" i="1"/>
  <c r="M10" i="1"/>
  <c r="L10" i="1"/>
  <c r="G10" i="1"/>
  <c r="P10" i="1" s="1"/>
  <c r="N10" i="1"/>
  <c r="P9" i="1"/>
  <c r="L9" i="1"/>
  <c r="Q9" i="1"/>
  <c r="G9" i="1"/>
  <c r="N9" i="1"/>
  <c r="M9" i="1"/>
  <c r="Q8" i="1"/>
  <c r="M8" i="1"/>
  <c r="L8" i="1"/>
  <c r="G8" i="1"/>
  <c r="Q6" i="1"/>
  <c r="P6" i="1"/>
  <c r="O6" i="1"/>
  <c r="N6" i="1"/>
  <c r="M6" i="1"/>
  <c r="L6" i="1"/>
  <c r="L4" i="1"/>
  <c r="D3" i="1"/>
  <c r="B1" i="1"/>
  <c r="T63" i="1" l="1"/>
  <c r="Q457" i="1"/>
  <c r="S457" i="1" s="1"/>
  <c r="S84" i="1"/>
  <c r="J416" i="1"/>
  <c r="O265" i="3"/>
  <c r="R457" i="1"/>
  <c r="D24" i="2"/>
  <c r="L50" i="3"/>
  <c r="S92" i="1"/>
  <c r="S64" i="1"/>
  <c r="D167" i="1"/>
  <c r="S75" i="1"/>
  <c r="M49" i="1"/>
  <c r="M50" i="1" s="1"/>
  <c r="S73" i="1"/>
  <c r="F167" i="1"/>
  <c r="O8" i="1"/>
  <c r="O10" i="1"/>
  <c r="O12" i="1"/>
  <c r="Q13" i="1"/>
  <c r="O18" i="1"/>
  <c r="M32" i="1"/>
  <c r="S68" i="1" s="1"/>
  <c r="L48" i="1"/>
  <c r="O48" i="1"/>
  <c r="S74" i="1"/>
  <c r="T78" i="1"/>
  <c r="D418" i="1"/>
  <c r="E418" i="1" s="1"/>
  <c r="D410" i="1"/>
  <c r="E410" i="1" s="1"/>
  <c r="D419" i="1"/>
  <c r="D411" i="1"/>
  <c r="M264" i="3"/>
  <c r="O264" i="3"/>
  <c r="P8" i="1"/>
  <c r="N13" i="1"/>
  <c r="M13" i="1"/>
  <c r="C56" i="1"/>
  <c r="C167" i="1" s="1"/>
  <c r="M45" i="1"/>
  <c r="M46" i="1" s="1"/>
  <c r="E409" i="1"/>
  <c r="J409" i="1" s="1"/>
  <c r="I412" i="1"/>
  <c r="E415" i="1"/>
  <c r="J415" i="1" s="1"/>
  <c r="E420" i="1"/>
  <c r="J420" i="1" s="1"/>
  <c r="I420" i="1"/>
  <c r="J429" i="1"/>
  <c r="M266" i="3"/>
  <c r="O266" i="3"/>
  <c r="M270" i="3"/>
  <c r="O270" i="3"/>
  <c r="N8" i="1"/>
  <c r="O44" i="1"/>
  <c r="C451" i="1"/>
  <c r="D451" i="1" s="1"/>
  <c r="F451" i="1" s="1"/>
  <c r="M262" i="3"/>
  <c r="O262" i="3"/>
  <c r="M268" i="3"/>
  <c r="O268" i="3"/>
  <c r="O14" i="1"/>
  <c r="O16" i="1"/>
  <c r="G56" i="1"/>
  <c r="G167" i="1" s="1"/>
  <c r="O9" i="1"/>
  <c r="O11" i="1"/>
  <c r="O13" i="1"/>
  <c r="O15" i="1"/>
  <c r="O17" i="1"/>
  <c r="O19" i="1"/>
  <c r="L44" i="1"/>
  <c r="L138" i="1"/>
  <c r="E411" i="1"/>
  <c r="J411" i="1" s="1"/>
  <c r="I411" i="1"/>
  <c r="D412" i="1"/>
  <c r="E412" i="1" s="1"/>
  <c r="J412" i="1" s="1"/>
  <c r="F416" i="1"/>
  <c r="I416" i="1" s="1"/>
  <c r="I414" i="1"/>
  <c r="F417" i="1"/>
  <c r="I417" i="1" s="1"/>
  <c r="F415" i="1"/>
  <c r="I415" i="1" s="1"/>
  <c r="E419" i="1"/>
  <c r="J419" i="1" s="1"/>
  <c r="I419" i="1"/>
  <c r="D420" i="1"/>
  <c r="E28" i="2"/>
  <c r="E27" i="2"/>
  <c r="D27" i="2"/>
  <c r="D28" i="2"/>
  <c r="E253" i="3"/>
  <c r="F251" i="3"/>
  <c r="F253" i="3" s="1"/>
  <c r="K273" i="3"/>
  <c r="M260" i="3"/>
  <c r="R273" i="3"/>
  <c r="I139" i="1"/>
  <c r="G410" i="1"/>
  <c r="G418" i="1"/>
  <c r="D447" i="1"/>
  <c r="F449" i="1" s="1"/>
  <c r="F461" i="1"/>
  <c r="E39" i="2"/>
  <c r="G39" i="2" s="1"/>
  <c r="F246" i="3"/>
  <c r="D285" i="3"/>
  <c r="E279" i="3"/>
  <c r="J273" i="3"/>
  <c r="D280" i="3" s="1"/>
  <c r="E280" i="3" s="1"/>
  <c r="H273" i="3"/>
  <c r="O267" i="3"/>
  <c r="O269" i="3"/>
  <c r="O271" i="3"/>
  <c r="J418" i="1" l="1"/>
  <c r="E29" i="2"/>
  <c r="M273" i="3"/>
  <c r="D281" i="3" s="1"/>
  <c r="E281" i="3" s="1"/>
  <c r="C465" i="1"/>
  <c r="D150" i="1"/>
  <c r="L52" i="1"/>
  <c r="L53" i="1" s="1"/>
  <c r="D183" i="3"/>
  <c r="D195" i="3" s="1"/>
  <c r="D93" i="3"/>
  <c r="D182" i="3"/>
  <c r="C599" i="1"/>
  <c r="F425" i="1"/>
  <c r="C598" i="1"/>
  <c r="J428" i="1"/>
  <c r="F459" i="1"/>
  <c r="D94" i="3" s="1"/>
  <c r="D104" i="3" s="1"/>
  <c r="O273" i="3"/>
  <c r="S87" i="1"/>
  <c r="T74" i="1"/>
  <c r="D29" i="2"/>
  <c r="C464" i="1"/>
  <c r="D149" i="1"/>
  <c r="E45" i="2"/>
  <c r="S79" i="1"/>
  <c r="J410" i="1"/>
  <c r="H461" i="1" l="1"/>
  <c r="D161" i="1" s="1"/>
  <c r="C469" i="1" s="1"/>
  <c r="H439" i="1"/>
  <c r="D73" i="1" s="1"/>
  <c r="H438" i="1"/>
  <c r="D72" i="1" s="1"/>
  <c r="H437" i="1"/>
  <c r="D71" i="1" s="1"/>
  <c r="H436" i="1"/>
  <c r="D70" i="1" s="1"/>
  <c r="H435" i="1"/>
  <c r="D69" i="1" s="1"/>
  <c r="H434" i="1"/>
  <c r="D68" i="1" s="1"/>
  <c r="H433" i="1"/>
  <c r="G432" i="1"/>
  <c r="C66" i="1" s="1"/>
  <c r="G431" i="1"/>
  <c r="C65" i="1" s="1"/>
  <c r="H429" i="1"/>
  <c r="D63" i="1" s="1"/>
  <c r="G437" i="1"/>
  <c r="C71" i="1" s="1"/>
  <c r="G433" i="1"/>
  <c r="H431" i="1"/>
  <c r="D65" i="1" s="1"/>
  <c r="H430" i="1"/>
  <c r="D64" i="1" s="1"/>
  <c r="H428" i="1"/>
  <c r="G438" i="1"/>
  <c r="C72" i="1" s="1"/>
  <c r="G434" i="1"/>
  <c r="C68" i="1" s="1"/>
  <c r="H432" i="1"/>
  <c r="D66" i="1" s="1"/>
  <c r="G430" i="1"/>
  <c r="C64" i="1" s="1"/>
  <c r="G428" i="1"/>
  <c r="G439" i="1"/>
  <c r="C73" i="1" s="1"/>
  <c r="G435" i="1"/>
  <c r="C69" i="1" s="1"/>
  <c r="G429" i="1"/>
  <c r="C63" i="1" s="1"/>
  <c r="G436" i="1"/>
  <c r="C70" i="1" s="1"/>
  <c r="G172" i="1"/>
  <c r="C172" i="1"/>
  <c r="F172" i="1"/>
  <c r="I150" i="1"/>
  <c r="D172" i="1"/>
  <c r="P214" i="1"/>
  <c r="I149" i="1"/>
  <c r="G171" i="1"/>
  <c r="D170" i="1"/>
  <c r="F171" i="1"/>
  <c r="C170" i="1"/>
  <c r="G170" i="1"/>
  <c r="F170" i="1"/>
  <c r="D171" i="1"/>
  <c r="C171" i="1"/>
  <c r="P213" i="1"/>
  <c r="C600" i="1"/>
  <c r="D103" i="3"/>
  <c r="D105" i="3" s="1"/>
  <c r="D95" i="3"/>
  <c r="I53" i="1"/>
  <c r="D184" i="3"/>
  <c r="D194" i="3"/>
  <c r="D196" i="3" s="1"/>
  <c r="I52" i="1"/>
  <c r="I51" i="1"/>
  <c r="D282" i="3"/>
  <c r="N273" i="3"/>
  <c r="I47" i="1"/>
  <c r="I50" i="1" l="1"/>
  <c r="E282" i="3"/>
  <c r="E284" i="3" s="1"/>
  <c r="D284" i="3"/>
  <c r="D286" i="3" s="1"/>
  <c r="E40" i="2" s="1"/>
  <c r="I45" i="1"/>
  <c r="R429" i="1"/>
  <c r="R432" i="1"/>
  <c r="D62" i="1"/>
  <c r="R428" i="1"/>
  <c r="D67" i="1"/>
  <c r="N48" i="1"/>
  <c r="E171" i="1"/>
  <c r="Q432" i="1"/>
  <c r="S432" i="1" s="1"/>
  <c r="Q429" i="1"/>
  <c r="C62" i="1"/>
  <c r="C67" i="1"/>
  <c r="E89" i="1" s="1"/>
  <c r="E107" i="1" s="1"/>
  <c r="Q428" i="1"/>
  <c r="I48" i="1"/>
  <c r="I54" i="1"/>
  <c r="I55" i="1"/>
  <c r="I46" i="1"/>
  <c r="P217" i="1"/>
  <c r="Q430" i="1" l="1"/>
  <c r="D93" i="1"/>
  <c r="C93" i="1"/>
  <c r="C111" i="1" s="1"/>
  <c r="F92" i="1"/>
  <c r="F110" i="1" s="1"/>
  <c r="F128" i="1" s="1"/>
  <c r="F188" i="1" s="1"/>
  <c r="G93" i="1"/>
  <c r="G111" i="1" s="1"/>
  <c r="F93" i="1"/>
  <c r="F111" i="1" s="1"/>
  <c r="G92" i="1"/>
  <c r="G110" i="1" s="1"/>
  <c r="G128" i="1" s="1"/>
  <c r="G188" i="1" s="1"/>
  <c r="C92" i="1"/>
  <c r="C110" i="1" s="1"/>
  <c r="C128" i="1" s="1"/>
  <c r="C188" i="1" s="1"/>
  <c r="D92" i="1"/>
  <c r="D110" i="1" s="1"/>
  <c r="D128" i="1" s="1"/>
  <c r="D188" i="1" s="1"/>
  <c r="R430" i="1"/>
  <c r="H89" i="1"/>
  <c r="H107" i="1" s="1"/>
  <c r="Q48" i="1"/>
  <c r="H88" i="1"/>
  <c r="H90" i="1"/>
  <c r="H108" i="1" s="1"/>
  <c r="I49" i="1"/>
  <c r="C94" i="1"/>
  <c r="C112" i="1" s="1"/>
  <c r="D94" i="1"/>
  <c r="F94" i="1"/>
  <c r="F112" i="1" s="1"/>
  <c r="E94" i="1"/>
  <c r="G94" i="1"/>
  <c r="G112" i="1" s="1"/>
  <c r="Q213" i="1"/>
  <c r="G89" i="1"/>
  <c r="G107" i="1" s="1"/>
  <c r="C88" i="1"/>
  <c r="C89" i="1"/>
  <c r="C107" i="1" s="1"/>
  <c r="D88" i="1"/>
  <c r="F88" i="1"/>
  <c r="D89" i="1"/>
  <c r="G88" i="1"/>
  <c r="F89" i="1"/>
  <c r="F107" i="1" s="1"/>
  <c r="G90" i="1"/>
  <c r="G108" i="1" s="1"/>
  <c r="C90" i="1"/>
  <c r="C108" i="1" s="1"/>
  <c r="D90" i="1"/>
  <c r="F90" i="1"/>
  <c r="F108" i="1" s="1"/>
  <c r="E88" i="1"/>
  <c r="E90" i="1"/>
  <c r="E108" i="1" s="1"/>
  <c r="C189" i="3"/>
  <c r="K40" i="2"/>
  <c r="C99" i="3"/>
  <c r="E43" i="2"/>
  <c r="E44" i="2" s="1"/>
  <c r="C98" i="3"/>
  <c r="E98" i="3" s="1"/>
  <c r="C188" i="3"/>
  <c r="E188" i="3" s="1"/>
  <c r="D106" i="1" l="1"/>
  <c r="D96" i="1"/>
  <c r="D280" i="1"/>
  <c r="D386" i="1" s="1"/>
  <c r="D364" i="1"/>
  <c r="D108" i="1"/>
  <c r="F280" i="1"/>
  <c r="F364" i="1"/>
  <c r="D125" i="1"/>
  <c r="D182" i="1" s="1"/>
  <c r="D107" i="1"/>
  <c r="S93" i="1"/>
  <c r="S94" i="1" s="1"/>
  <c r="D126" i="1" s="1"/>
  <c r="D183" i="1" s="1"/>
  <c r="C96" i="1"/>
  <c r="C106" i="1"/>
  <c r="E56" i="1"/>
  <c r="E112" i="1"/>
  <c r="N44" i="1"/>
  <c r="E92" i="1"/>
  <c r="E110" i="1" s="1"/>
  <c r="E128" i="1" s="1"/>
  <c r="E93" i="1"/>
  <c r="E111" i="1" s="1"/>
  <c r="E172" i="1"/>
  <c r="H106" i="1"/>
  <c r="G280" i="1"/>
  <c r="G364" i="1"/>
  <c r="E189" i="3"/>
  <c r="C190" i="3"/>
  <c r="G96" i="1"/>
  <c r="G106" i="1"/>
  <c r="C280" i="1"/>
  <c r="C364" i="1"/>
  <c r="C100" i="3"/>
  <c r="E99" i="3"/>
  <c r="E100" i="3" s="1"/>
  <c r="E106" i="1"/>
  <c r="E190" i="3"/>
  <c r="F106" i="1"/>
  <c r="F96" i="1"/>
  <c r="D112" i="1"/>
  <c r="D111" i="1"/>
  <c r="S88" i="1"/>
  <c r="S89" i="1" s="1"/>
  <c r="D129" i="1" s="1"/>
  <c r="D189" i="1" s="1"/>
  <c r="E96" i="1" l="1"/>
  <c r="D275" i="1"/>
  <c r="D281" i="1"/>
  <c r="D130" i="1"/>
  <c r="D190" i="1" s="1"/>
  <c r="Q44" i="1"/>
  <c r="H94" i="1"/>
  <c r="H112" i="1" s="1"/>
  <c r="H56" i="1"/>
  <c r="H93" i="1"/>
  <c r="H111" i="1" s="1"/>
  <c r="H92" i="1"/>
  <c r="C124" i="1"/>
  <c r="C114" i="1"/>
  <c r="D274" i="1"/>
  <c r="R213" i="1"/>
  <c r="S213" i="1" s="1"/>
  <c r="L213" i="1"/>
  <c r="U213" i="1"/>
  <c r="V213" i="1" s="1"/>
  <c r="M213" i="1" s="1"/>
  <c r="C386" i="1"/>
  <c r="I44" i="1"/>
  <c r="I56" i="1" s="1"/>
  <c r="F386" i="1"/>
  <c r="D124" i="1"/>
  <c r="D114" i="1"/>
  <c r="E124" i="1"/>
  <c r="E114" i="1"/>
  <c r="G386" i="1"/>
  <c r="F114" i="1"/>
  <c r="F124" i="1"/>
  <c r="G124" i="1"/>
  <c r="G114" i="1"/>
  <c r="H124" i="1"/>
  <c r="E167" i="1"/>
  <c r="E188" i="1" s="1"/>
  <c r="E170" i="1"/>
  <c r="E364" i="1" l="1"/>
  <c r="E280" i="1"/>
  <c r="C198" i="1"/>
  <c r="Q214" i="1"/>
  <c r="I259" i="1"/>
  <c r="I298" i="1" s="1"/>
  <c r="I352" i="1" s="1"/>
  <c r="N213" i="1"/>
  <c r="Z213" i="1" s="1"/>
  <c r="AA213" i="1" s="1"/>
  <c r="H213" i="1"/>
  <c r="H110" i="1"/>
  <c r="H96" i="1"/>
  <c r="C98" i="1" s="1"/>
  <c r="E181" i="1"/>
  <c r="E132" i="1"/>
  <c r="E192" i="1" s="1"/>
  <c r="D181" i="1"/>
  <c r="D132" i="1"/>
  <c r="D192" i="1" s="1"/>
  <c r="G181" i="1"/>
  <c r="G132" i="1"/>
  <c r="G192" i="1" s="1"/>
  <c r="F132" i="1"/>
  <c r="F192" i="1" s="1"/>
  <c r="F181" i="1"/>
  <c r="C181" i="1"/>
  <c r="C132" i="1"/>
  <c r="C192" i="1" s="1"/>
  <c r="D282" i="1"/>
  <c r="G363" i="1" l="1"/>
  <c r="G273" i="1"/>
  <c r="H128" i="1"/>
  <c r="H114" i="1"/>
  <c r="C116" i="1" s="1"/>
  <c r="C133" i="1" s="1"/>
  <c r="C294" i="1"/>
  <c r="E386" i="1"/>
  <c r="C273" i="1"/>
  <c r="C184" i="1"/>
  <c r="F363" i="1"/>
  <c r="F273" i="1"/>
  <c r="E273" i="1"/>
  <c r="E363" i="1"/>
  <c r="G284" i="1"/>
  <c r="D273" i="1"/>
  <c r="D385" i="1" s="1"/>
  <c r="D363" i="1"/>
  <c r="J259" i="1"/>
  <c r="J298" i="1" s="1"/>
  <c r="J352" i="1" s="1"/>
  <c r="I213" i="1"/>
  <c r="C284" i="1"/>
  <c r="E284" i="1"/>
  <c r="H500" i="1"/>
  <c r="I39" i="3"/>
  <c r="F284" i="1"/>
  <c r="D284" i="1"/>
  <c r="H64" i="3"/>
  <c r="H202" i="1"/>
  <c r="E365" i="1"/>
  <c r="E369" i="1" s="1"/>
  <c r="C238" i="1" l="1"/>
  <c r="C185" i="1"/>
  <c r="C239" i="1" s="1"/>
  <c r="H385" i="1"/>
  <c r="C305" i="1"/>
  <c r="R214" i="1"/>
  <c r="S214" i="1" s="1"/>
  <c r="L214" i="1"/>
  <c r="U214" i="1"/>
  <c r="V214" i="1" s="1"/>
  <c r="M214" i="1" s="1"/>
  <c r="J39" i="3"/>
  <c r="H501" i="1"/>
  <c r="H523" i="1" s="1"/>
  <c r="F385" i="1"/>
  <c r="G365" i="1"/>
  <c r="G369" i="1" s="1"/>
  <c r="D387" i="1"/>
  <c r="D391" i="1" s="1"/>
  <c r="H65" i="3"/>
  <c r="I202" i="1"/>
  <c r="E385" i="1"/>
  <c r="E387" i="1" s="1"/>
  <c r="E391" i="1" s="1"/>
  <c r="G385" i="1"/>
  <c r="H522" i="1"/>
  <c r="H554" i="1"/>
  <c r="D365" i="1"/>
  <c r="D369" i="1" s="1"/>
  <c r="E368" i="1"/>
  <c r="F365" i="1"/>
  <c r="F369" i="1" s="1"/>
  <c r="C276" i="1"/>
  <c r="C210" i="1"/>
  <c r="C202" i="1"/>
  <c r="H132" i="1"/>
  <c r="C206" i="1" s="1"/>
  <c r="F368" i="1" l="1"/>
  <c r="C363" i="1"/>
  <c r="C365" i="1" s="1"/>
  <c r="C369" i="1" s="1"/>
  <c r="D255" i="1"/>
  <c r="G368" i="1"/>
  <c r="N214" i="1"/>
  <c r="H214" i="1"/>
  <c r="I260" i="1"/>
  <c r="I299" i="1" s="1"/>
  <c r="I353" i="1" s="1"/>
  <c r="C372" i="1"/>
  <c r="C302" i="1"/>
  <c r="C332" i="1"/>
  <c r="C19" i="3" s="1"/>
  <c r="C277" i="1"/>
  <c r="C333" i="1" s="1"/>
  <c r="C20" i="3" s="1"/>
  <c r="F387" i="1"/>
  <c r="F391" i="1" s="1"/>
  <c r="D348" i="1"/>
  <c r="D35" i="3" s="1"/>
  <c r="E390" i="1"/>
  <c r="C298" i="1"/>
  <c r="D368" i="1"/>
  <c r="G387" i="1"/>
  <c r="G391" i="1" s="1"/>
  <c r="D390" i="1"/>
  <c r="G390" i="1" l="1"/>
  <c r="C385" i="1"/>
  <c r="C309" i="1"/>
  <c r="H386" i="1"/>
  <c r="C394" i="1"/>
  <c r="C387" i="1"/>
  <c r="C391" i="1" s="1"/>
  <c r="C368" i="1"/>
  <c r="I214" i="1"/>
  <c r="C214" i="1" s="1"/>
  <c r="J260" i="1"/>
  <c r="J299" i="1" s="1"/>
  <c r="J353" i="1" s="1"/>
  <c r="F390" i="1"/>
  <c r="E377" i="1"/>
  <c r="H72" i="3"/>
  <c r="H203" i="1"/>
  <c r="I40" i="3"/>
  <c r="H508" i="1"/>
  <c r="D259" i="1" l="1"/>
  <c r="H387" i="1"/>
  <c r="H390" i="1" s="1"/>
  <c r="H391" i="1"/>
  <c r="C395" i="1"/>
  <c r="H561" i="1"/>
  <c r="H530" i="1"/>
  <c r="C390" i="1"/>
  <c r="D352" i="1"/>
  <c r="D39" i="3" s="1"/>
  <c r="H509" i="1"/>
  <c r="H531" i="1" s="1"/>
  <c r="J40" i="3"/>
  <c r="C313" i="1"/>
  <c r="H73" i="3"/>
  <c r="I203" i="1"/>
  <c r="E399" i="1"/>
  <c r="C218" i="1"/>
  <c r="H365" i="1" l="1"/>
  <c r="H368" i="1" s="1"/>
  <c r="C373" i="1"/>
  <c r="C316" i="1"/>
  <c r="C221" i="1"/>
  <c r="E400" i="1"/>
  <c r="C396" i="1"/>
  <c r="C399" i="1" s="1"/>
  <c r="C400" i="1" l="1"/>
  <c r="D223" i="1"/>
  <c r="D222" i="1"/>
  <c r="C374" i="1"/>
  <c r="C377" i="1" s="1"/>
  <c r="E378" i="1"/>
  <c r="D318" i="1"/>
  <c r="D317" i="1"/>
  <c r="H369" i="1"/>
  <c r="J378" i="1" l="1"/>
  <c r="C570" i="1" s="1"/>
  <c r="C378" i="1"/>
  <c r="F336" i="1"/>
  <c r="C336" i="1"/>
  <c r="G336" i="1"/>
  <c r="D328" i="1"/>
  <c r="D337" i="1"/>
  <c r="D329" i="1"/>
  <c r="D338" i="1"/>
  <c r="E336" i="1"/>
  <c r="C340" i="1"/>
  <c r="C27" i="3" s="1"/>
  <c r="F327" i="1"/>
  <c r="D340" i="1"/>
  <c r="D27" i="3" s="1"/>
  <c r="E327" i="1"/>
  <c r="G327" i="1"/>
  <c r="G340" i="1"/>
  <c r="G27" i="3" s="1"/>
  <c r="F340" i="1"/>
  <c r="F27" i="3" s="1"/>
  <c r="E340" i="1"/>
  <c r="E27" i="3" s="1"/>
  <c r="C327" i="1"/>
  <c r="C14" i="3" s="1"/>
  <c r="C348" i="1"/>
  <c r="C352" i="1"/>
  <c r="C356" i="1"/>
  <c r="C43" i="3" s="1"/>
  <c r="J399" i="1"/>
  <c r="F486" i="1"/>
  <c r="M468" i="1"/>
  <c r="C568" i="1"/>
  <c r="D484" i="1"/>
  <c r="L52" i="3"/>
  <c r="F242" i="1"/>
  <c r="G242" i="1"/>
  <c r="C242" i="1"/>
  <c r="D235" i="1"/>
  <c r="D243" i="1"/>
  <c r="D234" i="1"/>
  <c r="D244" i="1"/>
  <c r="E242" i="1"/>
  <c r="D246" i="1"/>
  <c r="G233" i="1"/>
  <c r="F233" i="1"/>
  <c r="E233" i="1"/>
  <c r="E246" i="1"/>
  <c r="F246" i="1"/>
  <c r="C233" i="1"/>
  <c r="G246" i="1"/>
  <c r="C246" i="1"/>
  <c r="C255" i="1"/>
  <c r="C259" i="1"/>
  <c r="J377" i="1"/>
  <c r="C263" i="1"/>
  <c r="J400" i="1"/>
  <c r="F19" i="2" l="1"/>
  <c r="F28" i="2" s="1"/>
  <c r="G28" i="2" s="1"/>
  <c r="C94" i="3" s="1"/>
  <c r="F50" i="3"/>
  <c r="F52" i="3"/>
  <c r="I52" i="3"/>
  <c r="L53" i="3" s="1"/>
  <c r="L54" i="3" s="1"/>
  <c r="D49" i="3" s="1"/>
  <c r="F14" i="3"/>
  <c r="C23" i="3"/>
  <c r="G14" i="3"/>
  <c r="D24" i="3"/>
  <c r="C572" i="1"/>
  <c r="F18" i="2"/>
  <c r="F27" i="2" s="1"/>
  <c r="C569" i="1"/>
  <c r="C571" i="1" s="1"/>
  <c r="C35" i="3"/>
  <c r="D16" i="3"/>
  <c r="F23" i="3"/>
  <c r="E14" i="3"/>
  <c r="E23" i="3"/>
  <c r="D15" i="3"/>
  <c r="F11" i="2"/>
  <c r="M469" i="1"/>
  <c r="M470" i="1" s="1"/>
  <c r="D485" i="1" s="1"/>
  <c r="D486" i="1" s="1"/>
  <c r="F488" i="1"/>
  <c r="C39" i="3"/>
  <c r="D25" i="3"/>
  <c r="G23" i="3"/>
  <c r="C183" i="3" l="1"/>
  <c r="D33" i="2"/>
  <c r="C497" i="1"/>
  <c r="C493" i="1"/>
  <c r="C496" i="1"/>
  <c r="E493" i="1"/>
  <c r="D494" i="1"/>
  <c r="F493" i="1"/>
  <c r="H493" i="1"/>
  <c r="F504" i="1"/>
  <c r="E504" i="1"/>
  <c r="H504" i="1"/>
  <c r="G504" i="1"/>
  <c r="D506" i="1"/>
  <c r="G493" i="1"/>
  <c r="C504" i="1"/>
  <c r="D505" i="1"/>
  <c r="D495" i="1"/>
  <c r="E94" i="3"/>
  <c r="C104" i="3"/>
  <c r="F29" i="2"/>
  <c r="G27" i="2"/>
  <c r="G588" i="1"/>
  <c r="C588" i="1"/>
  <c r="D588" i="1"/>
  <c r="H588" i="1"/>
  <c r="F588" i="1"/>
  <c r="E588" i="1"/>
  <c r="F12" i="2"/>
  <c r="F13" i="2" s="1"/>
  <c r="E11" i="2"/>
  <c r="D42" i="2"/>
  <c r="D45" i="2" s="1"/>
  <c r="G45" i="2" s="1"/>
  <c r="D11" i="2"/>
  <c r="F14" i="2"/>
  <c r="C195" i="3"/>
  <c r="E183" i="3"/>
  <c r="E589" i="1"/>
  <c r="E590" i="1" s="1"/>
  <c r="H589" i="1"/>
  <c r="C589" i="1"/>
  <c r="G589" i="1"/>
  <c r="F589" i="1"/>
  <c r="D589" i="1"/>
  <c r="D590" i="1" l="1"/>
  <c r="H590" i="1"/>
  <c r="C182" i="3"/>
  <c r="D32" i="2"/>
  <c r="C93" i="3"/>
  <c r="G29" i="2"/>
  <c r="D34" i="2" s="1"/>
  <c r="D40" i="2" s="1"/>
  <c r="D43" i="2" s="1"/>
  <c r="D44" i="2" s="1"/>
  <c r="G44" i="2" s="1"/>
  <c r="G46" i="2" s="1"/>
  <c r="D48" i="3" s="1"/>
  <c r="D50" i="3" s="1"/>
  <c r="E104" i="3"/>
  <c r="D110" i="3" s="1"/>
  <c r="D578" i="1"/>
  <c r="D579" i="1" s="1"/>
  <c r="D527" i="1"/>
  <c r="D558" i="1"/>
  <c r="G557" i="1"/>
  <c r="G578" i="1"/>
  <c r="G526" i="1"/>
  <c r="H547" i="1"/>
  <c r="H515" i="1"/>
  <c r="C550" i="1"/>
  <c r="C518" i="1"/>
  <c r="E195" i="3"/>
  <c r="D202" i="3" s="1"/>
  <c r="E12" i="2"/>
  <c r="E13" i="2" s="1"/>
  <c r="E14" i="2"/>
  <c r="D517" i="1"/>
  <c r="D549" i="1"/>
  <c r="D528" i="1"/>
  <c r="D559" i="1"/>
  <c r="E515" i="1"/>
  <c r="E577" i="1"/>
  <c r="E547" i="1"/>
  <c r="F590" i="1"/>
  <c r="G590" i="1"/>
  <c r="D12" i="2"/>
  <c r="D13" i="2" s="1"/>
  <c r="D14" i="2"/>
  <c r="G14" i="2" s="1"/>
  <c r="C557" i="1"/>
  <c r="C526" i="1"/>
  <c r="C578" i="1"/>
  <c r="H557" i="1"/>
  <c r="H526" i="1"/>
  <c r="F577" i="1"/>
  <c r="F547" i="1"/>
  <c r="F515" i="1"/>
  <c r="C547" i="1"/>
  <c r="C577" i="1"/>
  <c r="F526" i="1"/>
  <c r="F557" i="1"/>
  <c r="F578" i="1"/>
  <c r="C590" i="1"/>
  <c r="C594" i="1"/>
  <c r="C593" i="1"/>
  <c r="C603" i="1" s="1"/>
  <c r="G547" i="1"/>
  <c r="G515" i="1"/>
  <c r="G577" i="1"/>
  <c r="E578" i="1"/>
  <c r="E557" i="1"/>
  <c r="E526" i="1"/>
  <c r="D548" i="1"/>
  <c r="D516" i="1"/>
  <c r="D577" i="1"/>
  <c r="C519" i="1"/>
  <c r="C551" i="1"/>
  <c r="H579" i="1" l="1"/>
  <c r="C595" i="1"/>
  <c r="C604" i="1"/>
  <c r="C61" i="3"/>
  <c r="C60" i="3"/>
  <c r="C57" i="3"/>
  <c r="E57" i="3"/>
  <c r="E68" i="3"/>
  <c r="G57" i="3"/>
  <c r="D69" i="3"/>
  <c r="D58" i="3"/>
  <c r="D70" i="3"/>
  <c r="F68" i="3"/>
  <c r="C68" i="3"/>
  <c r="G68" i="3"/>
  <c r="F57" i="3"/>
  <c r="H68" i="3"/>
  <c r="D59" i="3"/>
  <c r="H57" i="3"/>
  <c r="C582" i="1"/>
  <c r="C608" i="1" s="1"/>
  <c r="C583" i="1"/>
  <c r="C579" i="1"/>
  <c r="G13" i="2"/>
  <c r="G15" i="2" s="1"/>
  <c r="G579" i="1"/>
  <c r="E93" i="3"/>
  <c r="E95" i="3" s="1"/>
  <c r="C103" i="3"/>
  <c r="C95" i="3"/>
  <c r="F579" i="1"/>
  <c r="E579" i="1"/>
  <c r="C605" i="1"/>
  <c r="C194" i="3"/>
  <c r="E182" i="3"/>
  <c r="E184" i="3" s="1"/>
  <c r="C184" i="3"/>
  <c r="C584" i="1" l="1"/>
  <c r="H81" i="3"/>
  <c r="F81" i="3"/>
  <c r="G80" i="3"/>
  <c r="E194" i="3"/>
  <c r="C196" i="3"/>
  <c r="F80" i="3"/>
  <c r="E81" i="3"/>
  <c r="H80" i="3"/>
  <c r="G81" i="3"/>
  <c r="D80" i="3"/>
  <c r="E80" i="3"/>
  <c r="C609" i="1"/>
  <c r="C610" i="1" s="1"/>
  <c r="E103" i="3"/>
  <c r="C105" i="3"/>
  <c r="C81" i="3"/>
  <c r="D81" i="3"/>
  <c r="C80" i="3"/>
  <c r="G82" i="3" l="1"/>
  <c r="D82" i="3"/>
  <c r="C86" i="3"/>
  <c r="C82" i="3"/>
  <c r="D109" i="3"/>
  <c r="E105" i="3"/>
  <c r="E196" i="3"/>
  <c r="D201" i="3"/>
  <c r="C85" i="3"/>
  <c r="C109" i="3" s="1"/>
  <c r="H82" i="3"/>
  <c r="E82" i="3"/>
  <c r="F82" i="3"/>
  <c r="E109" i="3" l="1"/>
  <c r="G109" i="3" s="1"/>
  <c r="D111" i="3"/>
  <c r="D203" i="3"/>
  <c r="C110" i="3"/>
  <c r="C87" i="3"/>
  <c r="C111" i="3" l="1"/>
  <c r="E110" i="3"/>
  <c r="H128" i="3"/>
  <c r="H129" i="3"/>
  <c r="H121" i="3"/>
  <c r="C121" i="3"/>
  <c r="G121" i="3"/>
  <c r="D122" i="3"/>
  <c r="F121" i="3"/>
  <c r="C125" i="3"/>
  <c r="E121" i="3"/>
  <c r="C124" i="3"/>
  <c r="D123" i="3"/>
  <c r="C146" i="3" l="1"/>
  <c r="T124" i="3"/>
  <c r="AB124" i="3" s="1"/>
  <c r="C221" i="3"/>
  <c r="D144" i="3"/>
  <c r="U122" i="3"/>
  <c r="AC122" i="3" s="1"/>
  <c r="D219" i="3"/>
  <c r="D169" i="3"/>
  <c r="H226" i="3"/>
  <c r="H151" i="3"/>
  <c r="E143" i="3"/>
  <c r="E169" i="3"/>
  <c r="V121" i="3"/>
  <c r="AD121" i="3" s="1"/>
  <c r="E218" i="3"/>
  <c r="G218" i="3"/>
  <c r="X121" i="3"/>
  <c r="AF121" i="3" s="1"/>
  <c r="G169" i="3"/>
  <c r="G143" i="3"/>
  <c r="H150" i="3"/>
  <c r="Y128" i="3"/>
  <c r="AG128" i="3" s="1"/>
  <c r="H225" i="3"/>
  <c r="C222" i="3"/>
  <c r="C147" i="3"/>
  <c r="T125" i="3"/>
  <c r="AB125" i="3" s="1"/>
  <c r="C218" i="3"/>
  <c r="C169" i="3"/>
  <c r="T121" i="3"/>
  <c r="AB121" i="3" s="1"/>
  <c r="G110" i="3"/>
  <c r="E111" i="3"/>
  <c r="U123" i="3"/>
  <c r="AC123" i="3" s="1"/>
  <c r="D145" i="3"/>
  <c r="D220" i="3"/>
  <c r="F169" i="3"/>
  <c r="F218" i="3"/>
  <c r="W121" i="3"/>
  <c r="AE121" i="3" s="1"/>
  <c r="F143" i="3"/>
  <c r="H143" i="3"/>
  <c r="Y121" i="3"/>
  <c r="AG121" i="3" s="1"/>
  <c r="H169" i="3"/>
  <c r="H218" i="3"/>
  <c r="H136" i="3" l="1"/>
  <c r="H137" i="3"/>
  <c r="C132" i="3"/>
  <c r="H132" i="3"/>
  <c r="E132" i="3"/>
  <c r="G132" i="3"/>
  <c r="F132" i="3"/>
  <c r="D134" i="3"/>
  <c r="D133" i="3"/>
  <c r="C174" i="3"/>
  <c r="C201" i="3" s="1"/>
  <c r="E201" i="3" s="1"/>
  <c r="D156" i="3" l="1"/>
  <c r="U133" i="3"/>
  <c r="AC133" i="3" s="1"/>
  <c r="D231" i="3"/>
  <c r="C229" i="3"/>
  <c r="C170" i="3"/>
  <c r="T131" i="3"/>
  <c r="AB131" i="3" s="1"/>
  <c r="C154" i="3"/>
  <c r="F154" i="3"/>
  <c r="F229" i="3"/>
  <c r="F170" i="3"/>
  <c r="F171" i="3" s="1"/>
  <c r="W131" i="3"/>
  <c r="AE131" i="3" s="1"/>
  <c r="G229" i="3"/>
  <c r="G170" i="3"/>
  <c r="G171" i="3" s="1"/>
  <c r="G154" i="3"/>
  <c r="X131" i="3"/>
  <c r="AF131" i="3" s="1"/>
  <c r="H234" i="3"/>
  <c r="H159" i="3"/>
  <c r="Y131" i="3"/>
  <c r="AG131" i="3" s="1"/>
  <c r="H229" i="3"/>
  <c r="H154" i="3"/>
  <c r="H170" i="3"/>
  <c r="H171" i="3" s="1"/>
  <c r="D230" i="3"/>
  <c r="D155" i="3"/>
  <c r="D170" i="3"/>
  <c r="D171" i="3" s="1"/>
  <c r="U132" i="3"/>
  <c r="AC132" i="3" s="1"/>
  <c r="V131" i="3"/>
  <c r="AD131" i="3" s="1"/>
  <c r="E154" i="3"/>
  <c r="E229" i="3"/>
  <c r="E170" i="3"/>
  <c r="E171" i="3" s="1"/>
  <c r="Y135" i="3"/>
  <c r="AG135" i="3" s="1"/>
  <c r="H158" i="3"/>
  <c r="H233" i="3"/>
  <c r="C171" i="3" l="1"/>
  <c r="C175" i="3"/>
  <c r="C202" i="3" l="1"/>
  <c r="C176" i="3"/>
  <c r="C203" i="3" l="1"/>
  <c r="E202" i="3"/>
  <c r="E20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Jacob, Shajan</author>
    <author>joer</author>
    <author>Bill Atzl</author>
  </authors>
  <commentList>
    <comment ref="A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Jacob, Shajan: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joer:</t>
        </r>
        <r>
          <rPr>
            <sz val="8"/>
            <color indexed="81"/>
            <rFont val="Tahoma"/>
            <family val="2"/>
          </rPr>
          <t xml:space="preserve">
Weighted Average</t>
        </r>
      </text>
    </comment>
    <comment ref="D98" authorId="2" shapeId="0" xr:uid="{00000000-0006-0000-0200-000003000000}">
      <text>
        <r>
          <rPr>
            <b/>
            <sz val="8"/>
            <color indexed="81"/>
            <rFont val="Tahoma"/>
            <family val="2"/>
          </rPr>
          <t>Bill Atzl:</t>
        </r>
        <r>
          <rPr>
            <sz val="8"/>
            <color indexed="81"/>
            <rFont val="Tahoma"/>
            <family val="2"/>
          </rPr>
          <t xml:space="preserve">
RECO RFP Price does not include transmission
</t>
        </r>
      </text>
    </comment>
    <comment ref="D99" authorId="2" shapeId="0" xr:uid="{00000000-0006-0000-0200-000004000000}">
      <text>
        <r>
          <rPr>
            <b/>
            <sz val="8"/>
            <color indexed="81"/>
            <rFont val="Tahoma"/>
            <family val="2"/>
          </rPr>
          <t>Bill Atzl:</t>
        </r>
        <r>
          <rPr>
            <sz val="8"/>
            <color indexed="81"/>
            <rFont val="Tahoma"/>
            <family val="2"/>
          </rPr>
          <t xml:space="preserve">
RECO RFP Price does not include transmission
</t>
        </r>
      </text>
    </comment>
    <comment ref="H128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joer:</t>
        </r>
        <r>
          <rPr>
            <sz val="8"/>
            <color indexed="81"/>
            <rFont val="Tahoma"/>
            <family val="2"/>
          </rPr>
          <t xml:space="preserve">
Confirm this number with NERA's pricing spreadsheet.</t>
        </r>
      </text>
    </comment>
    <comment ref="H136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joer:</t>
        </r>
        <r>
          <rPr>
            <sz val="8"/>
            <color indexed="81"/>
            <rFont val="Tahoma"/>
            <family val="2"/>
          </rPr>
          <t xml:space="preserve">
Confirm this number with NERA's pricing spreadsheet.</t>
        </r>
      </text>
    </comment>
    <comment ref="B139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joer:</t>
        </r>
        <r>
          <rPr>
            <sz val="8"/>
            <color indexed="81"/>
            <rFont val="Tahoma"/>
            <family val="2"/>
          </rPr>
          <t xml:space="preserve">
These are used to update the BGS Tariff Leaves</t>
        </r>
      </text>
    </comment>
    <comment ref="E139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>joer:</t>
        </r>
        <r>
          <rPr>
            <sz val="8"/>
            <color indexed="81"/>
            <rFont val="Tahoma"/>
            <family val="2"/>
          </rPr>
          <t xml:space="preserve">
Increase in SUT</t>
        </r>
      </text>
    </comment>
    <comment ref="D188" authorId="2" shapeId="0" xr:uid="{00000000-0006-0000-0200-000009000000}">
      <text>
        <r>
          <rPr>
            <b/>
            <sz val="8"/>
            <color indexed="81"/>
            <rFont val="Tahoma"/>
            <family val="2"/>
          </rPr>
          <t>Bill Atzl:</t>
        </r>
        <r>
          <rPr>
            <sz val="8"/>
            <color indexed="81"/>
            <rFont val="Tahoma"/>
            <family val="2"/>
          </rPr>
          <t xml:space="preserve">
RECO RFP Price does not include transmission
</t>
        </r>
      </text>
    </comment>
    <comment ref="D189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Bill Atzl:</t>
        </r>
        <r>
          <rPr>
            <sz val="8"/>
            <color indexed="81"/>
            <rFont val="Tahoma"/>
            <family val="2"/>
          </rPr>
          <t xml:space="preserve">
RECO RFP Price does not include transmission
</t>
        </r>
      </text>
    </comment>
  </commentList>
</comments>
</file>

<file path=xl/sharedStrings.xml><?xml version="1.0" encoding="utf-8"?>
<sst xmlns="http://schemas.openxmlformats.org/spreadsheetml/2006/main" count="1121" uniqueCount="402">
  <si>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</si>
  <si>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</si>
  <si>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</si>
  <si>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</si>
  <si>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</si>
  <si>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</si>
  <si>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</si>
  <si>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SC1/SC5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</si>
  <si>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</si>
  <si>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</si>
  <si>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</si>
  <si>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</si>
  <si>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</si>
  <si>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</si>
  <si>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</si>
  <si>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</si>
  <si>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</si>
  <si>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</si>
  <si>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</si>
  <si>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</si>
  <si>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</si>
  <si>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</si>
  <si>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</si>
  <si>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</si>
  <si>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</si>
  <si>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</si>
  <si>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</si>
  <si>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</si>
  <si>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</si>
  <si>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</si>
  <si>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</si>
  <si>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</si>
  <si>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</si>
  <si>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</si>
  <si>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</si>
  <si>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</si>
  <si>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</si>
  <si>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</si>
  <si>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</si>
  <si>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</si>
  <si>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</si>
  <si>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</si>
  <si>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</si>
  <si>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</si>
  <si>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</si>
  <si>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</si>
  <si>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</si>
  <si>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</si>
  <si>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</si>
  <si>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</si>
  <si>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</si>
  <si>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</si>
  <si>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</si>
  <si>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</si>
  <si>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</si>
  <si>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</si>
  <si>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</si>
  <si>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</si>
  <si>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</si>
  <si>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</si>
  <si>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</si>
  <si>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</si>
  <si>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</si>
  <si>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</si>
  <si>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</si>
  <si>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</si>
  <si>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</si>
  <si>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</si>
  <si>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</si>
  <si>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</si>
  <si>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</si>
  <si>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</si>
  <si>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</si>
  <si>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</si>
  <si>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</si>
  <si>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</si>
  <si>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</si>
  <si>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</si>
  <si>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</si>
  <si>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</si>
  <si>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</si>
  <si>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</si>
  <si>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</si>
  <si>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</si>
  <si>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</si>
  <si>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</si>
  <si>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</si>
  <si>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</si>
  <si>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</si>
  <si>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</si>
  <si>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</si>
  <si>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</si>
  <si>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</si>
  <si>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</si>
  <si>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</si>
  <si>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</si>
  <si>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</si>
  <si>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</si>
  <si>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</si>
  <si>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</si>
  <si>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</si>
  <si>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</si>
  <si>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</si>
  <si>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</si>
  <si>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</si>
  <si>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</si>
  <si>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</si>
  <si>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</si>
  <si>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</si>
  <si>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</si>
  <si>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</si>
  <si>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</si>
  <si>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</si>
  <si>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</si>
  <si>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</si>
  <si>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</si>
  <si>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</si>
  <si>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</si>
  <si>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</si>
  <si>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</si>
  <si>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</si>
  <si>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</si>
  <si>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</si>
  <si>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</si>
  <si>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</si>
  <si>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</si>
  <si>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</si>
  <si>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</si>
  <si>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</si>
  <si>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</si>
  <si>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</si>
  <si>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</si>
  <si>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</si>
  <si>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</si>
  <si>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</si>
  <si>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</si>
  <si>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</si>
  <si>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</si>
  <si>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</si>
  <si>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</si>
  <si>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</si>
  <si>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</si>
  <si>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</si>
  <si>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</si>
  <si>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</si>
  <si>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</si>
  <si>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</si>
  <si>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</si>
  <si>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</si>
  <si>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</si>
  <si>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</si>
  <si>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</si>
  <si>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</si>
  <si>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</si>
  <si>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</si>
  <si>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</si>
  <si>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</si>
  <si>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</si>
  <si>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</si>
  <si>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</si>
  <si>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</si>
  <si>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</si>
  <si>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</si>
  <si>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</si>
  <si>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</si>
  <si>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</si>
  <si>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</si>
  <si>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</si>
  <si>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</si>
  <si>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</si>
  <si>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</si>
  <si>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</si>
  <si>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</si>
  <si>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</si>
  <si>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</si>
  <si>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</si>
  <si>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</si>
  <si>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</si>
  <si>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</si>
  <si>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</si>
  <si>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</si>
  <si>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</si>
  <si>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</si>
  <si>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</si>
  <si>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</si>
  <si>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</si>
  <si>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</si>
  <si>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</si>
  <si>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</si>
  <si>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</si>
  <si>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</si>
  <si>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</si>
  <si>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</si>
  <si>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</si>
  <si>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</si>
  <si>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</si>
  <si>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</si>
  <si>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</si>
  <si>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</si>
  <si>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</si>
  <si>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</si>
  <si>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</si>
  <si>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</si>
  <si>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</si>
  <si>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</si>
  <si>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</si>
  <si>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</si>
  <si>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</si>
  <si>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</si>
  <si>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</si>
  <si>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</si>
  <si>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</si>
  <si>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</si>
  <si>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</si>
  <si>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</si>
  <si>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</si>
  <si>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</si>
  <si>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</si>
  <si>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</si>
  <si>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</si>
  <si>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</si>
  <si>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</si>
  <si>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</si>
  <si>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</si>
  <si>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</si>
  <si>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</si>
  <si>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</si>
  <si>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</si>
  <si>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</si>
  <si>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</si>
  <si>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</si>
  <si>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</si>
  <si>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</si>
  <si>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</si>
  <si>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</si>
  <si>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</si>
  <si>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</si>
  <si>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</si>
  <si>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</si>
  <si>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</si>
  <si>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</si>
  <si>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</si>
  <si>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</si>
  <si>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</si>
  <si>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</si>
  <si>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</si>
  <si>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</si>
  <si>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</si>
  <si>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</si>
  <si>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</si>
  <si>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</si>
  <si>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</si>
  <si>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</si>
  <si>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</si>
  <si>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 xml:space="preserve"> 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</si>
  <si>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</si>
  <si>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</si>
  <si>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</si>
  <si>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</si>
  <si>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</si>
  <si>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</si>
  <si>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</si>
  <si>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</si>
  <si>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</si>
  <si>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</si>
  <si>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</si>
  <si>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</si>
  <si>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</si>
  <si>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</si>
  <si>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</si>
  <si>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</si>
  <si>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</si>
  <si>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SC1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</si>
  <si>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</si>
  <si>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</si>
  <si>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</si>
  <si>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</si>
  <si>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</si>
  <si>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</si>
  <si>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</si>
  <si>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</si>
  <si>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</si>
  <si>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</si>
  <si>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</si>
  <si>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</si>
  <si>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</si>
  <si>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</si>
  <si>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</si>
  <si>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</si>
  <si>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</si>
  <si>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</si>
  <si>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</si>
  <si>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</si>
  <si>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</si>
  <si>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</si>
  <si>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</si>
  <si>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</si>
  <si>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</si>
  <si>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</si>
  <si>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</si>
  <si>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</si>
  <si>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</si>
  <si>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</si>
  <si>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Winning Bid Price (¢/kWh)*</t>
  </si>
  <si>
    <t>Transmission (¢/kWh)</t>
  </si>
  <si>
    <t>Average transmission cost included in bid</t>
  </si>
  <si>
    <t>BGS (¢/kWh)</t>
  </si>
  <si>
    <t>=(2)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</si>
  <si>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</si>
  <si>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</si>
  <si>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</si>
  <si>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</si>
  <si>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</si>
  <si>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</si>
  <si>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</si>
  <si>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</si>
  <si>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</si>
  <si>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</si>
  <si>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</si>
  <si>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</si>
  <si>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</si>
  <si>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</si>
  <si>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</si>
  <si>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(2c) / 100 * (8) * (10) * 1,000</t>
  </si>
  <si>
    <t>= (1) / Total Tranches * (2c) / 100* (9) * (11) * 1,000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</si>
  <si>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</si>
  <si>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</si>
  <si>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</si>
  <si>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</si>
  <si>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</si>
  <si>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</si>
  <si>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</si>
  <si>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</si>
  <si>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</si>
  <si>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</si>
  <si>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</si>
  <si>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</si>
  <si>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</si>
  <si>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</si>
  <si>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</si>
  <si>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</si>
  <si>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</si>
  <si>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</si>
  <si>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</si>
  <si>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</si>
  <si>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</si>
  <si>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</si>
  <si>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</si>
  <si>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</si>
  <si>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</si>
  <si>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</si>
  <si>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</si>
  <si>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</si>
  <si>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</si>
  <si>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</si>
  <si>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</si>
  <si>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</si>
  <si>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</si>
  <si>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</si>
  <si>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</si>
  <si>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</si>
  <si>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</si>
  <si>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</si>
  <si>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</si>
  <si>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</si>
  <si>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</si>
  <si>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</si>
  <si>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</si>
  <si>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</si>
  <si>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</si>
  <si>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</si>
  <si>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</si>
  <si>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</si>
  <si>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</si>
  <si>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</si>
  <si>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</si>
  <si>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</si>
  <si>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</si>
  <si>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</si>
  <si>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</si>
  <si>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</si>
  <si>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</si>
  <si>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</si>
  <si>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</si>
  <si>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</si>
  <si>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</si>
  <si>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</si>
  <si>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</si>
  <si>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</si>
  <si>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</si>
  <si>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</si>
  <si>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</si>
  <si>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</si>
  <si>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</si>
  <si>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</si>
  <si>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</si>
  <si>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</si>
  <si>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</si>
  <si>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</si>
  <si>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</si>
  <si>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2020 to May 2021 Forwards @ PJM West as of June 03, 2019</t>
  </si>
  <si>
    <t>Based on May 2020 to Apr 2021 Forwards @ NYISO Zone G and Lower Hudson Valley (LHV) as of June 01,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</si>
</sst>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&quot;$&quot;#,##0.00"/>
    <numFmt numFmtId="177" formatCode="0.000%"/>
    <numFmt numFmtId="178" formatCode="_(* #,##0.000000_);_(* \(#,##0.000000\);_(* &quot;-&quot;??_);_(@_)"/>
    <numFmt numFmtId="179" formatCode="#,##0.000_);\(#,##0.000\)"/>
    <numFmt numFmtId="180" formatCode="0.00_);\(0.00\)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8.699999999999999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Alignment="1">
      <alignment horizontal="left"/>
    </xf>
    <xf numFmtId="0" fontId="5" fillId="0" borderId="0" xfId="0" quotePrefix="1" applyFont="1" applyFill="1" applyAlignment="1">
      <alignment horizontal="left"/>
    </xf>
    <xf numFmtId="0" fontId="1" fillId="0" borderId="0" xfId="0" applyFont="1"/>
    <xf numFmtId="3" fontId="9" fillId="0" borderId="0" xfId="0" applyNumberFormat="1" applyFont="1" applyFill="1"/>
    <xf numFmtId="0" fontId="0" fillId="0" borderId="0" xfId="0" applyAlignment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Continuous"/>
    </xf>
    <xf numFmtId="0" fontId="5" fillId="0" borderId="0" xfId="0" applyFont="1" applyFill="1" applyBorder="1"/>
    <xf numFmtId="44" fontId="0" fillId="0" borderId="0" xfId="2" quotePrefix="1" applyFont="1" applyFill="1"/>
    <xf numFmtId="166" fontId="0" fillId="0" borderId="0" xfId="2" quotePrefix="1" applyNumberFormat="1" applyFont="1" applyFill="1" applyAlignment="1">
      <alignment horizontal="left"/>
    </xf>
    <xf numFmtId="44" fontId="0" fillId="0" borderId="0" xfId="2" quotePrefix="1" applyFont="1" applyFill="1" applyAlignment="1">
      <alignment horizontal="left"/>
    </xf>
    <xf numFmtId="0" fontId="7" fillId="0" borderId="0" xfId="0" applyFont="1" applyFill="1"/>
    <xf numFmtId="173" fontId="7" fillId="0" borderId="0" xfId="1" quotePrefix="1" applyNumberFormat="1" applyFont="1" applyFill="1" applyBorder="1"/>
    <xf numFmtId="0" fontId="7" fillId="0" borderId="0" xfId="0" applyFont="1" applyFill="1" applyAlignment="1">
      <alignment horizontal="right"/>
    </xf>
    <xf numFmtId="0" fontId="7" fillId="0" borderId="0" xfId="0" quotePrefix="1" applyFont="1" applyFill="1" applyAlignment="1">
      <alignment horizontal="right"/>
    </xf>
    <xf numFmtId="44" fontId="7" fillId="0" borderId="0" xfId="2" quotePrefix="1" applyFont="1" applyFill="1" applyBorder="1"/>
    <xf numFmtId="0" fontId="7" fillId="0" borderId="0" xfId="0" quotePrefix="1" applyFont="1" applyFill="1" applyAlignment="1">
      <alignment horizontal="left"/>
    </xf>
    <xf numFmtId="166" fontId="0" fillId="0" borderId="0" xfId="2" applyNumberFormat="1" applyFont="1" applyFill="1"/>
    <xf numFmtId="9" fontId="0" fillId="0" borderId="0" xfId="3" applyFont="1" applyFill="1"/>
    <xf numFmtId="166" fontId="0" fillId="0" borderId="0" xfId="3" applyNumberFormat="1" applyFont="1" applyFill="1"/>
    <xf numFmtId="0" fontId="8" fillId="0" borderId="0" xfId="0" applyFont="1" applyFill="1" applyAlignment="1">
      <alignment horizontal="right"/>
    </xf>
    <xf numFmtId="7" fontId="0" fillId="0" borderId="0" xfId="3" applyNumberFormat="1" applyFont="1" applyFill="1"/>
    <xf numFmtId="44" fontId="6" fillId="0" borderId="0" xfId="0" quotePrefix="1" applyNumberFormat="1" applyFont="1" applyFill="1"/>
    <xf numFmtId="0" fontId="9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166" fontId="9" fillId="0" borderId="0" xfId="2" applyNumberFormat="1" applyFont="1" applyFill="1"/>
    <xf numFmtId="166" fontId="9" fillId="0" borderId="0" xfId="0" applyNumberFormat="1" applyFont="1" applyFill="1"/>
    <xf numFmtId="166" fontId="7" fillId="0" borderId="0" xfId="0" applyNumberFormat="1" applyFont="1" applyFill="1"/>
    <xf numFmtId="177" fontId="6" fillId="0" borderId="0" xfId="3" applyNumberFormat="1" applyFont="1" applyFill="1"/>
    <xf numFmtId="166" fontId="9" fillId="0" borderId="0" xfId="0" quotePrefix="1" applyNumberFormat="1" applyFont="1" applyFill="1" applyAlignment="1">
      <alignment horizontal="left"/>
    </xf>
    <xf numFmtId="0" fontId="14" fillId="0" borderId="0" xfId="0" applyFont="1"/>
    <xf numFmtId="170" fontId="14" fillId="0" borderId="0" xfId="0" applyNumberFormat="1" applyFont="1" applyFill="1" applyBorder="1"/>
    <xf numFmtId="0" fontId="14" fillId="0" borderId="0" xfId="0" applyFont="1" applyFill="1"/>
    <xf numFmtId="175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0" fontId="20" fillId="0" borderId="0" xfId="0" applyFont="1" applyFill="1"/>
    <xf numFmtId="3" fontId="14" fillId="0" borderId="0" xfId="0" applyNumberFormat="1" applyFont="1" applyFill="1"/>
    <xf numFmtId="3" fontId="20" fillId="0" borderId="0" xfId="0" applyNumberFormat="1" applyFont="1" applyFill="1"/>
    <xf numFmtId="0" fontId="14" fillId="0" borderId="0" xfId="0" applyFont="1" applyFill="1" applyBorder="1"/>
    <xf numFmtId="170" fontId="21" fillId="0" borderId="15" xfId="0" applyNumberFormat="1" applyFont="1" applyFill="1" applyBorder="1"/>
    <xf numFmtId="44" fontId="7" fillId="0" borderId="0" xfId="2" quotePrefix="1" applyNumberFormat="1" applyFont="1" applyFill="1" applyBorder="1"/>
    <xf numFmtId="43" fontId="22" fillId="0" borderId="0" xfId="1" applyFont="1" applyFill="1" applyAlignment="1">
      <alignment horizontal="right"/>
    </xf>
    <xf numFmtId="166" fontId="22" fillId="0" borderId="0" xfId="0" applyNumberFormat="1" applyFont="1" applyFill="1"/>
    <xf numFmtId="0" fontId="0" fillId="2" borderId="0" xfId="0" applyFill="1"/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quotePrefix="1" applyFill="1" applyAlignment="1">
      <alignment horizontal="left"/>
    </xf>
    <xf numFmtId="179" fontId="0" fillId="2" borderId="0" xfId="0" quotePrefix="1" applyNumberFormat="1" applyFill="1" applyAlignment="1">
      <alignment horizontal="right"/>
    </xf>
    <xf numFmtId="179" fontId="0" fillId="2" borderId="0" xfId="0" applyNumberFormat="1" applyFill="1"/>
    <xf numFmtId="164" fontId="0" fillId="2" borderId="0" xfId="3" quotePrefix="1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179" fontId="1" fillId="2" borderId="0" xfId="0" applyNumberFormat="1" applyFont="1" applyFill="1"/>
    <xf numFmtId="0" fontId="1" fillId="2" borderId="0" xfId="0" quotePrefix="1" applyFont="1" applyFill="1" applyAlignment="1">
      <alignment horizontal="left"/>
    </xf>
    <xf numFmtId="179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3" borderId="0" xfId="0" quotePrefix="1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37" fontId="0" fillId="3" borderId="0" xfId="0" applyNumberFormat="1" applyFill="1" applyAlignment="1"/>
    <xf numFmtId="180" fontId="0" fillId="3" borderId="0" xfId="0" applyNumberFormat="1" applyFill="1" applyAlignment="1"/>
    <xf numFmtId="37" fontId="9" fillId="3" borderId="0" xfId="0" applyNumberFormat="1" applyFont="1" applyFill="1" applyAlignment="1"/>
    <xf numFmtId="180" fontId="9" fillId="3" borderId="0" xfId="0" applyNumberFormat="1" applyFont="1" applyFill="1" applyAlignment="1"/>
    <xf numFmtId="0" fontId="0" fillId="3" borderId="0" xfId="0" applyFill="1" applyAlignment="1"/>
    <xf numFmtId="2" fontId="0" fillId="3" borderId="0" xfId="0" applyNumberFormat="1" applyFill="1" applyAlignment="1"/>
    <xf numFmtId="0" fontId="0" fillId="0" borderId="0" xfId="0" applyFont="1" applyFill="1"/>
    <xf numFmtId="10" fontId="0" fillId="0" borderId="0" xfId="3" quotePrefix="1" applyNumberFormat="1" applyFont="1" applyFill="1"/>
    <xf numFmtId="10" fontId="0" fillId="0" borderId="0" xfId="3" applyNumberFormat="1" applyFont="1" applyFill="1"/>
    <xf numFmtId="164" fontId="0" fillId="0" borderId="0" xfId="3" quotePrefix="1" applyNumberFormat="1" applyFont="1" applyFill="1" applyAlignment="1">
      <alignment horizontal="right"/>
    </xf>
    <xf numFmtId="3" fontId="0" fillId="0" borderId="0" xfId="0" applyNumberFormat="1" applyFont="1" applyFill="1"/>
    <xf numFmtId="0" fontId="0" fillId="0" borderId="0" xfId="0" applyFont="1" applyFill="1" applyAlignment="1">
      <alignment horizontal="right"/>
    </xf>
    <xf numFmtId="3" fontId="0" fillId="0" borderId="0" xfId="0" quotePrefix="1" applyNumberFormat="1" applyFont="1" applyFill="1"/>
    <xf numFmtId="0" fontId="0" fillId="0" borderId="0" xfId="0" quotePrefix="1" applyFont="1" applyFill="1" applyAlignment="1">
      <alignment horizontal="right"/>
    </xf>
    <xf numFmtId="4" fontId="0" fillId="0" borderId="0" xfId="0" applyNumberFormat="1" applyFont="1" applyFill="1"/>
    <xf numFmtId="165" fontId="0" fillId="0" borderId="0" xfId="0" applyNumberFormat="1" applyFont="1" applyFill="1"/>
    <xf numFmtId="44" fontId="0" fillId="0" borderId="0" xfId="2" quotePrefix="1" applyNumberFormat="1" applyFont="1" applyFill="1"/>
    <xf numFmtId="166" fontId="0" fillId="0" borderId="0" xfId="2" quotePrefix="1" applyNumberFormat="1" applyFont="1" applyFill="1"/>
    <xf numFmtId="167" fontId="0" fillId="0" borderId="0" xfId="0" applyNumberFormat="1" applyFont="1" applyFill="1"/>
    <xf numFmtId="168" fontId="0" fillId="0" borderId="0" xfId="0" applyNumberFormat="1" applyFont="1" applyFill="1"/>
    <xf numFmtId="169" fontId="0" fillId="0" borderId="0" xfId="0" applyNumberFormat="1" applyFont="1" applyFill="1"/>
    <xf numFmtId="7" fontId="0" fillId="0" borderId="0" xfId="2" applyNumberFormat="1" applyFont="1" applyFill="1"/>
    <xf numFmtId="0" fontId="0" fillId="0" borderId="0" xfId="0" quotePrefix="1" applyFont="1" applyFill="1" applyAlignment="1">
      <alignment horizontal="lef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170" fontId="0" fillId="0" borderId="0" xfId="0" applyNumberFormat="1" applyFont="1" applyFill="1"/>
    <xf numFmtId="10" fontId="0" fillId="0" borderId="0" xfId="0" applyNumberFormat="1" applyFont="1" applyFill="1" applyBorder="1"/>
    <xf numFmtId="7" fontId="0" fillId="0" borderId="0" xfId="0" applyNumberFormat="1" applyFont="1" applyFill="1"/>
    <xf numFmtId="0" fontId="0" fillId="0" borderId="0" xfId="0" quotePrefix="1" applyFont="1" applyFill="1"/>
    <xf numFmtId="166" fontId="0" fillId="0" borderId="0" xfId="0" applyNumberFormat="1" applyFont="1" applyFill="1"/>
    <xf numFmtId="5" fontId="0" fillId="0" borderId="0" xfId="0" applyNumberFormat="1" applyFont="1" applyFill="1"/>
    <xf numFmtId="17" fontId="0" fillId="0" borderId="0" xfId="0" applyNumberFormat="1" applyFont="1" applyFill="1"/>
    <xf numFmtId="17" fontId="0" fillId="0" borderId="0" xfId="0" applyNumberFormat="1" applyFont="1" applyFill="1" applyAlignment="1">
      <alignment horizontal="right"/>
    </xf>
    <xf numFmtId="171" fontId="0" fillId="0" borderId="0" xfId="2" quotePrefix="1" applyNumberFormat="1" applyFont="1" applyFill="1"/>
    <xf numFmtId="172" fontId="0" fillId="0" borderId="0" xfId="0" applyNumberFormat="1" applyFont="1" applyFill="1"/>
    <xf numFmtId="166" fontId="0" fillId="0" borderId="0" xfId="0" quotePrefix="1" applyNumberFormat="1" applyFont="1" applyFill="1" applyAlignment="1">
      <alignment horizontal="left"/>
    </xf>
    <xf numFmtId="43" fontId="0" fillId="0" borderId="0" xfId="1" quotePrefix="1" applyFont="1" applyFill="1"/>
    <xf numFmtId="4" fontId="0" fillId="0" borderId="5" xfId="0" applyNumberFormat="1" applyFont="1" applyFill="1" applyBorder="1"/>
    <xf numFmtId="9" fontId="0" fillId="0" borderId="0" xfId="3" applyNumberFormat="1" applyFont="1" applyFill="1"/>
    <xf numFmtId="175" fontId="0" fillId="0" borderId="0" xfId="0" applyNumberFormat="1" applyFont="1" applyFill="1"/>
    <xf numFmtId="9" fontId="0" fillId="0" borderId="0" xfId="1" applyNumberFormat="1" applyFont="1" applyFill="1"/>
    <xf numFmtId="43" fontId="0" fillId="0" borderId="0" xfId="2" applyNumberFormat="1" applyFont="1" applyFill="1"/>
    <xf numFmtId="44" fontId="0" fillId="0" borderId="0" xfId="0" applyNumberFormat="1" applyFont="1" applyFill="1"/>
    <xf numFmtId="176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/>
    <xf numFmtId="170" fontId="0" fillId="0" borderId="0" xfId="0" quotePrefix="1" applyNumberFormat="1" applyFont="1" applyFill="1" applyAlignment="1">
      <alignment horizontal="right"/>
    </xf>
    <xf numFmtId="2" fontId="0" fillId="0" borderId="0" xfId="0" quotePrefix="1" applyNumberFormat="1" applyFont="1" applyFill="1" applyAlignment="1">
      <alignment horizontal="right"/>
    </xf>
    <xf numFmtId="176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4" fillId="0" borderId="0" xfId="0" applyFont="1" applyFill="1"/>
    <xf numFmtId="1" fontId="7" fillId="0" borderId="0" xfId="1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Alignment="1">
      <alignment horizontal="left"/>
    </xf>
    <xf numFmtId="0" fontId="7" fillId="0" borderId="0" xfId="0" quotePrefix="1" applyFont="1" applyFill="1" applyBorder="1"/>
    <xf numFmtId="39" fontId="0" fillId="0" borderId="0" xfId="0" quotePrefix="1" applyNumberFormat="1" applyFont="1" applyFill="1"/>
    <xf numFmtId="0" fontId="7" fillId="0" borderId="0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5" fillId="0" borderId="0" xfId="0" quotePrefix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0" fillId="0" borderId="0" xfId="3" quotePrefix="1" applyNumberFormat="1" applyFont="1" applyFill="1"/>
    <xf numFmtId="9" fontId="0" fillId="0" borderId="0" xfId="3" quotePrefix="1" applyFont="1" applyFill="1"/>
    <xf numFmtId="10" fontId="0" fillId="0" borderId="0" xfId="0" applyNumberFormat="1" applyFont="1" applyFill="1"/>
    <xf numFmtId="9" fontId="5" fillId="0" borderId="0" xfId="3" applyFont="1" applyFill="1"/>
    <xf numFmtId="0" fontId="5" fillId="0" borderId="0" xfId="0" quotePrefix="1" applyFont="1" applyFill="1" applyAlignment="1">
      <alignment horizontal="center" wrapText="1"/>
    </xf>
    <xf numFmtId="9" fontId="0" fillId="0" borderId="0" xfId="3" quotePrefix="1" applyFont="1" applyFill="1" applyAlignment="1">
      <alignment horizontal="center"/>
    </xf>
    <xf numFmtId="17" fontId="7" fillId="0" borderId="0" xfId="0" applyNumberFormat="1" applyFont="1" applyFill="1"/>
    <xf numFmtId="17" fontId="5" fillId="0" borderId="0" xfId="0" quotePrefix="1" applyNumberFormat="1" applyFont="1" applyFill="1" applyAlignment="1">
      <alignment horizontal="left"/>
    </xf>
    <xf numFmtId="3" fontId="0" fillId="0" borderId="0" xfId="0" quotePrefix="1" applyNumberFormat="1" applyFont="1" applyFill="1" applyBorder="1"/>
    <xf numFmtId="17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0" fillId="0" borderId="4" xfId="0" applyNumberFormat="1" applyFont="1" applyFill="1" applyBorder="1"/>
    <xf numFmtId="3" fontId="0" fillId="0" borderId="0" xfId="0" applyNumberFormat="1" applyFont="1" applyFill="1" applyBorder="1"/>
    <xf numFmtId="3" fontId="0" fillId="0" borderId="0" xfId="0" quotePrefix="1" applyNumberFormat="1" applyFont="1" applyFill="1" applyBorder="1" applyAlignment="1">
      <alignment horizontal="right"/>
    </xf>
    <xf numFmtId="165" fontId="0" fillId="0" borderId="0" xfId="0" applyNumberFormat="1" applyFont="1" applyFill="1" applyBorder="1"/>
    <xf numFmtId="0" fontId="0" fillId="0" borderId="5" xfId="0" applyFont="1" applyFill="1" applyBorder="1" applyAlignment="1"/>
    <xf numFmtId="0" fontId="6" fillId="0" borderId="0" xfId="0" quotePrefix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quotePrefix="1" applyFont="1" applyFill="1" applyBorder="1" applyAlignment="1">
      <alignment horizontal="right"/>
    </xf>
    <xf numFmtId="166" fontId="0" fillId="0" borderId="0" xfId="2" applyNumberFormat="1" applyFont="1" applyFill="1" applyBorder="1"/>
    <xf numFmtId="44" fontId="0" fillId="0" borderId="0" xfId="0" applyNumberFormat="1" applyFont="1" applyFill="1" applyBorder="1"/>
    <xf numFmtId="44" fontId="0" fillId="0" borderId="0" xfId="2" applyFont="1" applyFill="1"/>
    <xf numFmtId="166" fontId="0" fillId="0" borderId="0" xfId="0" applyNumberFormat="1" applyFont="1" applyFill="1" applyBorder="1"/>
    <xf numFmtId="39" fontId="0" fillId="0" borderId="0" xfId="0" applyNumberFormat="1" applyFont="1" applyFill="1"/>
    <xf numFmtId="14" fontId="0" fillId="0" borderId="0" xfId="0" applyNumberFormat="1" applyFont="1" applyFill="1"/>
    <xf numFmtId="168" fontId="0" fillId="0" borderId="0" xfId="0" applyNumberFormat="1" applyFont="1" applyFill="1" applyAlignment="1">
      <alignment horizontal="right"/>
    </xf>
    <xf numFmtId="43" fontId="0" fillId="0" borderId="0" xfId="1" applyFont="1" applyFill="1"/>
    <xf numFmtId="43" fontId="0" fillId="0" borderId="0" xfId="0" applyNumberFormat="1" applyFont="1" applyFill="1"/>
    <xf numFmtId="171" fontId="0" fillId="0" borderId="0" xfId="0" applyNumberFormat="1" applyFont="1" applyFill="1"/>
    <xf numFmtId="0" fontId="9" fillId="0" borderId="0" xfId="0" applyFont="1" applyFill="1" applyAlignment="1">
      <alignment horizontal="left"/>
    </xf>
    <xf numFmtId="44" fontId="0" fillId="0" borderId="0" xfId="2" applyNumberFormat="1" applyFont="1" applyFill="1"/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17" fontId="9" fillId="0" borderId="0" xfId="0" applyNumberFormat="1" applyFont="1" applyFill="1" applyAlignment="1">
      <alignment horizontal="left"/>
    </xf>
    <xf numFmtId="0" fontId="9" fillId="0" borderId="4" xfId="0" quotePrefix="1" applyFont="1" applyFill="1" applyBorder="1" applyAlignment="1">
      <alignment horizontal="left"/>
    </xf>
    <xf numFmtId="0" fontId="12" fillId="0" borderId="0" xfId="0" quotePrefix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9" fontId="11" fillId="0" borderId="0" xfId="0" applyNumberFormat="1" applyFont="1" applyFill="1"/>
    <xf numFmtId="171" fontId="11" fillId="0" borderId="0" xfId="2" quotePrefix="1" applyNumberFormat="1" applyFont="1" applyFill="1"/>
    <xf numFmtId="3" fontId="11" fillId="0" borderId="0" xfId="0" quotePrefix="1" applyNumberFormat="1" applyFont="1" applyFill="1"/>
    <xf numFmtId="3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11" fillId="0" borderId="0" xfId="0" quotePrefix="1" applyFont="1" applyFill="1"/>
    <xf numFmtId="44" fontId="11" fillId="0" borderId="0" xfId="2" applyNumberFormat="1" applyFont="1" applyFill="1"/>
    <xf numFmtId="44" fontId="11" fillId="0" borderId="0" xfId="0" applyNumberFormat="1" applyFont="1" applyFill="1"/>
    <xf numFmtId="166" fontId="0" fillId="0" borderId="6" xfId="0" applyNumberFormat="1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3" fontId="0" fillId="0" borderId="9" xfId="0" applyNumberFormat="1" applyFont="1" applyFill="1" applyBorder="1"/>
    <xf numFmtId="0" fontId="0" fillId="0" borderId="10" xfId="0" applyFont="1" applyFill="1" applyBorder="1"/>
    <xf numFmtId="3" fontId="0" fillId="0" borderId="11" xfId="0" applyNumberFormat="1" applyFont="1" applyFill="1" applyBorder="1"/>
    <xf numFmtId="43" fontId="0" fillId="0" borderId="0" xfId="1" quotePrefix="1" applyFont="1" applyFill="1" applyBorder="1"/>
    <xf numFmtId="43" fontId="7" fillId="0" borderId="0" xfId="1" quotePrefix="1" applyFont="1" applyFill="1" applyBorder="1"/>
    <xf numFmtId="173" fontId="0" fillId="0" borderId="0" xfId="1" quotePrefix="1" applyNumberFormat="1" applyFont="1" applyFill="1" applyBorder="1"/>
    <xf numFmtId="173" fontId="0" fillId="0" borderId="0" xfId="1" quotePrefix="1" applyNumberFormat="1" applyFont="1" applyFill="1"/>
    <xf numFmtId="0" fontId="7" fillId="0" borderId="4" xfId="0" applyFont="1" applyFill="1" applyBorder="1"/>
    <xf numFmtId="171" fontId="7" fillId="0" borderId="0" xfId="0" applyNumberFormat="1" applyFont="1" applyFill="1"/>
    <xf numFmtId="17" fontId="0" fillId="0" borderId="0" xfId="0" quotePrefix="1" applyNumberFormat="1" applyFont="1" applyFill="1" applyAlignment="1">
      <alignment horizontal="right"/>
    </xf>
    <xf numFmtId="44" fontId="7" fillId="0" borderId="0" xfId="0" applyNumberFormat="1" applyFont="1" applyFill="1"/>
    <xf numFmtId="0" fontId="0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17" fontId="9" fillId="0" borderId="0" xfId="0" quotePrefix="1" applyNumberFormat="1" applyFont="1" applyFill="1" applyAlignment="1">
      <alignment horizontal="left"/>
    </xf>
    <xf numFmtId="0" fontId="8" fillId="0" borderId="0" xfId="0" quotePrefix="1" applyFont="1" applyFill="1" applyAlignment="1">
      <alignment horizontal="right"/>
    </xf>
    <xf numFmtId="173" fontId="7" fillId="0" borderId="0" xfId="0" applyNumberFormat="1" applyFont="1" applyFill="1"/>
    <xf numFmtId="173" fontId="0" fillId="0" borderId="0" xfId="0" applyNumberFormat="1" applyFont="1" applyFill="1"/>
    <xf numFmtId="174" fontId="7" fillId="0" borderId="0" xfId="1" applyNumberFormat="1" applyFont="1" applyFill="1"/>
    <xf numFmtId="43" fontId="7" fillId="0" borderId="0" xfId="1" applyFont="1" applyFill="1"/>
    <xf numFmtId="0" fontId="0" fillId="0" borderId="5" xfId="0" applyFont="1" applyFill="1" applyBorder="1" applyAlignment="1">
      <alignment horizontal="right"/>
    </xf>
    <xf numFmtId="0" fontId="5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164" fontId="0" fillId="0" borderId="0" xfId="0" applyNumberFormat="1" applyFont="1" applyFill="1"/>
    <xf numFmtId="0" fontId="9" fillId="0" borderId="0" xfId="0" applyFont="1" applyFill="1" applyAlignment="1">
      <alignment horizontal="center"/>
    </xf>
    <xf numFmtId="164" fontId="9" fillId="0" borderId="0" xfId="3" applyNumberFormat="1" applyFont="1" applyFill="1"/>
    <xf numFmtId="0" fontId="9" fillId="0" borderId="0" xfId="0" applyFont="1" applyFill="1" applyAlignment="1">
      <alignment horizontal="right"/>
    </xf>
    <xf numFmtId="7" fontId="0" fillId="0" borderId="0" xfId="0" applyNumberFormat="1" applyFont="1" applyFill="1" applyAlignment="1">
      <alignment horizontal="right"/>
    </xf>
    <xf numFmtId="0" fontId="14" fillId="0" borderId="6" xfId="0" applyFont="1" applyFill="1" applyBorder="1"/>
    <xf numFmtId="2" fontId="0" fillId="0" borderId="12" xfId="0" applyNumberFormat="1" applyFont="1" applyFill="1" applyBorder="1"/>
    <xf numFmtId="0" fontId="14" fillId="0" borderId="8" xfId="0" applyFont="1" applyFill="1" applyBorder="1"/>
    <xf numFmtId="2" fontId="0" fillId="0" borderId="0" xfId="0" applyNumberFormat="1" applyFont="1" applyFill="1" applyBorder="1"/>
    <xf numFmtId="169" fontId="0" fillId="0" borderId="0" xfId="1" applyNumberFormat="1" applyFont="1" applyFill="1"/>
    <xf numFmtId="176" fontId="0" fillId="0" borderId="0" xfId="0" applyNumberFormat="1" applyFont="1" applyFill="1" applyBorder="1"/>
    <xf numFmtId="0" fontId="14" fillId="0" borderId="10" xfId="0" applyFont="1" applyFill="1" applyBorder="1"/>
    <xf numFmtId="2" fontId="0" fillId="0" borderId="13" xfId="0" applyNumberFormat="1" applyFont="1" applyFill="1" applyBorder="1"/>
    <xf numFmtId="0" fontId="0" fillId="0" borderId="11" xfId="0" applyFont="1" applyFill="1" applyBorder="1"/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/>
    <xf numFmtId="44" fontId="9" fillId="0" borderId="0" xfId="0" applyNumberFormat="1" applyFont="1" applyFill="1"/>
    <xf numFmtId="44" fontId="14" fillId="0" borderId="0" xfId="0" applyNumberFormat="1" applyFont="1" applyFill="1"/>
    <xf numFmtId="178" fontId="0" fillId="0" borderId="0" xfId="1" quotePrefix="1" applyNumberFormat="1" applyFont="1" applyFill="1"/>
    <xf numFmtId="174" fontId="0" fillId="0" borderId="0" xfId="1" quotePrefix="1" applyNumberFormat="1" applyFont="1" applyFill="1"/>
    <xf numFmtId="166" fontId="9" fillId="0" borderId="0" xfId="2" quotePrefix="1" applyNumberFormat="1" applyFont="1" applyFill="1"/>
    <xf numFmtId="0" fontId="8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14" fillId="0" borderId="0" xfId="0" quotePrefix="1" applyFont="1" applyFill="1" applyAlignment="1">
      <alignment horizontal="left"/>
    </xf>
    <xf numFmtId="170" fontId="14" fillId="0" borderId="0" xfId="0" applyNumberFormat="1" applyFont="1" applyFill="1"/>
    <xf numFmtId="170" fontId="21" fillId="0" borderId="0" xfId="0" applyNumberFormat="1" applyFont="1" applyFill="1"/>
    <xf numFmtId="9" fontId="14" fillId="0" borderId="0" xfId="3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20" fillId="0" borderId="0" xfId="0" quotePrefix="1" applyFont="1" applyFill="1" applyAlignment="1">
      <alignment horizontal="left"/>
    </xf>
    <xf numFmtId="0" fontId="20" fillId="0" borderId="0" xfId="0" quotePrefix="1" applyFont="1" applyFill="1" applyAlignment="1">
      <alignment horizontal="right"/>
    </xf>
    <xf numFmtId="0" fontId="21" fillId="0" borderId="0" xfId="0" applyFont="1" applyFill="1"/>
    <xf numFmtId="0" fontId="14" fillId="0" borderId="0" xfId="0" applyFont="1" applyFill="1" applyAlignment="1">
      <alignment horizontal="left"/>
    </xf>
    <xf numFmtId="170" fontId="21" fillId="0" borderId="0" xfId="0" applyNumberFormat="1" applyFont="1" applyFill="1" applyBorder="1"/>
    <xf numFmtId="44" fontId="0" fillId="0" borderId="0" xfId="0" quotePrefix="1" applyNumberFormat="1" applyFont="1" applyFill="1"/>
    <xf numFmtId="2" fontId="0" fillId="0" borderId="0" xfId="0" applyNumberFormat="1" applyFont="1" applyFill="1"/>
    <xf numFmtId="179" fontId="0" fillId="0" borderId="0" xfId="0" quotePrefix="1" applyNumberFormat="1" applyFont="1" applyFill="1" applyAlignment="1">
      <alignment horizontal="right"/>
    </xf>
    <xf numFmtId="175" fontId="0" fillId="0" borderId="0" xfId="0" quotePrefix="1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Alignment="1">
      <alignment horizontal="center"/>
    </xf>
    <xf numFmtId="38" fontId="0" fillId="0" borderId="9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179" fontId="0" fillId="0" borderId="0" xfId="0" applyNumberFormat="1" applyFont="1" applyFill="1"/>
    <xf numFmtId="179" fontId="0" fillId="0" borderId="0" xfId="0" applyNumberFormat="1" applyFont="1" applyFill="1" applyAlignment="1">
      <alignment horizontal="right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39" fontId="0" fillId="0" borderId="12" xfId="0" applyNumberFormat="1" applyFont="1" applyFill="1" applyBorder="1"/>
    <xf numFmtId="0" fontId="7" fillId="0" borderId="8" xfId="0" applyFont="1" applyFill="1" applyBorder="1" applyAlignment="1">
      <alignment horizontal="center"/>
    </xf>
    <xf numFmtId="39" fontId="0" fillId="0" borderId="0" xfId="0" applyNumberFormat="1" applyFont="1" applyFill="1" applyBorder="1"/>
    <xf numFmtId="0" fontId="7" fillId="0" borderId="8" xfId="0" applyFont="1" applyFill="1" applyBorder="1" applyAlignment="1">
      <alignment horizontal="left"/>
    </xf>
    <xf numFmtId="39" fontId="8" fillId="0" borderId="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9" fontId="0" fillId="0" borderId="0" xfId="1" applyNumberFormat="1" applyFont="1" applyFill="1" applyBorder="1" applyAlignment="1">
      <alignment horizontal="right"/>
    </xf>
    <xf numFmtId="169" fontId="0" fillId="0" borderId="9" xfId="1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69" fontId="7" fillId="0" borderId="19" xfId="1" applyNumberFormat="1" applyFont="1" applyFill="1" applyBorder="1" applyAlignment="1">
      <alignment horizontal="right"/>
    </xf>
    <xf numFmtId="43" fontId="0" fillId="0" borderId="8" xfId="1" quotePrefix="1" applyFont="1" applyFill="1" applyBorder="1"/>
    <xf numFmtId="0" fontId="0" fillId="0" borderId="13" xfId="0" applyFont="1" applyFill="1" applyBorder="1"/>
    <xf numFmtId="39" fontId="0" fillId="0" borderId="13" xfId="0" applyNumberFormat="1" applyFont="1" applyFill="1" applyBorder="1"/>
    <xf numFmtId="0" fontId="23" fillId="0" borderId="0" xfId="0" applyFont="1" applyFill="1"/>
    <xf numFmtId="0" fontId="2" fillId="0" borderId="9" xfId="0" applyFont="1" applyFill="1" applyBorder="1"/>
    <xf numFmtId="0" fontId="2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9" xfId="0" applyFont="1" applyFill="1" applyBorder="1"/>
    <xf numFmtId="2" fontId="0" fillId="0" borderId="20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" fontId="7" fillId="0" borderId="0" xfId="0" applyNumberFormat="1" applyFont="1" applyFill="1" applyBorder="1"/>
    <xf numFmtId="4" fontId="0" fillId="0" borderId="20" xfId="0" applyNumberFormat="1" applyFont="1" applyFill="1" applyBorder="1" applyAlignment="1">
      <alignment horizontal="center"/>
    </xf>
    <xf numFmtId="37" fontId="0" fillId="0" borderId="8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8" xfId="0" applyFont="1" applyFill="1" applyBorder="1"/>
    <xf numFmtId="37" fontId="0" fillId="0" borderId="15" xfId="0" applyNumberFormat="1" applyFont="1" applyFill="1" applyBorder="1" applyAlignment="1">
      <alignment horizontal="center"/>
    </xf>
    <xf numFmtId="37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7" fontId="0" fillId="0" borderId="18" xfId="0" applyNumberFormat="1" applyFont="1" applyFill="1" applyBorder="1" applyAlignment="1">
      <alignment horizontal="center"/>
    </xf>
    <xf numFmtId="37" fontId="0" fillId="0" borderId="1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%20JERSEY%20DEFERRAL%20RECOVERY%20CASE%202002\DEFERRAL%20CASE\Work%20Papers\Janocha%20Work%20Papers\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August%202003%20Rate%20Change\BPU%20Deferral%20Order\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May%20Board%20Retreat\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NNC%20SBC%20Rate%20Update\Update%20for%20June%20Actuals\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Chantale.LaCasse%20Group\Stored\BGS\Starting%20Prices%20-%202016\RSCP%20Starting%20Price\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 refreshError="1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</row>
      </sheetData>
      <sheetData sheetId="13"/>
      <sheetData sheetId="14">
        <row r="8">
          <cell r="C8">
            <v>6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7030A0"/>
  </sheetPr>
  <dimension ref="A1:AB649"/>
  <sheetViews>
    <sheetView zoomScale="80" zoomScaleNormal="80" workbookViewId="0">
      <selection activeCell="K571" sqref="K571"/>
    </sheetView>
  </sheetViews>
  <sheetFormatPr defaultRowHeight="12.75" x14ac:dyDescent="0.2"/>
  <cols>
    <col min="1" max="1" width="10.7109375" style="1" customWidth="1"/>
    <col min="2" max="2" width="27.85546875" customWidth="1"/>
    <col min="3" max="3" width="16.42578125" customWidth="1"/>
    <col min="4" max="4" width="16.140625" customWidth="1"/>
    <col min="5" max="5" width="12.7109375" customWidth="1"/>
    <col min="6" max="7" width="13.42578125" customWidth="1"/>
    <col min="8" max="8" width="12.7109375" customWidth="1"/>
    <col min="9" max="9" width="14.85546875" customWidth="1"/>
    <col min="10" max="10" width="12.7109375" customWidth="1"/>
    <col min="11" max="11" width="17.28515625" customWidth="1"/>
    <col min="12" max="12" width="15.28515625" bestFit="1" customWidth="1"/>
    <col min="13" max="13" width="13.42578125" customWidth="1"/>
    <col min="14" max="14" width="12" customWidth="1"/>
    <col min="15" max="15" width="11.140625" customWidth="1"/>
    <col min="16" max="16" width="12.28515625" customWidth="1"/>
    <col min="17" max="17" width="13" customWidth="1"/>
    <col min="18" max="18" width="10" bestFit="1" customWidth="1"/>
    <col min="19" max="19" width="10.7109375" customWidth="1"/>
    <col min="20" max="22" width="11.7109375" customWidth="1"/>
    <col min="24" max="24" width="11.140625" bestFit="1" customWidth="1"/>
    <col min="26" max="26" width="15" bestFit="1" customWidth="1"/>
    <col min="27" max="27" width="15.28515625" customWidth="1"/>
    <col min="28" max="28" width="13.5703125" customWidth="1"/>
  </cols>
  <sheetData>
    <row r="1" spans="1:28" ht="15.75" x14ac:dyDescent="0.25">
      <c r="A1" s="115"/>
      <c r="B1" s="116" t="str">
        <f>"Development of BGS Cost and Bid Factors for Rates Effective June 1, " &amp;M1</f>
        <v>Development of BGS Cost and Bid Factors for Rates Effective June 1, 2020</v>
      </c>
      <c r="C1" s="71"/>
      <c r="D1" s="71"/>
      <c r="E1" s="71"/>
      <c r="F1" s="71"/>
      <c r="G1" s="117"/>
      <c r="H1" s="71"/>
      <c r="I1" s="71"/>
      <c r="J1" s="71"/>
      <c r="K1" s="71"/>
      <c r="L1" s="71"/>
      <c r="M1" s="118">
        <v>2020</v>
      </c>
      <c r="N1" s="71" t="s">
        <v>0</v>
      </c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15" x14ac:dyDescent="0.2">
      <c r="A2" s="119"/>
      <c r="B2" s="71"/>
      <c r="C2" s="71"/>
      <c r="D2" s="71"/>
      <c r="E2" s="71"/>
      <c r="F2" s="71"/>
      <c r="G2" s="71"/>
      <c r="H2" s="71"/>
      <c r="I2" s="120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x14ac:dyDescent="0.2">
      <c r="A3" s="115"/>
      <c r="B3" s="71"/>
      <c r="C3" s="71"/>
      <c r="D3" s="2" t="str">
        <f>"Based on " &amp;M1-2  &amp;" Load Profile Information"</f>
        <v>Based on 2018 Load Profile Information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x14ac:dyDescent="0.2">
      <c r="A4" s="121" t="s">
        <v>1</v>
      </c>
      <c r="B4" s="122" t="s">
        <v>2</v>
      </c>
      <c r="C4" s="123"/>
      <c r="D4" s="7" t="s">
        <v>3</v>
      </c>
      <c r="E4" s="71"/>
      <c r="F4" s="71"/>
      <c r="G4" s="71"/>
      <c r="H4" s="71"/>
      <c r="I4" s="71"/>
      <c r="J4" s="71"/>
      <c r="K4" s="122"/>
      <c r="L4" s="124" t="str">
        <f>"'% usage during Off-Peak period (from "&amp;M1-1&amp;" profiles)"</f>
        <v>'% usage during Off-Peak period (from 2019 profiles)</v>
      </c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ht="25.5" x14ac:dyDescent="0.2">
      <c r="A5" s="6"/>
      <c r="B5" s="71"/>
      <c r="C5" s="125" t="s">
        <v>4</v>
      </c>
      <c r="D5" s="125" t="s">
        <v>4</v>
      </c>
      <c r="E5" s="125" t="s">
        <v>4</v>
      </c>
      <c r="F5" s="7" t="s">
        <v>5</v>
      </c>
      <c r="G5" s="126"/>
      <c r="H5" s="125" t="s">
        <v>4</v>
      </c>
      <c r="I5" s="125"/>
      <c r="J5" s="125"/>
      <c r="K5" s="7"/>
      <c r="L5" s="125" t="s">
        <v>4</v>
      </c>
      <c r="M5" s="125" t="s">
        <v>4</v>
      </c>
      <c r="N5" s="125" t="s">
        <v>4</v>
      </c>
      <c r="O5" s="7" t="s">
        <v>6</v>
      </c>
      <c r="P5" s="126"/>
      <c r="Q5" s="125" t="s">
        <v>4</v>
      </c>
      <c r="R5" s="125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8" x14ac:dyDescent="0.2">
      <c r="A6" s="6"/>
      <c r="B6" s="127"/>
      <c r="C6" s="128" t="s">
        <v>7</v>
      </c>
      <c r="D6" s="128" t="s">
        <v>8</v>
      </c>
      <c r="E6" s="128" t="s">
        <v>9</v>
      </c>
      <c r="F6" s="128" t="s">
        <v>10</v>
      </c>
      <c r="G6" s="128" t="s">
        <v>11</v>
      </c>
      <c r="H6" s="128" t="s">
        <v>12</v>
      </c>
      <c r="I6" s="26"/>
      <c r="J6" s="26"/>
      <c r="K6" s="129"/>
      <c r="L6" s="26" t="str">
        <f t="shared" ref="L6:Q6" si="0">+C6</f>
        <v>SC1/SC5</v>
      </c>
      <c r="M6" s="26" t="str">
        <f t="shared" si="0"/>
        <v>SC3</v>
      </c>
      <c r="N6" s="26" t="str">
        <f t="shared" si="0"/>
        <v>SC2 ND</v>
      </c>
      <c r="O6" s="26" t="str">
        <f t="shared" si="0"/>
        <v>SC4</v>
      </c>
      <c r="P6" s="26" t="str">
        <f t="shared" si="0"/>
        <v>SC6</v>
      </c>
      <c r="Q6" s="26" t="str">
        <f t="shared" si="0"/>
        <v>SC2 Dem</v>
      </c>
      <c r="R6" s="26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x14ac:dyDescent="0.2">
      <c r="A7" s="6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8" x14ac:dyDescent="0.2">
      <c r="A8" s="6"/>
      <c r="B8" s="98" t="s">
        <v>13</v>
      </c>
      <c r="C8" s="72">
        <v>0.51454185091913873</v>
      </c>
      <c r="D8" s="72">
        <v>0.43904357263057076</v>
      </c>
      <c r="E8" s="72">
        <v>0.4535914031803937</v>
      </c>
      <c r="F8" s="72">
        <v>0.30414746543778831</v>
      </c>
      <c r="G8" s="72">
        <f>F8</f>
        <v>0.30414746543778831</v>
      </c>
      <c r="H8" s="72">
        <v>0.53058189004898471</v>
      </c>
      <c r="I8" s="130"/>
      <c r="J8" s="130"/>
      <c r="K8" s="131"/>
      <c r="L8" s="130">
        <f t="shared" ref="L8:Q19" si="1">1-C8</f>
        <v>0.48545814908086127</v>
      </c>
      <c r="M8" s="130">
        <f t="shared" si="1"/>
        <v>0.56095642736942919</v>
      </c>
      <c r="N8" s="130">
        <f t="shared" si="1"/>
        <v>0.5464085968196063</v>
      </c>
      <c r="O8" s="130">
        <f t="shared" si="1"/>
        <v>0.69585253456221174</v>
      </c>
      <c r="P8" s="130">
        <f t="shared" si="1"/>
        <v>0.69585253456221174</v>
      </c>
      <c r="Q8" s="130">
        <f t="shared" si="1"/>
        <v>0.46941810995101529</v>
      </c>
      <c r="R8" s="131"/>
      <c r="S8" s="132"/>
      <c r="T8" s="132"/>
      <c r="U8" s="132"/>
      <c r="V8" s="132"/>
      <c r="W8" s="132"/>
      <c r="X8" s="132"/>
      <c r="Y8" s="132"/>
      <c r="Z8" s="132"/>
      <c r="AA8" s="71"/>
      <c r="AB8" s="71"/>
    </row>
    <row r="9" spans="1:28" x14ac:dyDescent="0.2">
      <c r="A9" s="6"/>
      <c r="B9" s="98" t="s">
        <v>14</v>
      </c>
      <c r="C9" s="72">
        <v>0.48853185652658759</v>
      </c>
      <c r="D9" s="72">
        <v>0.46696286893049843</v>
      </c>
      <c r="E9" s="72">
        <v>0.49234553267823988</v>
      </c>
      <c r="F9" s="72">
        <v>0.30612244897959229</v>
      </c>
      <c r="G9" s="72">
        <f t="shared" ref="G9:G19" si="2">F9</f>
        <v>0.30612244897959229</v>
      </c>
      <c r="H9" s="72">
        <v>0.53239783384220507</v>
      </c>
      <c r="I9" s="130"/>
      <c r="J9" s="130"/>
      <c r="K9" s="131"/>
      <c r="L9" s="130">
        <f t="shared" si="1"/>
        <v>0.51146814347341241</v>
      </c>
      <c r="M9" s="130">
        <f t="shared" si="1"/>
        <v>0.53303713106950157</v>
      </c>
      <c r="N9" s="130">
        <f t="shared" si="1"/>
        <v>0.50765446732176012</v>
      </c>
      <c r="O9" s="130">
        <f t="shared" si="1"/>
        <v>0.69387755102040771</v>
      </c>
      <c r="P9" s="130">
        <f t="shared" si="1"/>
        <v>0.69387755102040771</v>
      </c>
      <c r="Q9" s="130">
        <f t="shared" si="1"/>
        <v>0.46760216615779493</v>
      </c>
      <c r="R9" s="131"/>
      <c r="S9" s="132"/>
      <c r="T9" s="132"/>
      <c r="U9" s="132"/>
      <c r="V9" s="132"/>
      <c r="W9" s="132"/>
      <c r="X9" s="132"/>
      <c r="Y9" s="132"/>
      <c r="Z9" s="132"/>
      <c r="AA9" s="71"/>
      <c r="AB9" s="71"/>
    </row>
    <row r="10" spans="1:28" x14ac:dyDescent="0.2">
      <c r="A10" s="6"/>
      <c r="B10" s="98" t="s">
        <v>15</v>
      </c>
      <c r="C10" s="72">
        <v>0.47203888477058231</v>
      </c>
      <c r="D10" s="72">
        <v>0.45980514614039453</v>
      </c>
      <c r="E10" s="72">
        <v>0.48157883140182361</v>
      </c>
      <c r="F10" s="72">
        <v>0.27937263168925919</v>
      </c>
      <c r="G10" s="72">
        <f t="shared" si="2"/>
        <v>0.27937263168925919</v>
      </c>
      <c r="H10" s="72">
        <v>0.50742206080238739</v>
      </c>
      <c r="I10" s="130"/>
      <c r="J10" s="130"/>
      <c r="K10" s="131"/>
      <c r="L10" s="130">
        <f t="shared" si="1"/>
        <v>0.52796111522941769</v>
      </c>
      <c r="M10" s="130">
        <f t="shared" si="1"/>
        <v>0.54019485385960553</v>
      </c>
      <c r="N10" s="130">
        <f t="shared" si="1"/>
        <v>0.51842116859817633</v>
      </c>
      <c r="O10" s="130">
        <f t="shared" si="1"/>
        <v>0.72062736831074081</v>
      </c>
      <c r="P10" s="130">
        <f t="shared" si="1"/>
        <v>0.72062736831074081</v>
      </c>
      <c r="Q10" s="130">
        <f t="shared" si="1"/>
        <v>0.49257793919761261</v>
      </c>
      <c r="R10" s="131"/>
      <c r="S10" s="132"/>
      <c r="T10" s="132"/>
      <c r="U10" s="132"/>
      <c r="V10" s="132"/>
      <c r="W10" s="132"/>
      <c r="X10" s="132"/>
      <c r="Y10" s="132"/>
      <c r="Z10" s="132"/>
      <c r="AA10" s="71"/>
      <c r="AB10" s="71"/>
    </row>
    <row r="11" spans="1:28" x14ac:dyDescent="0.2">
      <c r="A11" s="6"/>
      <c r="B11" s="98" t="s">
        <v>16</v>
      </c>
      <c r="C11" s="72">
        <v>0.51262501117730863</v>
      </c>
      <c r="D11" s="72">
        <v>0.50821375827301385</v>
      </c>
      <c r="E11" s="72">
        <v>0.54687374392879551</v>
      </c>
      <c r="F11" s="72">
        <v>0.2947712530457493</v>
      </c>
      <c r="G11" s="72">
        <f t="shared" si="2"/>
        <v>0.2947712530457493</v>
      </c>
      <c r="H11" s="72">
        <v>0.54717587591239258</v>
      </c>
      <c r="I11" s="130"/>
      <c r="J11" s="130"/>
      <c r="K11" s="131"/>
      <c r="L11" s="130">
        <f t="shared" si="1"/>
        <v>0.48737498882269137</v>
      </c>
      <c r="M11" s="130">
        <f t="shared" si="1"/>
        <v>0.49178624172698615</v>
      </c>
      <c r="N11" s="130">
        <f t="shared" si="1"/>
        <v>0.45312625607120449</v>
      </c>
      <c r="O11" s="130">
        <f t="shared" si="1"/>
        <v>0.70522874695425064</v>
      </c>
      <c r="P11" s="130">
        <f t="shared" si="1"/>
        <v>0.70522874695425064</v>
      </c>
      <c r="Q11" s="130">
        <f t="shared" si="1"/>
        <v>0.45282412408760742</v>
      </c>
      <c r="R11" s="131"/>
      <c r="S11" s="132"/>
      <c r="T11" s="132"/>
      <c r="U11" s="132"/>
      <c r="V11" s="132"/>
      <c r="W11" s="132"/>
      <c r="X11" s="132"/>
      <c r="Y11" s="132"/>
      <c r="Z11" s="132"/>
      <c r="AA11" s="71"/>
      <c r="AB11" s="71"/>
    </row>
    <row r="12" spans="1:28" x14ac:dyDescent="0.2">
      <c r="A12" s="6"/>
      <c r="B12" s="98" t="s">
        <v>17</v>
      </c>
      <c r="C12" s="72">
        <v>0.53775191211934503</v>
      </c>
      <c r="D12" s="72">
        <v>0.49326012188499396</v>
      </c>
      <c r="E12" s="72">
        <v>0.59547939182256204</v>
      </c>
      <c r="F12" s="72">
        <v>0.2312497739423659</v>
      </c>
      <c r="G12" s="72">
        <f t="shared" si="2"/>
        <v>0.2312497739423659</v>
      </c>
      <c r="H12" s="72">
        <v>0.5581719809095872</v>
      </c>
      <c r="I12" s="130"/>
      <c r="J12" s="130"/>
      <c r="K12" s="131"/>
      <c r="L12" s="130">
        <f t="shared" si="1"/>
        <v>0.46224808788065497</v>
      </c>
      <c r="M12" s="130">
        <f t="shared" si="1"/>
        <v>0.50673987811500609</v>
      </c>
      <c r="N12" s="130">
        <f t="shared" si="1"/>
        <v>0.40452060817743796</v>
      </c>
      <c r="O12" s="130">
        <f t="shared" si="1"/>
        <v>0.7687502260576341</v>
      </c>
      <c r="P12" s="130">
        <f t="shared" si="1"/>
        <v>0.7687502260576341</v>
      </c>
      <c r="Q12" s="130">
        <f t="shared" si="1"/>
        <v>0.4418280190904128</v>
      </c>
      <c r="R12" s="131"/>
      <c r="S12" s="132"/>
      <c r="T12" s="132"/>
      <c r="U12" s="132"/>
      <c r="V12" s="132"/>
      <c r="W12" s="132"/>
      <c r="X12" s="132"/>
      <c r="Y12" s="132"/>
      <c r="Z12" s="132"/>
      <c r="AA12" s="71"/>
      <c r="AB12" s="71"/>
    </row>
    <row r="13" spans="1:28" x14ac:dyDescent="0.2">
      <c r="A13" s="6"/>
      <c r="B13" s="98" t="s">
        <v>18</v>
      </c>
      <c r="C13" s="72">
        <v>0.50299000647249448</v>
      </c>
      <c r="D13" s="72">
        <v>0.48083309611917652</v>
      </c>
      <c r="E13" s="72">
        <v>0.52779319540229586</v>
      </c>
      <c r="F13" s="72">
        <v>0.19640558712399339</v>
      </c>
      <c r="G13" s="72">
        <f t="shared" si="2"/>
        <v>0.19640558712399339</v>
      </c>
      <c r="H13" s="72">
        <v>0.52133320619604973</v>
      </c>
      <c r="I13" s="130"/>
      <c r="J13" s="130"/>
      <c r="K13" s="131"/>
      <c r="L13" s="130">
        <f t="shared" si="1"/>
        <v>0.49700999352750552</v>
      </c>
      <c r="M13" s="130">
        <f t="shared" si="1"/>
        <v>0.51916690388082354</v>
      </c>
      <c r="N13" s="130">
        <f t="shared" si="1"/>
        <v>0.47220680459770414</v>
      </c>
      <c r="O13" s="130">
        <f t="shared" si="1"/>
        <v>0.80359441287600664</v>
      </c>
      <c r="P13" s="130">
        <f t="shared" si="1"/>
        <v>0.80359441287600664</v>
      </c>
      <c r="Q13" s="130">
        <f t="shared" si="1"/>
        <v>0.47866679380395027</v>
      </c>
      <c r="R13" s="131"/>
      <c r="S13" s="132"/>
      <c r="T13" s="132"/>
      <c r="U13" s="132"/>
      <c r="V13" s="132"/>
      <c r="W13" s="132"/>
      <c r="X13" s="132"/>
      <c r="Y13" s="132"/>
      <c r="Z13" s="132"/>
      <c r="AA13" s="71"/>
      <c r="AB13" s="71"/>
    </row>
    <row r="14" spans="1:28" x14ac:dyDescent="0.2">
      <c r="A14" s="6"/>
      <c r="B14" s="98" t="s">
        <v>19</v>
      </c>
      <c r="C14" s="72">
        <v>0.55917861397137381</v>
      </c>
      <c r="D14" s="72">
        <v>0.53695425812762299</v>
      </c>
      <c r="E14" s="72">
        <v>0.52112545001031496</v>
      </c>
      <c r="F14" s="72">
        <v>0.20630156490547635</v>
      </c>
      <c r="G14" s="72">
        <f t="shared" si="2"/>
        <v>0.20630156490547635</v>
      </c>
      <c r="H14" s="72">
        <v>0.55259382456506356</v>
      </c>
      <c r="I14" s="130"/>
      <c r="J14" s="130"/>
      <c r="K14" s="131"/>
      <c r="L14" s="130">
        <f t="shared" si="1"/>
        <v>0.44082138602862619</v>
      </c>
      <c r="M14" s="130">
        <f t="shared" si="1"/>
        <v>0.46304574187237701</v>
      </c>
      <c r="N14" s="130">
        <f t="shared" si="1"/>
        <v>0.47887454998968504</v>
      </c>
      <c r="O14" s="130">
        <f t="shared" si="1"/>
        <v>0.79369843509452365</v>
      </c>
      <c r="P14" s="130">
        <f t="shared" si="1"/>
        <v>0.79369843509452365</v>
      </c>
      <c r="Q14" s="130">
        <f t="shared" si="1"/>
        <v>0.44740617543493644</v>
      </c>
      <c r="R14" s="131"/>
      <c r="S14" s="132"/>
      <c r="T14" s="132"/>
      <c r="U14" s="132"/>
      <c r="V14" s="132"/>
      <c r="W14" s="132"/>
      <c r="X14" s="132"/>
      <c r="Y14" s="132"/>
      <c r="Z14" s="132"/>
      <c r="AA14" s="71"/>
      <c r="AB14" s="71"/>
    </row>
    <row r="15" spans="1:28" x14ac:dyDescent="0.2">
      <c r="A15" s="6"/>
      <c r="B15" s="98" t="s">
        <v>20</v>
      </c>
      <c r="C15" s="72">
        <v>0.56849067337379577</v>
      </c>
      <c r="D15" s="72">
        <v>0.5398407010006695</v>
      </c>
      <c r="E15" s="72">
        <v>0.51948951189952608</v>
      </c>
      <c r="F15" s="72">
        <v>0.2136683336527877</v>
      </c>
      <c r="G15" s="72">
        <f t="shared" si="2"/>
        <v>0.2136683336527877</v>
      </c>
      <c r="H15" s="72">
        <v>0.55087570737112512</v>
      </c>
      <c r="I15" s="130"/>
      <c r="J15" s="130"/>
      <c r="K15" s="131"/>
      <c r="L15" s="130">
        <f t="shared" si="1"/>
        <v>0.43150932662620423</v>
      </c>
      <c r="M15" s="130">
        <f t="shared" si="1"/>
        <v>0.4601592989993305</v>
      </c>
      <c r="N15" s="130">
        <f t="shared" si="1"/>
        <v>0.48051048810047392</v>
      </c>
      <c r="O15" s="130">
        <f t="shared" si="1"/>
        <v>0.7863316663472123</v>
      </c>
      <c r="P15" s="130">
        <f t="shared" si="1"/>
        <v>0.7863316663472123</v>
      </c>
      <c r="Q15" s="130">
        <f t="shared" si="1"/>
        <v>0.44912429262887488</v>
      </c>
      <c r="R15" s="131"/>
      <c r="S15" s="132"/>
      <c r="T15" s="132"/>
      <c r="U15" s="132"/>
      <c r="V15" s="132"/>
      <c r="W15" s="132"/>
      <c r="X15" s="132"/>
      <c r="Y15" s="132"/>
      <c r="Z15" s="132"/>
      <c r="AA15" s="71"/>
      <c r="AB15" s="71"/>
    </row>
    <row r="16" spans="1:28" x14ac:dyDescent="0.2">
      <c r="A16" s="6"/>
      <c r="B16" s="98" t="s">
        <v>21</v>
      </c>
      <c r="C16" s="72">
        <v>0.51129398629541389</v>
      </c>
      <c r="D16" s="72">
        <v>0.49668026881068755</v>
      </c>
      <c r="E16" s="72">
        <v>0.50546234635510368</v>
      </c>
      <c r="F16" s="72">
        <v>0.26819923072796958</v>
      </c>
      <c r="G16" s="72">
        <f t="shared" si="2"/>
        <v>0.26819923072796958</v>
      </c>
      <c r="H16" s="72">
        <v>0.51603054711921403</v>
      </c>
      <c r="I16" s="130"/>
      <c r="J16" s="130"/>
      <c r="K16" s="131"/>
      <c r="L16" s="130">
        <f t="shared" si="1"/>
        <v>0.48870601370458611</v>
      </c>
      <c r="M16" s="130">
        <f t="shared" si="1"/>
        <v>0.5033197311893125</v>
      </c>
      <c r="N16" s="130">
        <f t="shared" si="1"/>
        <v>0.49453765364489632</v>
      </c>
      <c r="O16" s="130">
        <f t="shared" si="1"/>
        <v>0.73180076927203042</v>
      </c>
      <c r="P16" s="130">
        <f t="shared" si="1"/>
        <v>0.73180076927203042</v>
      </c>
      <c r="Q16" s="130">
        <f t="shared" si="1"/>
        <v>0.48396945288078597</v>
      </c>
      <c r="R16" s="131"/>
      <c r="S16" s="132"/>
      <c r="T16" s="132"/>
      <c r="U16" s="132"/>
      <c r="V16" s="132"/>
      <c r="W16" s="132"/>
      <c r="X16" s="132"/>
      <c r="Y16" s="132"/>
      <c r="Z16" s="132"/>
      <c r="AA16" s="71"/>
      <c r="AB16" s="71"/>
    </row>
    <row r="17" spans="1:28" x14ac:dyDescent="0.2">
      <c r="A17" s="6"/>
      <c r="B17" s="98" t="s">
        <v>22</v>
      </c>
      <c r="C17" s="72">
        <v>0.53258187140323021</v>
      </c>
      <c r="D17" s="72">
        <v>0.53073776118173543</v>
      </c>
      <c r="E17" s="72">
        <v>0.58493346980173866</v>
      </c>
      <c r="F17" s="73">
        <v>0.30515519909656635</v>
      </c>
      <c r="G17" s="72">
        <f t="shared" si="2"/>
        <v>0.30515519909656635</v>
      </c>
      <c r="H17" s="72">
        <v>0.57859653698641689</v>
      </c>
      <c r="I17" s="130"/>
      <c r="J17" s="130"/>
      <c r="K17" s="131"/>
      <c r="L17" s="130">
        <f t="shared" si="1"/>
        <v>0.46741812859676979</v>
      </c>
      <c r="M17" s="130">
        <f t="shared" si="1"/>
        <v>0.46926223881826457</v>
      </c>
      <c r="N17" s="130">
        <f t="shared" si="1"/>
        <v>0.41506653019826134</v>
      </c>
      <c r="O17" s="130">
        <f t="shared" si="1"/>
        <v>0.69484480090343359</v>
      </c>
      <c r="P17" s="130">
        <f t="shared" si="1"/>
        <v>0.69484480090343359</v>
      </c>
      <c r="Q17" s="130">
        <f t="shared" si="1"/>
        <v>0.42140346301358311</v>
      </c>
      <c r="R17" s="131"/>
      <c r="S17" s="132"/>
      <c r="T17" s="132"/>
      <c r="U17" s="132"/>
      <c r="V17" s="132"/>
      <c r="W17" s="132"/>
      <c r="X17" s="132"/>
      <c r="Y17" s="132"/>
      <c r="Z17" s="132"/>
      <c r="AA17" s="71"/>
      <c r="AB17" s="71"/>
    </row>
    <row r="18" spans="1:28" x14ac:dyDescent="0.2">
      <c r="A18" s="6"/>
      <c r="B18" s="98" t="s">
        <v>23</v>
      </c>
      <c r="C18" s="72">
        <v>0.47357522508042549</v>
      </c>
      <c r="D18" s="72">
        <v>0.43870557901423685</v>
      </c>
      <c r="E18" s="72">
        <v>0.45755782881701063</v>
      </c>
      <c r="F18" s="72">
        <v>0.28395062024691337</v>
      </c>
      <c r="G18" s="72">
        <f t="shared" si="2"/>
        <v>0.28395062024691337</v>
      </c>
      <c r="H18" s="72">
        <v>0.51363606227859804</v>
      </c>
      <c r="I18" s="130"/>
      <c r="J18" s="130"/>
      <c r="K18" s="131"/>
      <c r="L18" s="130">
        <f t="shared" si="1"/>
        <v>0.52642477491957451</v>
      </c>
      <c r="M18" s="130">
        <f t="shared" si="1"/>
        <v>0.5612944209857631</v>
      </c>
      <c r="N18" s="130">
        <f t="shared" si="1"/>
        <v>0.54244217118298943</v>
      </c>
      <c r="O18" s="130">
        <f t="shared" si="1"/>
        <v>0.71604937975308669</v>
      </c>
      <c r="P18" s="130">
        <f t="shared" si="1"/>
        <v>0.71604937975308669</v>
      </c>
      <c r="Q18" s="130">
        <f t="shared" si="1"/>
        <v>0.48636393772140196</v>
      </c>
      <c r="R18" s="131"/>
      <c r="S18" s="132"/>
      <c r="T18" s="132"/>
      <c r="U18" s="132"/>
      <c r="V18" s="132"/>
      <c r="W18" s="132"/>
      <c r="X18" s="132"/>
      <c r="Y18" s="132"/>
      <c r="Z18" s="132"/>
      <c r="AA18" s="71"/>
      <c r="AB18" s="71"/>
    </row>
    <row r="19" spans="1:28" x14ac:dyDescent="0.2">
      <c r="A19" s="6"/>
      <c r="B19" s="98" t="s">
        <v>24</v>
      </c>
      <c r="C19" s="72">
        <v>0.48452524037288069</v>
      </c>
      <c r="D19" s="72">
        <v>0.44134679233434071</v>
      </c>
      <c r="E19" s="72">
        <v>0.43662450156184568</v>
      </c>
      <c r="F19" s="72">
        <v>0.29032258064516159</v>
      </c>
      <c r="G19" s="72">
        <f t="shared" si="2"/>
        <v>0.29032258064516159</v>
      </c>
      <c r="H19" s="72">
        <v>0.51199469681052734</v>
      </c>
      <c r="I19" s="130"/>
      <c r="J19" s="130"/>
      <c r="K19" s="131"/>
      <c r="L19" s="130">
        <f t="shared" si="1"/>
        <v>0.51547475962711931</v>
      </c>
      <c r="M19" s="130">
        <f t="shared" si="1"/>
        <v>0.55865320766565929</v>
      </c>
      <c r="N19" s="130">
        <f t="shared" si="1"/>
        <v>0.56337549843815427</v>
      </c>
      <c r="O19" s="130">
        <f t="shared" si="1"/>
        <v>0.70967741935483841</v>
      </c>
      <c r="P19" s="130">
        <f t="shared" si="1"/>
        <v>0.70967741935483841</v>
      </c>
      <c r="Q19" s="130">
        <f t="shared" si="1"/>
        <v>0.48800530318947266</v>
      </c>
      <c r="R19" s="131"/>
      <c r="S19" s="132"/>
      <c r="T19" s="132"/>
      <c r="U19" s="132"/>
      <c r="V19" s="132"/>
      <c r="W19" s="132"/>
      <c r="X19" s="132"/>
      <c r="Y19" s="132"/>
      <c r="Z19" s="132"/>
      <c r="AA19" s="71"/>
      <c r="AB19" s="71"/>
    </row>
    <row r="20" spans="1:28" x14ac:dyDescent="0.2">
      <c r="A20" s="6"/>
      <c r="B20" s="98"/>
      <c r="C20" s="131"/>
      <c r="D20" s="131"/>
      <c r="E20" s="131"/>
      <c r="F20" s="105"/>
      <c r="G20" s="105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x14ac:dyDescent="0.2">
      <c r="A21" s="6"/>
      <c r="B21" s="98"/>
      <c r="C21" s="131"/>
      <c r="D21" s="131"/>
      <c r="E21" s="131"/>
      <c r="F21" s="105"/>
      <c r="G21" s="105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x14ac:dyDescent="0.2">
      <c r="A22" s="121" t="s">
        <v>25</v>
      </c>
      <c r="B22" s="124" t="s">
        <v>26</v>
      </c>
      <c r="C22" s="131"/>
      <c r="D22" s="131"/>
      <c r="E22" s="133" t="s">
        <v>27</v>
      </c>
      <c r="F22" s="105"/>
      <c r="G22" s="105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38.25" x14ac:dyDescent="0.2">
      <c r="A23" s="6"/>
      <c r="B23" s="71"/>
      <c r="C23" s="125" t="s">
        <v>28</v>
      </c>
      <c r="D23" s="125"/>
      <c r="E23" s="125" t="s">
        <v>28</v>
      </c>
      <c r="F23" s="125" t="s">
        <v>28</v>
      </c>
      <c r="G23" s="125" t="s">
        <v>28</v>
      </c>
      <c r="H23" s="125" t="s">
        <v>28</v>
      </c>
      <c r="I23" s="125"/>
      <c r="J23" s="125"/>
      <c r="K23" s="7"/>
      <c r="L23" s="125" t="s">
        <v>28</v>
      </c>
      <c r="M23" s="134" t="str">
        <f>M1-2&amp;" Forecasted Billed Sales"</f>
        <v>2018 Forecasted Billed Sales</v>
      </c>
      <c r="N23" s="125" t="s">
        <v>28</v>
      </c>
      <c r="O23" s="125" t="s">
        <v>28</v>
      </c>
      <c r="P23" s="125" t="s">
        <v>28</v>
      </c>
      <c r="Q23" s="125" t="s">
        <v>28</v>
      </c>
      <c r="R23" s="125"/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x14ac:dyDescent="0.2">
      <c r="A24" s="6"/>
      <c r="B24" s="127" t="s">
        <v>29</v>
      </c>
      <c r="C24" s="128" t="str">
        <f>+C6</f>
        <v>SC1/SC5</v>
      </c>
      <c r="D24" s="128" t="str">
        <f t="shared" ref="D24:H24" si="3">+D6</f>
        <v>SC3</v>
      </c>
      <c r="E24" s="128" t="str">
        <f t="shared" si="3"/>
        <v>SC2 ND</v>
      </c>
      <c r="F24" s="128" t="str">
        <f t="shared" si="3"/>
        <v>SC4</v>
      </c>
      <c r="G24" s="128" t="str">
        <f t="shared" si="3"/>
        <v>SC6</v>
      </c>
      <c r="H24" s="128" t="str">
        <f t="shared" si="3"/>
        <v>SC2 Dem</v>
      </c>
      <c r="I24" s="26"/>
      <c r="J24" s="26"/>
      <c r="K24" s="129"/>
      <c r="L24" s="26" t="str">
        <f t="shared" ref="L24:Q24" si="4">+C6</f>
        <v>SC1/SC5</v>
      </c>
      <c r="M24" s="26" t="str">
        <f t="shared" si="4"/>
        <v>SC3</v>
      </c>
      <c r="N24" s="26" t="str">
        <f t="shared" si="4"/>
        <v>SC2 ND</v>
      </c>
      <c r="O24" s="26" t="str">
        <f t="shared" si="4"/>
        <v>SC4</v>
      </c>
      <c r="P24" s="26" t="str">
        <f t="shared" si="4"/>
        <v>SC6</v>
      </c>
      <c r="Q24" s="26" t="str">
        <f t="shared" si="4"/>
        <v>SC2 Dem</v>
      </c>
      <c r="R24" s="26"/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x14ac:dyDescent="0.2">
      <c r="A25" s="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x14ac:dyDescent="0.2">
      <c r="A26" s="6"/>
      <c r="B26" s="98" t="s">
        <v>13</v>
      </c>
      <c r="C26" s="135" t="s">
        <v>30</v>
      </c>
      <c r="D26" s="74">
        <v>0.3408920922009927</v>
      </c>
      <c r="E26" s="135" t="s">
        <v>30</v>
      </c>
      <c r="F26" s="135" t="s">
        <v>30</v>
      </c>
      <c r="G26" s="135" t="s">
        <v>30</v>
      </c>
      <c r="H26" s="135" t="s">
        <v>30</v>
      </c>
      <c r="I26" s="130"/>
      <c r="J26" s="130"/>
      <c r="K26" s="131"/>
      <c r="L26" s="131"/>
      <c r="M26" s="130">
        <f t="shared" ref="M26:M37" si="5">1-D26</f>
        <v>0.6591079077990073</v>
      </c>
      <c r="N26" s="131"/>
      <c r="O26" s="131"/>
      <c r="P26" s="131"/>
      <c r="Q26" s="131"/>
      <c r="R26" s="131"/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x14ac:dyDescent="0.2">
      <c r="A27" s="6"/>
      <c r="B27" s="98" t="s">
        <v>14</v>
      </c>
      <c r="C27" s="135" t="s">
        <v>30</v>
      </c>
      <c r="D27" s="74">
        <v>0.3725081820886641</v>
      </c>
      <c r="E27" s="135" t="s">
        <v>30</v>
      </c>
      <c r="F27" s="135" t="s">
        <v>30</v>
      </c>
      <c r="G27" s="135" t="s">
        <v>30</v>
      </c>
      <c r="H27" s="135" t="s">
        <v>30</v>
      </c>
      <c r="I27" s="130"/>
      <c r="J27" s="130"/>
      <c r="K27" s="131"/>
      <c r="L27" s="131"/>
      <c r="M27" s="130">
        <f t="shared" si="5"/>
        <v>0.6274918179113359</v>
      </c>
      <c r="N27" s="131"/>
      <c r="O27" s="131"/>
      <c r="P27" s="131"/>
      <c r="Q27" s="131"/>
      <c r="R27" s="131"/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x14ac:dyDescent="0.2">
      <c r="A28" s="6"/>
      <c r="B28" s="98" t="s">
        <v>15</v>
      </c>
      <c r="C28" s="135" t="s">
        <v>30</v>
      </c>
      <c r="D28" s="74">
        <v>0.34465868103486663</v>
      </c>
      <c r="E28" s="135" t="s">
        <v>30</v>
      </c>
      <c r="F28" s="135" t="s">
        <v>30</v>
      </c>
      <c r="G28" s="135" t="s">
        <v>30</v>
      </c>
      <c r="H28" s="135" t="s">
        <v>30</v>
      </c>
      <c r="I28" s="130"/>
      <c r="J28" s="130"/>
      <c r="K28" s="131"/>
      <c r="L28" s="131"/>
      <c r="M28" s="130">
        <f t="shared" si="5"/>
        <v>0.65534131896513337</v>
      </c>
      <c r="N28" s="131"/>
      <c r="O28" s="131"/>
      <c r="P28" s="131"/>
      <c r="Q28" s="131"/>
      <c r="R28" s="131"/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x14ac:dyDescent="0.2">
      <c r="A29" s="6"/>
      <c r="B29" s="98" t="s">
        <v>16</v>
      </c>
      <c r="C29" s="135" t="s">
        <v>30</v>
      </c>
      <c r="D29" s="74">
        <v>0.34077012835472581</v>
      </c>
      <c r="E29" s="135" t="s">
        <v>30</v>
      </c>
      <c r="F29" s="135" t="s">
        <v>30</v>
      </c>
      <c r="G29" s="135" t="s">
        <v>30</v>
      </c>
      <c r="H29" s="135" t="s">
        <v>30</v>
      </c>
      <c r="I29" s="130"/>
      <c r="J29" s="130"/>
      <c r="K29" s="131"/>
      <c r="L29" s="131"/>
      <c r="M29" s="130">
        <f t="shared" si="5"/>
        <v>0.65922987164527425</v>
      </c>
      <c r="N29" s="131"/>
      <c r="O29" s="131"/>
      <c r="P29" s="131"/>
      <c r="Q29" s="131"/>
      <c r="R29" s="131"/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x14ac:dyDescent="0.2">
      <c r="A30" s="6"/>
      <c r="B30" s="98" t="s">
        <v>17</v>
      </c>
      <c r="C30" s="135" t="s">
        <v>30</v>
      </c>
      <c r="D30" s="74">
        <v>0.35256965944272445</v>
      </c>
      <c r="E30" s="135" t="s">
        <v>30</v>
      </c>
      <c r="F30" s="135" t="s">
        <v>30</v>
      </c>
      <c r="G30" s="135" t="s">
        <v>30</v>
      </c>
      <c r="H30" s="135" t="s">
        <v>30</v>
      </c>
      <c r="I30" s="130"/>
      <c r="J30" s="130"/>
      <c r="K30" s="131"/>
      <c r="L30" s="131"/>
      <c r="M30" s="130">
        <f t="shared" si="5"/>
        <v>0.64743034055727555</v>
      </c>
      <c r="N30" s="131"/>
      <c r="O30" s="131"/>
      <c r="P30" s="131"/>
      <c r="Q30" s="131"/>
      <c r="R30" s="131"/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x14ac:dyDescent="0.2">
      <c r="A31" s="6"/>
      <c r="B31" s="98" t="s">
        <v>18</v>
      </c>
      <c r="C31" s="135" t="s">
        <v>30</v>
      </c>
      <c r="D31" s="74">
        <v>0.34841918644735548</v>
      </c>
      <c r="E31" s="135" t="s">
        <v>30</v>
      </c>
      <c r="F31" s="135" t="s">
        <v>30</v>
      </c>
      <c r="G31" s="135" t="s">
        <v>30</v>
      </c>
      <c r="H31" s="135" t="s">
        <v>30</v>
      </c>
      <c r="I31" s="130"/>
      <c r="J31" s="130"/>
      <c r="K31" s="131"/>
      <c r="L31" s="131"/>
      <c r="M31" s="130">
        <f t="shared" si="5"/>
        <v>0.65158081355264452</v>
      </c>
      <c r="N31" s="131"/>
      <c r="O31" s="131"/>
      <c r="P31" s="131"/>
      <c r="Q31" s="131"/>
      <c r="R31" s="131"/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x14ac:dyDescent="0.2">
      <c r="A32" s="6"/>
      <c r="B32" s="98" t="s">
        <v>19</v>
      </c>
      <c r="C32" s="135" t="s">
        <v>30</v>
      </c>
      <c r="D32" s="74">
        <v>0.37661495716601068</v>
      </c>
      <c r="E32" s="135" t="s">
        <v>30</v>
      </c>
      <c r="F32" s="135" t="s">
        <v>30</v>
      </c>
      <c r="G32" s="135" t="s">
        <v>30</v>
      </c>
      <c r="H32" s="135" t="s">
        <v>30</v>
      </c>
      <c r="I32" s="130"/>
      <c r="J32" s="130"/>
      <c r="K32" s="131"/>
      <c r="L32" s="131"/>
      <c r="M32" s="130">
        <f t="shared" si="5"/>
        <v>0.62338504283398932</v>
      </c>
      <c r="N32" s="131"/>
      <c r="O32" s="131"/>
      <c r="P32" s="131"/>
      <c r="Q32" s="131"/>
      <c r="R32" s="131"/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x14ac:dyDescent="0.2">
      <c r="A33" s="6"/>
      <c r="B33" s="98" t="s">
        <v>20</v>
      </c>
      <c r="C33" s="135" t="s">
        <v>30</v>
      </c>
      <c r="D33" s="74">
        <v>0.41232900283919816</v>
      </c>
      <c r="E33" s="135" t="s">
        <v>30</v>
      </c>
      <c r="F33" s="135" t="s">
        <v>30</v>
      </c>
      <c r="G33" s="135" t="s">
        <v>30</v>
      </c>
      <c r="H33" s="135" t="s">
        <v>30</v>
      </c>
      <c r="I33" s="130"/>
      <c r="J33" s="130"/>
      <c r="K33" s="131"/>
      <c r="L33" s="131"/>
      <c r="M33" s="130">
        <f t="shared" si="5"/>
        <v>0.58767099716080184</v>
      </c>
      <c r="N33" s="131"/>
      <c r="O33" s="131"/>
      <c r="P33" s="131"/>
      <c r="Q33" s="131"/>
      <c r="R33" s="131"/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x14ac:dyDescent="0.2">
      <c r="A34" s="6"/>
      <c r="B34" s="98" t="s">
        <v>21</v>
      </c>
      <c r="C34" s="135" t="s">
        <v>30</v>
      </c>
      <c r="D34" s="74">
        <v>0.39051999999999998</v>
      </c>
      <c r="E34" s="135" t="s">
        <v>30</v>
      </c>
      <c r="F34" s="135" t="s">
        <v>30</v>
      </c>
      <c r="G34" s="135" t="s">
        <v>30</v>
      </c>
      <c r="H34" s="135" t="s">
        <v>30</v>
      </c>
      <c r="I34" s="130"/>
      <c r="J34" s="130"/>
      <c r="K34" s="131"/>
      <c r="L34" s="131"/>
      <c r="M34" s="130">
        <f t="shared" si="5"/>
        <v>0.60948000000000002</v>
      </c>
      <c r="N34" s="131"/>
      <c r="O34" s="131"/>
      <c r="P34" s="131"/>
      <c r="Q34" s="131"/>
      <c r="R34" s="131"/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x14ac:dyDescent="0.2">
      <c r="A35" s="6"/>
      <c r="B35" s="98" t="s">
        <v>22</v>
      </c>
      <c r="C35" s="135" t="s">
        <v>30</v>
      </c>
      <c r="D35" s="74">
        <v>0.40350776637817387</v>
      </c>
      <c r="E35" s="135" t="s">
        <v>30</v>
      </c>
      <c r="F35" s="135" t="s">
        <v>30</v>
      </c>
      <c r="G35" s="135" t="s">
        <v>30</v>
      </c>
      <c r="H35" s="135" t="s">
        <v>30</v>
      </c>
      <c r="I35" s="130"/>
      <c r="J35" s="130"/>
      <c r="K35" s="131"/>
      <c r="L35" s="131"/>
      <c r="M35" s="130">
        <f t="shared" si="5"/>
        <v>0.59649223362182613</v>
      </c>
      <c r="N35" s="131"/>
      <c r="O35" s="131"/>
      <c r="P35" s="131"/>
      <c r="Q35" s="131"/>
      <c r="R35" s="131"/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x14ac:dyDescent="0.2">
      <c r="A36" s="6"/>
      <c r="B36" s="98" t="s">
        <v>23</v>
      </c>
      <c r="C36" s="135" t="s">
        <v>30</v>
      </c>
      <c r="D36" s="74">
        <v>0.37501985492666912</v>
      </c>
      <c r="E36" s="135" t="s">
        <v>30</v>
      </c>
      <c r="F36" s="135" t="s">
        <v>30</v>
      </c>
      <c r="G36" s="135" t="s">
        <v>30</v>
      </c>
      <c r="H36" s="135" t="s">
        <v>30</v>
      </c>
      <c r="I36" s="130"/>
      <c r="J36" s="130"/>
      <c r="K36" s="131"/>
      <c r="L36" s="131"/>
      <c r="M36" s="130">
        <f t="shared" si="5"/>
        <v>0.62498014507333088</v>
      </c>
      <c r="N36" s="131"/>
      <c r="O36" s="131"/>
      <c r="P36" s="131"/>
      <c r="Q36" s="131"/>
      <c r="R36" s="131"/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x14ac:dyDescent="0.2">
      <c r="A37" s="6"/>
      <c r="B37" s="98" t="s">
        <v>24</v>
      </c>
      <c r="C37" s="135" t="s">
        <v>30</v>
      </c>
      <c r="D37" s="74">
        <v>0.36531613515866107</v>
      </c>
      <c r="E37" s="135" t="s">
        <v>30</v>
      </c>
      <c r="F37" s="135" t="s">
        <v>30</v>
      </c>
      <c r="G37" s="135" t="s">
        <v>30</v>
      </c>
      <c r="H37" s="135" t="s">
        <v>30</v>
      </c>
      <c r="I37" s="130"/>
      <c r="J37" s="130"/>
      <c r="K37" s="131"/>
      <c r="L37" s="131"/>
      <c r="M37" s="130">
        <f t="shared" si="5"/>
        <v>0.63468386484133887</v>
      </c>
      <c r="N37" s="131"/>
      <c r="O37" s="131"/>
      <c r="P37" s="131"/>
      <c r="Q37" s="131"/>
      <c r="R37" s="131"/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x14ac:dyDescent="0.2">
      <c r="A38" s="6"/>
      <c r="B38" s="98"/>
      <c r="C38" s="131"/>
      <c r="D38" s="131"/>
      <c r="E38" s="131"/>
      <c r="F38" s="105"/>
      <c r="G38" s="105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x14ac:dyDescent="0.2">
      <c r="A39" s="6"/>
      <c r="B39" s="98"/>
      <c r="C39" s="131"/>
      <c r="D39" s="131"/>
      <c r="E39" s="131"/>
      <c r="F39" s="105"/>
      <c r="G39" s="105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x14ac:dyDescent="0.2">
      <c r="A40" s="121" t="s">
        <v>31</v>
      </c>
      <c r="B40" s="136" t="s">
        <v>32</v>
      </c>
      <c r="C40" s="71"/>
      <c r="D40" s="71"/>
      <c r="E40" s="71"/>
      <c r="F40" s="71"/>
      <c r="G40" s="71"/>
      <c r="H40" s="71"/>
      <c r="I40" s="71"/>
      <c r="J40" s="71"/>
      <c r="K40" s="71"/>
      <c r="L40" s="13" t="s">
        <v>33</v>
      </c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x14ac:dyDescent="0.2">
      <c r="A41" s="6"/>
      <c r="B41" s="137" t="str">
        <f>"Calendar month billed sales forecasted for " &amp;M1</f>
        <v>Calendar month billed sales forecasted for 2020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8" x14ac:dyDescent="0.2">
      <c r="A42" s="6"/>
      <c r="B42" s="7" t="s">
        <v>34</v>
      </c>
      <c r="C42" s="22" t="str">
        <f>+C6</f>
        <v>SC1/SC5</v>
      </c>
      <c r="D42" s="22" t="str">
        <f t="shared" ref="D42:H42" si="6">+D6</f>
        <v>SC3</v>
      </c>
      <c r="E42" s="22" t="str">
        <f t="shared" si="6"/>
        <v>SC2 ND</v>
      </c>
      <c r="F42" s="22" t="str">
        <f t="shared" si="6"/>
        <v>SC4</v>
      </c>
      <c r="G42" s="22" t="str">
        <f t="shared" si="6"/>
        <v>SC6</v>
      </c>
      <c r="H42" s="22" t="str">
        <f t="shared" si="6"/>
        <v>SC2 Dem</v>
      </c>
      <c r="I42" s="22" t="s">
        <v>35</v>
      </c>
      <c r="J42" s="26"/>
      <c r="K42" s="26"/>
      <c r="L42" s="26" t="str">
        <f t="shared" ref="L42:Q42" si="7">+C6</f>
        <v>SC1/SC5</v>
      </c>
      <c r="M42" s="26" t="str">
        <f t="shared" si="7"/>
        <v>SC3</v>
      </c>
      <c r="N42" s="26" t="str">
        <f t="shared" si="7"/>
        <v>SC2 ND</v>
      </c>
      <c r="O42" s="26" t="str">
        <f t="shared" si="7"/>
        <v>SC4</v>
      </c>
      <c r="P42" s="26" t="str">
        <f t="shared" si="7"/>
        <v>SC6</v>
      </c>
      <c r="Q42" s="26" t="str">
        <f t="shared" si="7"/>
        <v>SC2 Dem</v>
      </c>
      <c r="R42" s="26"/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28" x14ac:dyDescent="0.2">
      <c r="A43" s="6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</row>
    <row r="44" spans="1:28" x14ac:dyDescent="0.2">
      <c r="A44" s="6"/>
      <c r="B44" s="98" t="s">
        <v>13</v>
      </c>
      <c r="C44" s="75">
        <v>56888</v>
      </c>
      <c r="D44" s="75">
        <v>34.5</v>
      </c>
      <c r="E44" s="75">
        <v>2257</v>
      </c>
      <c r="F44" s="75">
        <v>473.5</v>
      </c>
      <c r="G44" s="75">
        <v>496</v>
      </c>
      <c r="H44" s="75">
        <v>28483.764999999999</v>
      </c>
      <c r="I44" s="75">
        <f t="shared" ref="I44:I55" si="8">SUM(C44:H44)</f>
        <v>88632.764999999999</v>
      </c>
      <c r="J44" s="75"/>
      <c r="K44" s="76" t="s">
        <v>36</v>
      </c>
      <c r="L44" s="77">
        <f t="shared" ref="L44:Q44" si="9">SUM(C44:C48,C53:C55)</f>
        <v>376656.5</v>
      </c>
      <c r="M44" s="75">
        <f t="shared" si="9"/>
        <v>202</v>
      </c>
      <c r="N44" s="75">
        <f t="shared" si="9"/>
        <v>15561</v>
      </c>
      <c r="O44" s="75">
        <f t="shared" si="9"/>
        <v>3409</v>
      </c>
      <c r="P44" s="75">
        <f t="shared" si="9"/>
        <v>3677.5</v>
      </c>
      <c r="Q44" s="75">
        <f t="shared" si="9"/>
        <v>218839.51</v>
      </c>
      <c r="R44" s="75"/>
      <c r="S44" s="71"/>
      <c r="T44" s="71"/>
      <c r="U44" s="71"/>
      <c r="V44" s="71"/>
      <c r="W44" s="71"/>
      <c r="X44" s="71"/>
      <c r="Y44" s="71"/>
      <c r="Z44" s="71"/>
      <c r="AA44" s="71"/>
      <c r="AB44" s="71"/>
    </row>
    <row r="45" spans="1:28" x14ac:dyDescent="0.2">
      <c r="A45" s="6"/>
      <c r="B45" s="98" t="s">
        <v>14</v>
      </c>
      <c r="C45" s="75">
        <v>49260.5</v>
      </c>
      <c r="D45" s="75">
        <v>42</v>
      </c>
      <c r="E45" s="75">
        <v>2610</v>
      </c>
      <c r="F45" s="75">
        <v>433.5</v>
      </c>
      <c r="G45" s="75">
        <v>409.5</v>
      </c>
      <c r="H45" s="75">
        <v>29342.871999999999</v>
      </c>
      <c r="I45" s="75">
        <f t="shared" si="8"/>
        <v>82098.372000000003</v>
      </c>
      <c r="J45" s="75"/>
      <c r="K45" s="76" t="s">
        <v>37</v>
      </c>
      <c r="L45" s="77"/>
      <c r="M45" s="75">
        <f>SUMPRODUCT(D26:D30,D44:D48)+SUMPRODUCT(D35:D37,D53:D55)</f>
        <v>72.887254430941155</v>
      </c>
      <c r="N45" s="71"/>
      <c r="O45" s="71"/>
      <c r="P45" s="71"/>
      <c r="Q45" s="71"/>
      <c r="R45" s="75"/>
      <c r="S45" s="71"/>
      <c r="T45" s="71"/>
      <c r="U45" s="71"/>
      <c r="V45" s="71"/>
      <c r="W45" s="71"/>
      <c r="X45" s="71"/>
      <c r="Y45" s="71"/>
      <c r="Z45" s="71"/>
      <c r="AA45" s="71"/>
      <c r="AB45" s="71"/>
    </row>
    <row r="46" spans="1:28" x14ac:dyDescent="0.2">
      <c r="A46" s="6"/>
      <c r="B46" s="98" t="s">
        <v>15</v>
      </c>
      <c r="C46" s="75">
        <v>45592.5</v>
      </c>
      <c r="D46" s="75">
        <v>23</v>
      </c>
      <c r="E46" s="75">
        <v>2260</v>
      </c>
      <c r="F46" s="75">
        <v>408</v>
      </c>
      <c r="G46" s="75">
        <v>406</v>
      </c>
      <c r="H46" s="75">
        <v>27367.589</v>
      </c>
      <c r="I46" s="75">
        <f t="shared" si="8"/>
        <v>76057.089000000007</v>
      </c>
      <c r="J46" s="75"/>
      <c r="K46" s="76" t="s">
        <v>38</v>
      </c>
      <c r="L46" s="77"/>
      <c r="M46" s="75">
        <f>+M44-M45</f>
        <v>129.11274556905886</v>
      </c>
      <c r="N46" s="71"/>
      <c r="O46" s="71"/>
      <c r="P46" s="71"/>
      <c r="Q46" s="71"/>
      <c r="R46" s="75"/>
      <c r="S46" s="71"/>
      <c r="T46" s="71"/>
      <c r="U46" s="71"/>
      <c r="V46" s="71"/>
      <c r="W46" s="71"/>
      <c r="X46" s="71"/>
      <c r="Y46" s="71"/>
      <c r="Z46" s="71"/>
      <c r="AA46" s="71"/>
      <c r="AB46" s="71"/>
    </row>
    <row r="47" spans="1:28" x14ac:dyDescent="0.2">
      <c r="A47" s="6"/>
      <c r="B47" s="98" t="s">
        <v>16</v>
      </c>
      <c r="C47" s="75">
        <v>40187</v>
      </c>
      <c r="D47" s="75">
        <v>22</v>
      </c>
      <c r="E47" s="75">
        <v>1745</v>
      </c>
      <c r="F47" s="75">
        <v>354.5</v>
      </c>
      <c r="G47" s="75">
        <v>423.5</v>
      </c>
      <c r="H47" s="75">
        <v>26399.733</v>
      </c>
      <c r="I47" s="75">
        <f t="shared" si="8"/>
        <v>69131.733000000007</v>
      </c>
      <c r="J47" s="75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</row>
    <row r="48" spans="1:28" x14ac:dyDescent="0.2">
      <c r="A48" s="6"/>
      <c r="B48" s="98" t="s">
        <v>17</v>
      </c>
      <c r="C48" s="75">
        <v>42283</v>
      </c>
      <c r="D48" s="75">
        <v>16</v>
      </c>
      <c r="E48" s="75">
        <v>1579</v>
      </c>
      <c r="F48" s="75">
        <v>330</v>
      </c>
      <c r="G48" s="75">
        <v>398.5</v>
      </c>
      <c r="H48" s="75">
        <v>25689.821</v>
      </c>
      <c r="I48" s="75">
        <f t="shared" si="8"/>
        <v>70296.320999999996</v>
      </c>
      <c r="J48" s="75"/>
      <c r="K48" s="76" t="s">
        <v>39</v>
      </c>
      <c r="L48" s="77">
        <f>SUM(C49:C52)</f>
        <v>285164</v>
      </c>
      <c r="M48" s="75">
        <f>+SUM(D49:D52)</f>
        <v>86</v>
      </c>
      <c r="N48" s="75">
        <f>+SUM(E49:E52)</f>
        <v>7003</v>
      </c>
      <c r="O48" s="75">
        <f>+SUM(F49:F52)</f>
        <v>1346</v>
      </c>
      <c r="P48" s="75">
        <f>+SUM(G49:G52)</f>
        <v>1474</v>
      </c>
      <c r="Q48" s="75">
        <f>+SUM(H49:H52)</f>
        <v>121541.93000000001</v>
      </c>
      <c r="R48" s="75"/>
      <c r="S48" s="71"/>
      <c r="T48" s="71"/>
      <c r="U48" s="71"/>
      <c r="V48" s="71"/>
      <c r="W48" s="71"/>
      <c r="X48" s="71"/>
      <c r="Y48" s="71"/>
      <c r="Z48" s="71"/>
      <c r="AA48" s="71"/>
      <c r="AB48" s="71"/>
    </row>
    <row r="49" spans="1:28" x14ac:dyDescent="0.2">
      <c r="A49" s="6"/>
      <c r="B49" s="98" t="s">
        <v>18</v>
      </c>
      <c r="C49" s="75">
        <v>56587</v>
      </c>
      <c r="D49" s="75">
        <v>20</v>
      </c>
      <c r="E49" s="75">
        <v>1462</v>
      </c>
      <c r="F49" s="75">
        <v>301.5</v>
      </c>
      <c r="G49" s="75">
        <v>371.5</v>
      </c>
      <c r="H49" s="75">
        <v>26670.762500000001</v>
      </c>
      <c r="I49" s="75">
        <f t="shared" si="8"/>
        <v>85412.762499999997</v>
      </c>
      <c r="J49" s="75"/>
      <c r="K49" s="76" t="s">
        <v>37</v>
      </c>
      <c r="L49" s="77"/>
      <c r="M49" s="75">
        <f>+SUMPRODUCT(D31:D34,D49:D52)</f>
        <v>32.874875720559736</v>
      </c>
      <c r="N49" s="71"/>
      <c r="O49" s="71"/>
      <c r="P49" s="71"/>
      <c r="Q49" s="71"/>
      <c r="R49" s="75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1:28" x14ac:dyDescent="0.2">
      <c r="A50" s="6"/>
      <c r="B50" s="98" t="s">
        <v>19</v>
      </c>
      <c r="C50" s="75">
        <v>79519</v>
      </c>
      <c r="D50" s="75">
        <v>25</v>
      </c>
      <c r="E50" s="75">
        <v>1947</v>
      </c>
      <c r="F50" s="75">
        <v>318.5</v>
      </c>
      <c r="G50" s="75">
        <v>351</v>
      </c>
      <c r="H50" s="75">
        <v>32578.914499999999</v>
      </c>
      <c r="I50" s="75">
        <f t="shared" si="8"/>
        <v>114739.4145</v>
      </c>
      <c r="J50" s="75"/>
      <c r="K50" s="76" t="s">
        <v>38</v>
      </c>
      <c r="L50" s="77"/>
      <c r="M50" s="75">
        <f>+M48-M49</f>
        <v>53.125124279440264</v>
      </c>
      <c r="N50" s="71"/>
      <c r="O50" s="71"/>
      <c r="P50" s="71"/>
      <c r="Q50" s="71"/>
      <c r="R50" s="75"/>
      <c r="S50" s="71"/>
      <c r="T50" s="71"/>
      <c r="U50" s="71"/>
      <c r="V50" s="71"/>
      <c r="W50" s="71"/>
      <c r="X50" s="71"/>
      <c r="Y50" s="71"/>
      <c r="Z50" s="71"/>
      <c r="AA50" s="71"/>
      <c r="AB50" s="71"/>
    </row>
    <row r="51" spans="1:28" x14ac:dyDescent="0.2">
      <c r="A51" s="6"/>
      <c r="B51" s="98" t="s">
        <v>20</v>
      </c>
      <c r="C51" s="75">
        <v>81339</v>
      </c>
      <c r="D51" s="75">
        <v>22</v>
      </c>
      <c r="E51" s="75">
        <v>1863</v>
      </c>
      <c r="F51" s="75">
        <v>337.5</v>
      </c>
      <c r="G51" s="75">
        <v>344.5</v>
      </c>
      <c r="H51" s="75">
        <v>31383.703000000001</v>
      </c>
      <c r="I51" s="75">
        <f t="shared" si="8"/>
        <v>115289.70300000001</v>
      </c>
      <c r="J51" s="75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</row>
    <row r="52" spans="1:28" x14ac:dyDescent="0.2">
      <c r="A52" s="6"/>
      <c r="B52" s="98" t="s">
        <v>21</v>
      </c>
      <c r="C52" s="75">
        <v>67719</v>
      </c>
      <c r="D52" s="75">
        <v>19</v>
      </c>
      <c r="E52" s="75">
        <v>1731</v>
      </c>
      <c r="F52" s="75">
        <v>388.5</v>
      </c>
      <c r="G52" s="75">
        <v>407</v>
      </c>
      <c r="H52" s="75">
        <v>30908.55</v>
      </c>
      <c r="I52" s="75">
        <f t="shared" si="8"/>
        <v>101173.05</v>
      </c>
      <c r="J52" s="75"/>
      <c r="K52" s="76" t="s">
        <v>40</v>
      </c>
      <c r="L52" s="77">
        <f>ROUND(L48*E156,0)</f>
        <v>120054</v>
      </c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</row>
    <row r="53" spans="1:28" x14ac:dyDescent="0.2">
      <c r="A53" s="6"/>
      <c r="B53" s="98" t="s">
        <v>22</v>
      </c>
      <c r="C53" s="75">
        <v>47192</v>
      </c>
      <c r="D53" s="75">
        <v>17</v>
      </c>
      <c r="E53" s="75">
        <v>1419</v>
      </c>
      <c r="F53" s="75">
        <v>432</v>
      </c>
      <c r="G53" s="75">
        <v>480.5</v>
      </c>
      <c r="H53" s="75">
        <v>26598.123500000002</v>
      </c>
      <c r="I53" s="75">
        <f t="shared" si="8"/>
        <v>76138.623500000002</v>
      </c>
      <c r="J53" s="75"/>
      <c r="K53" s="78" t="s">
        <v>41</v>
      </c>
      <c r="L53" s="77">
        <f>L48-L52</f>
        <v>165110</v>
      </c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</row>
    <row r="54" spans="1:28" x14ac:dyDescent="0.2">
      <c r="A54" s="6"/>
      <c r="B54" s="98" t="s">
        <v>23</v>
      </c>
      <c r="C54" s="75">
        <v>43912</v>
      </c>
      <c r="D54" s="75">
        <v>21</v>
      </c>
      <c r="E54" s="75">
        <v>1635</v>
      </c>
      <c r="F54" s="75">
        <v>469.5</v>
      </c>
      <c r="G54" s="75">
        <v>524</v>
      </c>
      <c r="H54" s="75">
        <v>27122.416000000001</v>
      </c>
      <c r="I54" s="75">
        <f t="shared" si="8"/>
        <v>73683.915999999997</v>
      </c>
      <c r="J54" s="75"/>
      <c r="K54" s="78" t="s">
        <v>42</v>
      </c>
      <c r="L54" s="77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</row>
    <row r="55" spans="1:28" x14ac:dyDescent="0.2">
      <c r="A55" s="6"/>
      <c r="B55" s="98" t="s">
        <v>24</v>
      </c>
      <c r="C55" s="4">
        <v>51341.5</v>
      </c>
      <c r="D55" s="4">
        <v>26.5</v>
      </c>
      <c r="E55" s="4">
        <v>2056</v>
      </c>
      <c r="F55" s="4">
        <v>508</v>
      </c>
      <c r="G55" s="4">
        <v>539.5</v>
      </c>
      <c r="H55" s="4">
        <v>27835.190500000001</v>
      </c>
      <c r="I55" s="4">
        <f t="shared" si="8"/>
        <v>82306.690499999997</v>
      </c>
      <c r="J55" s="75"/>
      <c r="K55" s="71"/>
      <c r="L55" s="71"/>
      <c r="M55" s="138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</row>
    <row r="56" spans="1:28" x14ac:dyDescent="0.2">
      <c r="A56" s="6"/>
      <c r="B56" s="139" t="s">
        <v>35</v>
      </c>
      <c r="C56" s="75">
        <f>SUM(C44:C55)</f>
        <v>661820.5</v>
      </c>
      <c r="D56" s="75">
        <f t="shared" ref="D56:H56" si="10">SUM(D44:D55)</f>
        <v>288</v>
      </c>
      <c r="E56" s="75">
        <f t="shared" si="10"/>
        <v>22564</v>
      </c>
      <c r="F56" s="75">
        <f>SUM(F44:F55)</f>
        <v>4755</v>
      </c>
      <c r="G56" s="75">
        <f>SUM(G44:G55)</f>
        <v>5151.5</v>
      </c>
      <c r="H56" s="75">
        <f t="shared" si="10"/>
        <v>340381.44000000006</v>
      </c>
      <c r="I56" s="75">
        <f>SUM(I44:I55)</f>
        <v>1034960.4400000001</v>
      </c>
      <c r="J56" s="75"/>
      <c r="K56" s="71"/>
      <c r="L56" s="71"/>
      <c r="M56" s="138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</row>
    <row r="57" spans="1:28" x14ac:dyDescent="0.2">
      <c r="A57" s="6"/>
      <c r="B57" s="98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138"/>
      <c r="O57" s="13" t="s">
        <v>43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</row>
    <row r="58" spans="1:28" x14ac:dyDescent="0.2">
      <c r="A58" s="6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90"/>
      <c r="O58" s="140"/>
      <c r="P58" s="141"/>
      <c r="Q58" s="141"/>
      <c r="R58" s="141"/>
      <c r="S58" s="141"/>
      <c r="T58" s="141"/>
      <c r="U58" s="141"/>
      <c r="V58" s="141"/>
      <c r="W58" s="142"/>
      <c r="X58" s="71"/>
      <c r="Y58" s="71"/>
      <c r="Z58" s="71"/>
      <c r="AA58" s="71"/>
      <c r="AB58" s="71"/>
    </row>
    <row r="59" spans="1:28" x14ac:dyDescent="0.2">
      <c r="A59" s="121" t="s">
        <v>44</v>
      </c>
      <c r="B59" s="13" t="s">
        <v>45</v>
      </c>
      <c r="C59" s="71"/>
      <c r="D59" s="71"/>
      <c r="E59" s="71"/>
      <c r="F59" s="71"/>
      <c r="G59" s="143"/>
      <c r="H59" s="13"/>
      <c r="I59" s="71"/>
      <c r="J59" s="71"/>
      <c r="K59" s="71"/>
      <c r="L59" s="71"/>
      <c r="M59" s="71"/>
      <c r="N59" s="138"/>
      <c r="O59" s="144"/>
      <c r="P59" s="90" t="s">
        <v>46</v>
      </c>
      <c r="Q59" s="90"/>
      <c r="R59" s="90"/>
      <c r="S59" s="90"/>
      <c r="T59" s="90"/>
      <c r="U59" s="90"/>
      <c r="V59" s="90"/>
      <c r="W59" s="145"/>
      <c r="X59" s="71"/>
      <c r="Y59" s="71"/>
      <c r="Z59" s="71"/>
      <c r="AA59" s="71"/>
      <c r="AB59" s="71"/>
    </row>
    <row r="60" spans="1:28" s="5" customFormat="1" x14ac:dyDescent="0.2">
      <c r="A60" s="6"/>
      <c r="B60" s="2" t="s">
        <v>47</v>
      </c>
      <c r="C60" s="146"/>
      <c r="D60" s="146"/>
      <c r="E60" s="146"/>
      <c r="F60" s="146"/>
      <c r="G60" s="71"/>
      <c r="H60" s="146"/>
      <c r="I60" s="146"/>
      <c r="J60" s="146"/>
      <c r="K60" s="146"/>
      <c r="L60" s="146"/>
      <c r="M60" s="146"/>
      <c r="N60" s="138"/>
      <c r="O60" s="147"/>
      <c r="P60" s="148"/>
      <c r="Q60" s="148"/>
      <c r="R60" s="148"/>
      <c r="S60" s="149" t="str">
        <f>D6</f>
        <v>SC3</v>
      </c>
      <c r="T60" s="149"/>
      <c r="U60" s="149"/>
      <c r="V60" s="90"/>
      <c r="W60" s="150"/>
      <c r="X60" s="71"/>
      <c r="Y60" s="146"/>
      <c r="Z60" s="146"/>
      <c r="AA60" s="146"/>
      <c r="AB60" s="146"/>
    </row>
    <row r="61" spans="1:28" x14ac:dyDescent="0.2">
      <c r="A61" s="6"/>
      <c r="B61" s="71"/>
      <c r="C61" s="22" t="s">
        <v>48</v>
      </c>
      <c r="D61" s="22" t="s">
        <v>49</v>
      </c>
      <c r="E61" s="71"/>
      <c r="F61" s="71"/>
      <c r="G61" s="26"/>
      <c r="H61" s="26"/>
      <c r="I61" s="26"/>
      <c r="J61" s="71"/>
      <c r="K61" s="71"/>
      <c r="L61" s="71"/>
      <c r="M61" s="71"/>
      <c r="N61" s="138"/>
      <c r="O61" s="151"/>
      <c r="P61" s="90"/>
      <c r="Q61" s="90"/>
      <c r="R61" s="90"/>
      <c r="S61" s="90"/>
      <c r="T61" s="90"/>
      <c r="U61" s="90"/>
      <c r="V61" s="90"/>
      <c r="W61" s="145"/>
      <c r="X61" s="71"/>
      <c r="Y61" s="71"/>
      <c r="Z61" s="71"/>
      <c r="AA61" s="71"/>
      <c r="AB61" s="71"/>
    </row>
    <row r="62" spans="1:28" x14ac:dyDescent="0.2">
      <c r="A62" s="6"/>
      <c r="B62" s="98" t="s">
        <v>13</v>
      </c>
      <c r="C62" s="79">
        <f t="shared" ref="C62:D73" si="11">G428</f>
        <v>47.27</v>
      </c>
      <c r="D62" s="79">
        <f t="shared" si="11"/>
        <v>37.83</v>
      </c>
      <c r="E62" s="71"/>
      <c r="F62" s="71"/>
      <c r="G62" s="71"/>
      <c r="H62" s="26"/>
      <c r="I62" s="26"/>
      <c r="J62" s="71"/>
      <c r="K62" s="71"/>
      <c r="L62" s="71"/>
      <c r="M62" s="90"/>
      <c r="N62" s="90"/>
      <c r="O62" s="147"/>
      <c r="P62" s="152"/>
      <c r="Q62" s="91" t="s">
        <v>36</v>
      </c>
      <c r="R62" s="152"/>
      <c r="S62" s="153">
        <f>SUM(D44:D48,D53:D55)</f>
        <v>202</v>
      </c>
      <c r="T62" s="152"/>
      <c r="U62" s="153"/>
      <c r="V62" s="152"/>
      <c r="W62" s="145"/>
      <c r="X62" s="71"/>
      <c r="Y62" s="71"/>
      <c r="Z62" s="71"/>
      <c r="AA62" s="71"/>
      <c r="AB62" s="71"/>
    </row>
    <row r="63" spans="1:28" x14ac:dyDescent="0.2">
      <c r="A63" s="6"/>
      <c r="B63" s="98" t="s">
        <v>14</v>
      </c>
      <c r="C63" s="79">
        <f t="shared" si="11"/>
        <v>44.9</v>
      </c>
      <c r="D63" s="79">
        <f t="shared" si="11"/>
        <v>35.880000000000003</v>
      </c>
      <c r="E63" s="71"/>
      <c r="F63" s="71"/>
      <c r="G63" s="71"/>
      <c r="H63" s="26"/>
      <c r="I63" s="26"/>
      <c r="J63" s="71"/>
      <c r="K63" s="71"/>
      <c r="L63" s="71"/>
      <c r="M63" s="71"/>
      <c r="N63" s="90"/>
      <c r="O63" s="147"/>
      <c r="P63" s="152"/>
      <c r="Q63" s="91" t="s">
        <v>37</v>
      </c>
      <c r="R63" s="90"/>
      <c r="S63" s="153">
        <f>SUMPRODUCT(D26:D30,D44:D48)+SUMPRODUCT(D35:D37,D53:D55)</f>
        <v>72.887254430941155</v>
      </c>
      <c r="T63" s="90">
        <f>S63/S62</f>
        <v>0.36082799223238193</v>
      </c>
      <c r="U63" s="153"/>
      <c r="V63" s="90"/>
      <c r="W63" s="145"/>
      <c r="X63" s="71"/>
      <c r="Y63" s="71"/>
      <c r="Z63" s="71"/>
      <c r="AA63" s="71"/>
      <c r="AB63" s="71"/>
    </row>
    <row r="64" spans="1:28" x14ac:dyDescent="0.2">
      <c r="A64" s="6"/>
      <c r="B64" s="98" t="s">
        <v>15</v>
      </c>
      <c r="C64" s="79">
        <f t="shared" si="11"/>
        <v>34.57</v>
      </c>
      <c r="D64" s="79">
        <f t="shared" si="11"/>
        <v>27.08</v>
      </c>
      <c r="E64" s="71"/>
      <c r="F64" s="71"/>
      <c r="G64" s="71"/>
      <c r="H64" s="26"/>
      <c r="I64" s="26"/>
      <c r="J64" s="71"/>
      <c r="K64" s="71"/>
      <c r="L64" s="71"/>
      <c r="M64" s="148"/>
      <c r="N64" s="148"/>
      <c r="O64" s="147"/>
      <c r="P64" s="152"/>
      <c r="Q64" s="91" t="s">
        <v>38</v>
      </c>
      <c r="R64" s="90"/>
      <c r="S64" s="153">
        <f>SUMPRODUCT(M26:M30,D44:D48)+SUMPRODUCT(M35:M37,D53:D55)</f>
        <v>129.11274556905886</v>
      </c>
      <c r="T64" s="90"/>
      <c r="U64" s="153"/>
      <c r="V64" s="90"/>
      <c r="W64" s="145"/>
      <c r="X64" s="71"/>
      <c r="Y64" s="71"/>
      <c r="Z64" s="71"/>
      <c r="AA64" s="71"/>
      <c r="AB64" s="71"/>
    </row>
    <row r="65" spans="1:28" x14ac:dyDescent="0.2">
      <c r="A65" s="6"/>
      <c r="B65" s="98" t="s">
        <v>16</v>
      </c>
      <c r="C65" s="79">
        <f t="shared" si="11"/>
        <v>29.54</v>
      </c>
      <c r="D65" s="79">
        <f t="shared" si="11"/>
        <v>22.95</v>
      </c>
      <c r="E65" s="71"/>
      <c r="F65" s="71"/>
      <c r="G65" s="71"/>
      <c r="H65" s="26"/>
      <c r="I65" s="26"/>
      <c r="J65" s="71"/>
      <c r="K65" s="71"/>
      <c r="L65" s="71"/>
      <c r="M65" s="90"/>
      <c r="N65" s="90"/>
      <c r="O65" s="151"/>
      <c r="P65" s="90"/>
      <c r="Q65" s="90"/>
      <c r="R65" s="90"/>
      <c r="S65" s="90"/>
      <c r="T65" s="90"/>
      <c r="U65" s="90"/>
      <c r="V65" s="90"/>
      <c r="W65" s="145"/>
      <c r="X65" s="146"/>
      <c r="Y65" s="71"/>
      <c r="Z65" s="71"/>
      <c r="AA65" s="71"/>
      <c r="AB65" s="71"/>
    </row>
    <row r="66" spans="1:28" x14ac:dyDescent="0.2">
      <c r="A66" s="6"/>
      <c r="B66" s="98" t="s">
        <v>17</v>
      </c>
      <c r="C66" s="79">
        <f t="shared" si="11"/>
        <v>28.93</v>
      </c>
      <c r="D66" s="79">
        <f t="shared" si="11"/>
        <v>22.43</v>
      </c>
      <c r="E66" s="71"/>
      <c r="F66" s="71"/>
      <c r="G66" s="71"/>
      <c r="H66" s="26"/>
      <c r="I66" s="26"/>
      <c r="J66" s="71"/>
      <c r="K66" s="71"/>
      <c r="L66" s="71"/>
      <c r="M66" s="71"/>
      <c r="N66" s="138"/>
      <c r="O66" s="147"/>
      <c r="P66" s="152"/>
      <c r="Q66" s="91" t="s">
        <v>39</v>
      </c>
      <c r="R66" s="152"/>
      <c r="S66" s="153">
        <f>+SUM(D49:D52)</f>
        <v>86</v>
      </c>
      <c r="T66" s="152"/>
      <c r="U66" s="153"/>
      <c r="V66" s="152"/>
      <c r="W66" s="145"/>
      <c r="X66" s="71"/>
      <c r="Y66" s="71"/>
      <c r="Z66" s="71"/>
      <c r="AA66" s="71"/>
      <c r="AB66" s="71"/>
    </row>
    <row r="67" spans="1:28" x14ac:dyDescent="0.2">
      <c r="A67" s="6"/>
      <c r="B67" s="98" t="s">
        <v>18</v>
      </c>
      <c r="C67" s="79">
        <f t="shared" si="11"/>
        <v>29.11</v>
      </c>
      <c r="D67" s="79">
        <f t="shared" si="11"/>
        <v>18.170000000000002</v>
      </c>
      <c r="E67" s="71"/>
      <c r="F67" s="71"/>
      <c r="G67" s="71"/>
      <c r="H67" s="26"/>
      <c r="I67" s="26"/>
      <c r="J67" s="71"/>
      <c r="K67" s="71"/>
      <c r="L67" s="71"/>
      <c r="M67" s="71"/>
      <c r="N67" s="138"/>
      <c r="O67" s="147"/>
      <c r="P67" s="152"/>
      <c r="Q67" s="91" t="s">
        <v>37</v>
      </c>
      <c r="R67" s="90"/>
      <c r="S67" s="153">
        <f>+SUMPRODUCT(D31:D34,D49:D52)</f>
        <v>32.874875720559736</v>
      </c>
      <c r="T67" s="154">
        <f>S67/S66</f>
        <v>0.38226599675069461</v>
      </c>
      <c r="U67" s="153"/>
      <c r="V67" s="154"/>
      <c r="W67" s="155"/>
      <c r="X67" s="71"/>
      <c r="Y67" s="71"/>
      <c r="Z67" s="71"/>
      <c r="AA67" s="71"/>
      <c r="AB67" s="71"/>
    </row>
    <row r="68" spans="1:28" x14ac:dyDescent="0.2">
      <c r="A68" s="6"/>
      <c r="B68" s="98" t="s">
        <v>19</v>
      </c>
      <c r="C68" s="79">
        <f t="shared" si="11"/>
        <v>34.57</v>
      </c>
      <c r="D68" s="79">
        <f t="shared" si="11"/>
        <v>21.58</v>
      </c>
      <c r="E68" s="71"/>
      <c r="F68" s="71"/>
      <c r="G68" s="71"/>
      <c r="H68" s="26"/>
      <c r="I68" s="26"/>
      <c r="J68" s="71"/>
      <c r="K68" s="71"/>
      <c r="L68" s="71"/>
      <c r="M68" s="71"/>
      <c r="N68" s="138"/>
      <c r="O68" s="147"/>
      <c r="P68" s="152"/>
      <c r="Q68" s="91" t="s">
        <v>38</v>
      </c>
      <c r="R68" s="90"/>
      <c r="S68" s="153">
        <f>SUMPRODUCT(M31:M34,D49:D52)</f>
        <v>53.125124279440264</v>
      </c>
      <c r="T68" s="90"/>
      <c r="U68" s="153"/>
      <c r="V68" s="90"/>
      <c r="W68" s="145"/>
      <c r="X68" s="71"/>
      <c r="Y68" s="71"/>
      <c r="Z68" s="71"/>
      <c r="AA68" s="71"/>
      <c r="AB68" s="71"/>
    </row>
    <row r="69" spans="1:28" x14ac:dyDescent="0.2">
      <c r="A69" s="6"/>
      <c r="B69" s="98" t="s">
        <v>20</v>
      </c>
      <c r="C69" s="79">
        <f t="shared" si="11"/>
        <v>31.55</v>
      </c>
      <c r="D69" s="79">
        <f t="shared" si="11"/>
        <v>19.72</v>
      </c>
      <c r="E69" s="71"/>
      <c r="F69" s="71"/>
      <c r="G69" s="71"/>
      <c r="H69" s="26"/>
      <c r="I69" s="26"/>
      <c r="J69" s="71"/>
      <c r="K69" s="71"/>
      <c r="L69" s="71"/>
      <c r="M69" s="71"/>
      <c r="N69" s="90"/>
      <c r="O69" s="147"/>
      <c r="P69" s="90"/>
      <c r="Q69" s="90"/>
      <c r="R69" s="90"/>
      <c r="S69" s="90"/>
      <c r="T69" s="90"/>
      <c r="U69" s="90"/>
      <c r="V69" s="90"/>
      <c r="W69" s="145"/>
      <c r="X69" s="71"/>
      <c r="Y69" s="71"/>
      <c r="Z69" s="71"/>
      <c r="AA69" s="71"/>
      <c r="AB69" s="71"/>
    </row>
    <row r="70" spans="1:28" x14ac:dyDescent="0.2">
      <c r="A70" s="6"/>
      <c r="B70" s="98" t="s">
        <v>21</v>
      </c>
      <c r="C70" s="79">
        <f t="shared" si="11"/>
        <v>29.77</v>
      </c>
      <c r="D70" s="79">
        <f t="shared" si="11"/>
        <v>18.579999999999998</v>
      </c>
      <c r="E70" s="71"/>
      <c r="F70" s="71"/>
      <c r="G70" s="71"/>
      <c r="H70" s="26"/>
      <c r="I70" s="26"/>
      <c r="J70" s="71"/>
      <c r="K70" s="71"/>
      <c r="L70" s="71"/>
      <c r="M70" s="71"/>
      <c r="N70" s="138"/>
      <c r="O70" s="144"/>
      <c r="P70" s="90" t="s">
        <v>50</v>
      </c>
      <c r="Q70" s="90"/>
      <c r="R70" s="90"/>
      <c r="S70" s="90"/>
      <c r="T70" s="90"/>
      <c r="U70" s="90"/>
      <c r="V70" s="90"/>
      <c r="W70" s="145"/>
      <c r="X70" s="71"/>
      <c r="Y70" s="71"/>
      <c r="Z70" s="71"/>
      <c r="AA70" s="71"/>
      <c r="AB70" s="71"/>
    </row>
    <row r="71" spans="1:28" x14ac:dyDescent="0.2">
      <c r="A71" s="6"/>
      <c r="B71" s="98" t="s">
        <v>22</v>
      </c>
      <c r="C71" s="79">
        <f t="shared" si="11"/>
        <v>28.52</v>
      </c>
      <c r="D71" s="79">
        <f t="shared" si="11"/>
        <v>22.05</v>
      </c>
      <c r="E71" s="71"/>
      <c r="F71" s="71"/>
      <c r="G71" s="71"/>
      <c r="H71" s="26"/>
      <c r="I71" s="26"/>
      <c r="J71" s="71"/>
      <c r="K71" s="71"/>
      <c r="L71" s="71"/>
      <c r="M71" s="71"/>
      <c r="N71" s="138"/>
      <c r="O71" s="147"/>
      <c r="P71" s="148"/>
      <c r="Q71" s="148"/>
      <c r="R71" s="148"/>
      <c r="S71" s="148" t="str">
        <f>S60</f>
        <v>SC3</v>
      </c>
      <c r="T71" s="148"/>
      <c r="U71" s="148"/>
      <c r="V71" s="148"/>
      <c r="W71" s="145"/>
      <c r="X71" s="71"/>
      <c r="Y71" s="71"/>
      <c r="Z71" s="71"/>
      <c r="AA71" s="71"/>
      <c r="AB71" s="71"/>
    </row>
    <row r="72" spans="1:28" x14ac:dyDescent="0.2">
      <c r="A72" s="6"/>
      <c r="B72" s="98" t="s">
        <v>23</v>
      </c>
      <c r="C72" s="79">
        <f t="shared" si="11"/>
        <v>29.32</v>
      </c>
      <c r="D72" s="79">
        <f t="shared" si="11"/>
        <v>22.97</v>
      </c>
      <c r="E72" s="71"/>
      <c r="F72" s="71"/>
      <c r="G72" s="71"/>
      <c r="H72" s="26"/>
      <c r="I72" s="26"/>
      <c r="J72" s="71"/>
      <c r="K72" s="71"/>
      <c r="L72" s="71"/>
      <c r="M72" s="71"/>
      <c r="N72" s="138"/>
      <c r="O72" s="151"/>
      <c r="P72" s="90"/>
      <c r="Q72" s="90"/>
      <c r="R72" s="90"/>
      <c r="S72" s="90"/>
      <c r="T72" s="90"/>
      <c r="U72" s="90"/>
      <c r="V72" s="90"/>
      <c r="W72" s="145"/>
      <c r="X72" s="71"/>
      <c r="Y72" s="71"/>
      <c r="Z72" s="71"/>
      <c r="AA72" s="71"/>
      <c r="AB72" s="71"/>
    </row>
    <row r="73" spans="1:28" x14ac:dyDescent="0.2">
      <c r="A73" s="6"/>
      <c r="B73" s="98" t="s">
        <v>24</v>
      </c>
      <c r="C73" s="79">
        <f t="shared" si="11"/>
        <v>33.700000000000003</v>
      </c>
      <c r="D73" s="79">
        <f t="shared" si="11"/>
        <v>26.68</v>
      </c>
      <c r="E73" s="71"/>
      <c r="F73" s="71"/>
      <c r="G73" s="71"/>
      <c r="H73" s="26"/>
      <c r="I73" s="26"/>
      <c r="J73" s="71"/>
      <c r="K73" s="71"/>
      <c r="L73" s="71"/>
      <c r="M73" s="71"/>
      <c r="N73" s="90"/>
      <c r="O73" s="147"/>
      <c r="P73" s="152"/>
      <c r="Q73" s="91" t="s">
        <v>36</v>
      </c>
      <c r="R73" s="152"/>
      <c r="S73" s="153">
        <f>SUM(D44:D48,D53:D55)</f>
        <v>202</v>
      </c>
      <c r="T73" s="152"/>
      <c r="U73" s="153"/>
      <c r="V73" s="152"/>
      <c r="W73" s="145"/>
      <c r="X73" s="71"/>
      <c r="Y73" s="71"/>
      <c r="Z73" s="71"/>
      <c r="AA73" s="71"/>
      <c r="AB73" s="71"/>
    </row>
    <row r="74" spans="1:28" x14ac:dyDescent="0.2">
      <c r="A74" s="6"/>
      <c r="B74" s="98"/>
      <c r="C74" s="79"/>
      <c r="D74" s="79"/>
      <c r="E74" s="71"/>
      <c r="F74" s="71"/>
      <c r="G74" s="20"/>
      <c r="H74" s="71"/>
      <c r="I74" s="71"/>
      <c r="J74" s="71"/>
      <c r="K74" s="71"/>
      <c r="L74" s="71"/>
      <c r="M74" s="148"/>
      <c r="N74" s="148"/>
      <c r="O74" s="147"/>
      <c r="P74" s="152"/>
      <c r="Q74" s="91" t="s">
        <v>37</v>
      </c>
      <c r="R74" s="90"/>
      <c r="S74" s="153">
        <f>SUMPRODUCT(D8:D12,D44:D48)+SUMPRODUCT(D17:D19,D53:D55)</f>
        <v>94.338875840479417</v>
      </c>
      <c r="T74" s="90">
        <f>S74/S73</f>
        <v>0.46702413782415553</v>
      </c>
      <c r="U74" s="153"/>
      <c r="V74" s="90"/>
      <c r="W74" s="145"/>
      <c r="X74" s="71"/>
      <c r="Y74" s="71"/>
      <c r="Z74" s="71"/>
      <c r="AA74" s="71"/>
      <c r="AB74" s="71"/>
    </row>
    <row r="75" spans="1:28" x14ac:dyDescent="0.2">
      <c r="A75" s="6"/>
      <c r="B75" s="98"/>
      <c r="C75" s="79"/>
      <c r="D75" s="79"/>
      <c r="E75" s="71"/>
      <c r="F75" s="71"/>
      <c r="G75" s="71"/>
      <c r="H75" s="71"/>
      <c r="I75" s="20"/>
      <c r="J75" s="71"/>
      <c r="K75" s="71"/>
      <c r="L75" s="71"/>
      <c r="M75" s="90"/>
      <c r="N75" s="90"/>
      <c r="O75" s="147"/>
      <c r="P75" s="152"/>
      <c r="Q75" s="91" t="s">
        <v>38</v>
      </c>
      <c r="R75" s="90"/>
      <c r="S75" s="153">
        <f>SUMPRODUCT(M8:M12,D44:D48)+SUMPRODUCT(M17:M19,D53:D55)</f>
        <v>107.6611241595206</v>
      </c>
      <c r="T75" s="90"/>
      <c r="U75" s="153"/>
      <c r="V75" s="90"/>
      <c r="W75" s="145"/>
      <c r="X75" s="71"/>
      <c r="Y75" s="71"/>
      <c r="Z75" s="71"/>
      <c r="AA75" s="71"/>
      <c r="AB75" s="71"/>
    </row>
    <row r="76" spans="1:28" x14ac:dyDescent="0.2">
      <c r="A76" s="156" t="s">
        <v>51</v>
      </c>
      <c r="B76" s="136" t="s">
        <v>52</v>
      </c>
      <c r="C76" s="22" t="str">
        <f t="shared" ref="C76:H76" si="12">+C6</f>
        <v>SC1/SC5</v>
      </c>
      <c r="D76" s="22" t="str">
        <f t="shared" si="12"/>
        <v>SC3</v>
      </c>
      <c r="E76" s="22" t="str">
        <f t="shared" si="12"/>
        <v>SC2 ND</v>
      </c>
      <c r="F76" s="22" t="str">
        <f t="shared" si="12"/>
        <v>SC4</v>
      </c>
      <c r="G76" s="22" t="str">
        <f t="shared" si="12"/>
        <v>SC6</v>
      </c>
      <c r="H76" s="22" t="str">
        <f t="shared" si="12"/>
        <v>SC2 Dem</v>
      </c>
      <c r="I76" s="26"/>
      <c r="J76" s="26"/>
      <c r="K76" s="71"/>
      <c r="L76" s="71"/>
      <c r="M76" s="71"/>
      <c r="N76" s="138"/>
      <c r="O76" s="151"/>
      <c r="P76" s="90"/>
      <c r="Q76" s="90"/>
      <c r="R76" s="90"/>
      <c r="S76" s="90"/>
      <c r="T76" s="90"/>
      <c r="U76" s="90"/>
      <c r="V76" s="90"/>
      <c r="W76" s="145"/>
      <c r="X76" s="71"/>
      <c r="Y76" s="71"/>
      <c r="Z76" s="71"/>
      <c r="AA76" s="71"/>
      <c r="AB76" s="71"/>
    </row>
    <row r="77" spans="1:28" x14ac:dyDescent="0.2">
      <c r="A77" s="6"/>
      <c r="B77" s="98"/>
      <c r="C77" s="157"/>
      <c r="D77" s="157"/>
      <c r="E77" s="157"/>
      <c r="F77" s="71"/>
      <c r="G77" s="71"/>
      <c r="H77" s="71"/>
      <c r="I77" s="71"/>
      <c r="J77" s="71"/>
      <c r="K77" s="71"/>
      <c r="L77" s="71"/>
      <c r="M77" s="71"/>
      <c r="N77" s="138"/>
      <c r="O77" s="147"/>
      <c r="P77" s="148"/>
      <c r="Q77" s="91" t="s">
        <v>39</v>
      </c>
      <c r="R77" s="148"/>
      <c r="S77" s="153">
        <f>+SUM(D49:D52)</f>
        <v>86</v>
      </c>
      <c r="T77" s="148"/>
      <c r="U77" s="153"/>
      <c r="V77" s="148"/>
      <c r="W77" s="145"/>
      <c r="X77" s="71"/>
      <c r="Y77" s="71"/>
      <c r="Z77" s="71"/>
      <c r="AA77" s="71"/>
      <c r="AB77" s="71"/>
    </row>
    <row r="78" spans="1:28" x14ac:dyDescent="0.2">
      <c r="A78" s="6"/>
      <c r="B78" s="71" t="s">
        <v>53</v>
      </c>
      <c r="C78" s="80">
        <v>1.085244197051586</v>
      </c>
      <c r="D78" s="80">
        <v>1.085244197051586</v>
      </c>
      <c r="E78" s="80">
        <v>1.085244197051586</v>
      </c>
      <c r="F78" s="80">
        <v>1.081465484631652</v>
      </c>
      <c r="G78" s="80">
        <v>1.081465484631652</v>
      </c>
      <c r="H78" s="80">
        <v>1.085244197051586</v>
      </c>
      <c r="I78" s="80"/>
      <c r="J78" s="80"/>
      <c r="K78" s="71"/>
      <c r="L78" s="71"/>
      <c r="M78" s="71"/>
      <c r="N78" s="138"/>
      <c r="O78" s="147"/>
      <c r="P78" s="152"/>
      <c r="Q78" s="91" t="s">
        <v>37</v>
      </c>
      <c r="R78" s="90"/>
      <c r="S78" s="153">
        <f>+SUMPRODUCT(D13:D16,D49:D52)</f>
        <v>44.353938904991892</v>
      </c>
      <c r="T78" s="90">
        <f>S78/S77</f>
        <v>0.51574347563944056</v>
      </c>
      <c r="U78" s="153"/>
      <c r="V78" s="90"/>
      <c r="W78" s="145"/>
      <c r="X78" s="71"/>
      <c r="Y78" s="71"/>
      <c r="Z78" s="71"/>
      <c r="AA78" s="71"/>
      <c r="AB78" s="71"/>
    </row>
    <row r="79" spans="1:28" x14ac:dyDescent="0.2">
      <c r="A79" s="6"/>
      <c r="B79" s="71"/>
      <c r="C79" s="71"/>
      <c r="D79" s="71"/>
      <c r="E79" s="71"/>
      <c r="F79" s="71"/>
      <c r="G79" s="71"/>
      <c r="H79" s="71"/>
      <c r="I79" s="80"/>
      <c r="J79" s="80"/>
      <c r="K79" s="71"/>
      <c r="L79" s="71"/>
      <c r="M79" s="71"/>
      <c r="N79" s="90"/>
      <c r="O79" s="147"/>
      <c r="P79" s="152"/>
      <c r="Q79" s="91" t="s">
        <v>38</v>
      </c>
      <c r="R79" s="90"/>
      <c r="S79" s="153">
        <f>SUMPRODUCT(M13:M16,D49:D52)</f>
        <v>41.646061095008108</v>
      </c>
      <c r="T79" s="90"/>
      <c r="U79" s="153"/>
      <c r="V79" s="90"/>
      <c r="W79" s="145"/>
      <c r="X79" s="71"/>
      <c r="Y79" s="71"/>
      <c r="Z79" s="71"/>
      <c r="AA79" s="71"/>
      <c r="AB79" s="71"/>
    </row>
    <row r="80" spans="1:28" x14ac:dyDescent="0.2">
      <c r="A80" s="6"/>
      <c r="B80" s="71" t="s">
        <v>54</v>
      </c>
      <c r="C80" s="80"/>
      <c r="D80" s="71"/>
      <c r="E80" s="71"/>
      <c r="F80" s="71"/>
      <c r="G80" s="71"/>
      <c r="H80" s="71"/>
      <c r="I80" s="80"/>
      <c r="J80" s="80"/>
      <c r="K80" s="71"/>
      <c r="L80" s="71"/>
      <c r="M80" s="71"/>
      <c r="N80" s="90"/>
      <c r="O80" s="147"/>
      <c r="P80" s="152"/>
      <c r="Q80" s="91"/>
      <c r="R80" s="90"/>
      <c r="S80" s="153"/>
      <c r="T80" s="90"/>
      <c r="U80" s="153"/>
      <c r="V80" s="90"/>
      <c r="W80" s="145"/>
      <c r="X80" s="71"/>
      <c r="Y80" s="71"/>
      <c r="Z80" s="71"/>
      <c r="AA80" s="71"/>
      <c r="AB80" s="71"/>
    </row>
    <row r="81" spans="1:28" x14ac:dyDescent="0.2">
      <c r="A81" s="6"/>
      <c r="B81" s="71" t="s">
        <v>55</v>
      </c>
      <c r="C81" s="80">
        <v>1.0749609784320973</v>
      </c>
      <c r="D81" s="80">
        <v>1.0749609784320973</v>
      </c>
      <c r="E81" s="80">
        <v>1.0749609784320973</v>
      </c>
      <c r="F81" s="80">
        <v>1.0712180711572354</v>
      </c>
      <c r="G81" s="80">
        <v>1.0712180711572354</v>
      </c>
      <c r="H81" s="80">
        <v>1.0749609784320973</v>
      </c>
      <c r="I81" s="80"/>
      <c r="J81" s="80"/>
      <c r="K81" s="71"/>
      <c r="L81" s="71"/>
      <c r="M81" s="71"/>
      <c r="N81" s="90"/>
      <c r="O81" s="147"/>
      <c r="P81" s="152"/>
      <c r="Q81" s="91"/>
      <c r="R81" s="90"/>
      <c r="S81" s="153"/>
      <c r="T81" s="90"/>
      <c r="U81" s="153"/>
      <c r="V81" s="90"/>
      <c r="W81" s="145"/>
      <c r="X81" s="71"/>
      <c r="Y81" s="71"/>
      <c r="Z81" s="71"/>
      <c r="AA81" s="71"/>
      <c r="AB81" s="71"/>
    </row>
    <row r="82" spans="1:28" x14ac:dyDescent="0.2">
      <c r="A82" s="6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138"/>
      <c r="O82" s="144"/>
      <c r="P82" s="90"/>
      <c r="Q82" s="90"/>
      <c r="R82" s="90"/>
      <c r="S82" s="90"/>
      <c r="T82" s="90"/>
      <c r="U82" s="90"/>
      <c r="V82" s="90"/>
      <c r="W82" s="145"/>
      <c r="X82" s="71"/>
      <c r="Y82" s="71"/>
      <c r="Z82" s="71"/>
      <c r="AA82" s="71"/>
      <c r="AB82" s="71"/>
    </row>
    <row r="83" spans="1:28" x14ac:dyDescent="0.2">
      <c r="A83" s="156" t="s">
        <v>56</v>
      </c>
      <c r="B83" s="13" t="s">
        <v>57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138"/>
      <c r="O83" s="147"/>
      <c r="P83" s="90" t="s">
        <v>58</v>
      </c>
      <c r="Q83" s="90"/>
      <c r="R83" s="90"/>
      <c r="S83" s="90"/>
      <c r="T83" s="90"/>
      <c r="U83" s="90"/>
      <c r="V83" s="90"/>
      <c r="W83" s="145"/>
      <c r="X83" s="71"/>
      <c r="Y83" s="71"/>
      <c r="Z83" s="71"/>
      <c r="AA83" s="71"/>
      <c r="AB83" s="71"/>
    </row>
    <row r="84" spans="1:28" x14ac:dyDescent="0.2">
      <c r="A84" s="6"/>
      <c r="B84" s="2" t="s">
        <v>59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138"/>
      <c r="O84" s="151"/>
      <c r="P84" s="148"/>
      <c r="Q84" s="148"/>
      <c r="R84" s="148"/>
      <c r="S84" s="148" t="str">
        <f>S60</f>
        <v>SC3</v>
      </c>
      <c r="T84" s="148"/>
      <c r="U84" s="148"/>
      <c r="V84" s="148"/>
      <c r="W84" s="145"/>
      <c r="X84" s="71"/>
      <c r="Y84" s="71"/>
      <c r="Z84" s="71"/>
      <c r="AA84" s="71"/>
      <c r="AB84" s="71"/>
    </row>
    <row r="85" spans="1:28" x14ac:dyDescent="0.2">
      <c r="A85" s="6"/>
      <c r="B85" s="7" t="s">
        <v>60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90"/>
      <c r="O85" s="147"/>
      <c r="P85" s="90"/>
      <c r="Q85" s="90"/>
      <c r="R85" s="90"/>
      <c r="S85" s="90"/>
      <c r="T85" s="90"/>
      <c r="U85" s="90"/>
      <c r="V85" s="90"/>
      <c r="W85" s="145"/>
      <c r="X85" s="71"/>
      <c r="Y85" s="71"/>
      <c r="Z85" s="71"/>
      <c r="AA85" s="71"/>
      <c r="AB85" s="71"/>
    </row>
    <row r="86" spans="1:28" x14ac:dyDescent="0.2">
      <c r="A86" s="6"/>
      <c r="B86" s="13"/>
      <c r="C86" s="22" t="str">
        <f t="shared" ref="C86:H86" si="13">+C6</f>
        <v>SC1/SC5</v>
      </c>
      <c r="D86" s="22" t="str">
        <f t="shared" si="13"/>
        <v>SC3</v>
      </c>
      <c r="E86" s="22" t="str">
        <f t="shared" si="13"/>
        <v>SC2 ND</v>
      </c>
      <c r="F86" s="22" t="str">
        <f t="shared" si="13"/>
        <v>SC4</v>
      </c>
      <c r="G86" s="22" t="str">
        <f t="shared" si="13"/>
        <v>SC6</v>
      </c>
      <c r="H86" s="22" t="str">
        <f t="shared" si="13"/>
        <v>SC2 Dem</v>
      </c>
      <c r="I86" s="26"/>
      <c r="J86" s="26"/>
      <c r="K86" s="71"/>
      <c r="L86" s="71"/>
      <c r="M86" s="90"/>
      <c r="N86" s="90"/>
      <c r="O86" s="147"/>
      <c r="P86" s="152"/>
      <c r="Q86" s="91" t="s">
        <v>61</v>
      </c>
      <c r="R86" s="152"/>
      <c r="S86" s="152"/>
      <c r="T86" s="152"/>
      <c r="U86" s="152"/>
      <c r="V86" s="152"/>
      <c r="W86" s="145"/>
      <c r="X86" s="71"/>
      <c r="Y86" s="71"/>
      <c r="Z86" s="71"/>
      <c r="AA86" s="71"/>
      <c r="AB86" s="71"/>
    </row>
    <row r="87" spans="1:28" x14ac:dyDescent="0.2">
      <c r="A87" s="6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90"/>
      <c r="N87" s="90"/>
      <c r="O87" s="147"/>
      <c r="P87" s="152"/>
      <c r="Q87" s="158" t="s">
        <v>62</v>
      </c>
      <c r="R87" s="90"/>
      <c r="S87" s="152">
        <f>S74-S63</f>
        <v>21.451621409538262</v>
      </c>
      <c r="T87" s="90"/>
      <c r="U87" s="152"/>
      <c r="V87" s="90"/>
      <c r="W87" s="145"/>
      <c r="X87" s="71"/>
      <c r="Y87" s="71"/>
      <c r="Z87" s="71"/>
      <c r="AA87" s="71"/>
      <c r="AB87" s="71"/>
    </row>
    <row r="88" spans="1:28" x14ac:dyDescent="0.2">
      <c r="A88" s="6"/>
      <c r="B88" s="98" t="s">
        <v>63</v>
      </c>
      <c r="C88" s="10">
        <f t="shared" ref="C88:H88" si="14">(SUMPRODUCT(C13:C16,C49:C52,$C67:$C70)*C78+SUMPRODUCT(L13:L16,C49:C52,$D67:$D70)*C78)/SUM(C49:C52)</f>
        <v>28.275805896029475</v>
      </c>
      <c r="D88" s="10">
        <f t="shared" si="14"/>
        <v>27.956903951809092</v>
      </c>
      <c r="E88" s="10">
        <f t="shared" si="14"/>
        <v>27.947448167718214</v>
      </c>
      <c r="F88" s="10">
        <f t="shared" si="14"/>
        <v>23.899679984170056</v>
      </c>
      <c r="G88" s="10">
        <f t="shared" si="14"/>
        <v>23.853473091820035</v>
      </c>
      <c r="H88" s="10">
        <f t="shared" si="14"/>
        <v>28.124473448837332</v>
      </c>
      <c r="I88" s="10"/>
      <c r="J88" s="10"/>
      <c r="K88" s="71"/>
      <c r="L88" s="71"/>
      <c r="M88" s="90"/>
      <c r="N88" s="90"/>
      <c r="O88" s="151"/>
      <c r="P88" s="152"/>
      <c r="Q88" s="91" t="s">
        <v>64</v>
      </c>
      <c r="R88" s="90"/>
      <c r="S88" s="159">
        <f>S87*(D93-D94)</f>
        <v>169.71553487558211</v>
      </c>
      <c r="T88" s="90"/>
      <c r="U88" s="159"/>
      <c r="V88" s="90"/>
      <c r="W88" s="145"/>
      <c r="X88" s="71"/>
      <c r="Y88" s="71"/>
      <c r="Z88" s="71"/>
      <c r="AA88" s="71"/>
      <c r="AB88" s="71"/>
    </row>
    <row r="89" spans="1:28" x14ac:dyDescent="0.2">
      <c r="A89" s="6"/>
      <c r="B89" s="99" t="s">
        <v>65</v>
      </c>
      <c r="C89" s="10">
        <f t="shared" ref="C89:H89" si="15">(SUMPRODUCT(C13:C16,C49:C52,$C67:$C70)*C78)/SUMPRODUCT(C13:C16,C49:C52)</f>
        <v>34.262070730042943</v>
      </c>
      <c r="D89" s="10">
        <f t="shared" si="15"/>
        <v>34.246248267067664</v>
      </c>
      <c r="E89" s="10">
        <f t="shared" si="15"/>
        <v>34.127007334451832</v>
      </c>
      <c r="F89" s="10">
        <f t="shared" si="15"/>
        <v>33.648059379291517</v>
      </c>
      <c r="G89" s="10">
        <f t="shared" si="15"/>
        <v>33.613849774448731</v>
      </c>
      <c r="H89" s="10">
        <f t="shared" si="15"/>
        <v>34.107043710328121</v>
      </c>
      <c r="I89" s="10"/>
      <c r="J89" s="10"/>
      <c r="K89" s="71"/>
      <c r="L89" s="71"/>
      <c r="M89" s="71"/>
      <c r="N89" s="71"/>
      <c r="O89" s="147"/>
      <c r="P89" s="90"/>
      <c r="Q89" s="91" t="s">
        <v>66</v>
      </c>
      <c r="R89" s="90"/>
      <c r="S89" s="160">
        <f>ROUND(S88/S73,2)</f>
        <v>0.84</v>
      </c>
      <c r="T89" s="90"/>
      <c r="U89" s="160"/>
      <c r="V89" s="90"/>
      <c r="W89" s="145"/>
      <c r="X89" s="71"/>
      <c r="Y89" s="71"/>
      <c r="Z89" s="71"/>
      <c r="AA89" s="71"/>
      <c r="AB89" s="71"/>
    </row>
    <row r="90" spans="1:28" x14ac:dyDescent="0.2">
      <c r="A90" s="6"/>
      <c r="B90" s="99" t="s">
        <v>67</v>
      </c>
      <c r="C90" s="10">
        <f t="shared" ref="C90:H90" si="16">(SUMPRODUCT(L13:L16,C49:C52,$D67:$D70)*C78)/SUMPRODUCT(L13:L16,C49:C52)</f>
        <v>21.267843489611295</v>
      </c>
      <c r="D90" s="10">
        <f t="shared" si="16"/>
        <v>21.258618779652107</v>
      </c>
      <c r="E90" s="10">
        <f t="shared" si="16"/>
        <v>21.300739646248331</v>
      </c>
      <c r="F90" s="10">
        <f t="shared" si="16"/>
        <v>21.088987784069154</v>
      </c>
      <c r="G90" s="10">
        <f t="shared" si="16"/>
        <v>21.058367629962589</v>
      </c>
      <c r="H90" s="10">
        <f t="shared" si="16"/>
        <v>21.213787728729695</v>
      </c>
      <c r="I90" s="10"/>
      <c r="J90" s="10"/>
      <c r="K90" s="71"/>
      <c r="L90" s="71"/>
      <c r="M90" s="71"/>
      <c r="N90" s="71"/>
      <c r="O90" s="147"/>
      <c r="P90" s="148"/>
      <c r="Q90" s="71"/>
      <c r="R90" s="71"/>
      <c r="S90" s="71"/>
      <c r="T90" s="71"/>
      <c r="U90" s="71"/>
      <c r="V90" s="148"/>
      <c r="W90" s="145"/>
      <c r="X90" s="71"/>
      <c r="Y90" s="71"/>
      <c r="Z90" s="71"/>
      <c r="AA90" s="71"/>
      <c r="AB90" s="71"/>
    </row>
    <row r="91" spans="1:28" x14ac:dyDescent="0.2">
      <c r="A91" s="6"/>
      <c r="B91" s="71"/>
      <c r="C91" s="161"/>
      <c r="D91" s="161"/>
      <c r="E91" s="161"/>
      <c r="F91" s="161"/>
      <c r="G91" s="161"/>
      <c r="H91" s="161"/>
      <c r="I91" s="161"/>
      <c r="J91" s="161"/>
      <c r="K91" s="71"/>
      <c r="L91" s="71"/>
      <c r="M91" s="71"/>
      <c r="N91" s="71"/>
      <c r="O91" s="147"/>
      <c r="P91" s="152"/>
      <c r="Q91" s="91" t="s">
        <v>68</v>
      </c>
      <c r="R91" s="148"/>
      <c r="S91" s="162"/>
      <c r="T91" s="148"/>
      <c r="U91" s="162"/>
      <c r="V91" s="90"/>
      <c r="W91" s="145"/>
      <c r="X91" s="71"/>
      <c r="Y91" s="71"/>
      <c r="Z91" s="71"/>
      <c r="AA91" s="71"/>
      <c r="AB91" s="71"/>
    </row>
    <row r="92" spans="1:28" x14ac:dyDescent="0.2">
      <c r="A92" s="6"/>
      <c r="B92" s="98" t="s">
        <v>69</v>
      </c>
      <c r="C92" s="10">
        <f t="shared" ref="C92:H92" si="17">(SUMPRODUCT(C8:C12,C44:C48,$C62:$C66)*C78+SUMPRODUCT(L8:L12,C44:C48,$D62:$D66)*C78+SUMPRODUCT(C17:C19,C53:C55,$C71:$C73)*C78+SUMPRODUCT(L17:L19,C53:C55,$D71:$D73)*C78)/SUM(C44:C48,C53:C55)</f>
        <v>34.146803146656652</v>
      </c>
      <c r="D92" s="10">
        <f t="shared" si="17"/>
        <v>35.383357776533572</v>
      </c>
      <c r="E92" s="10">
        <f t="shared" si="17"/>
        <v>34.704918991514624</v>
      </c>
      <c r="F92" s="10">
        <f t="shared" si="17"/>
        <v>32.119095252105787</v>
      </c>
      <c r="G92" s="10">
        <f t="shared" si="17"/>
        <v>31.746393578946677</v>
      </c>
      <c r="H92" s="10">
        <f t="shared" si="17"/>
        <v>34.067819073337375</v>
      </c>
      <c r="I92" s="10"/>
      <c r="J92" s="10"/>
      <c r="K92" s="71"/>
      <c r="L92" s="71"/>
      <c r="M92" s="71"/>
      <c r="N92" s="71"/>
      <c r="O92" s="147"/>
      <c r="P92" s="152"/>
      <c r="Q92" s="158" t="s">
        <v>62</v>
      </c>
      <c r="R92" s="90"/>
      <c r="S92" s="152">
        <f>S78-S67</f>
        <v>11.479063184432157</v>
      </c>
      <c r="T92" s="90"/>
      <c r="U92" s="152"/>
      <c r="V92" s="90"/>
      <c r="W92" s="145"/>
      <c r="X92" s="71"/>
      <c r="Y92" s="71"/>
      <c r="Z92" s="71"/>
      <c r="AA92" s="71"/>
      <c r="AB92" s="71"/>
    </row>
    <row r="93" spans="1:28" x14ac:dyDescent="0.2">
      <c r="A93" s="6"/>
      <c r="B93" s="99" t="s">
        <v>65</v>
      </c>
      <c r="C93" s="10">
        <f t="shared" ref="C93" si="18">(SUMPRODUCT(C8:C12,C44:C48,$C62:$C66)*C78+SUMPRODUCT(C17:C19,C53:C55,$C71:$C73)*C78)/(SUMPRODUCT(C8:C12,C44:C48)+SUMPRODUCT(C17:C19,C53:C55))</f>
        <v>38.123236280267882</v>
      </c>
      <c r="D93" s="10">
        <f>(SUMPRODUCT(D8:D12,D44:D48,$C62:$C66)*D78+SUMPRODUCT(D17:D19,D53:D55,$C71:$C73)*D78)/(SUMPRODUCT(D8:D12,D44:D48)+SUMPRODUCT(D17:D19,D53:D55))</f>
        <v>39.600021953010611</v>
      </c>
      <c r="E93" s="10">
        <f>(SUMPRODUCT(E8:E12,E44:E48,$C62:$C66)*E78+SUMPRODUCT(E17:E19,E53:E55,$C71:$C73)*E78)/(SUMPRODUCT(E8:E12,E44:E48)+SUMPRODUCT(E17:E19,E53:E55))</f>
        <v>38.41702409800282</v>
      </c>
      <c r="F93" s="10">
        <f>(SUMPRODUCT(F8:F12,F44:F48,$C62:$C66)*F78+SUMPRODUCT(F17:F19,F53:F55,$C71:$C73)*F78)/(SUMPRODUCT(F8:F12,F44:F48)+SUMPRODUCT(F17:F19,F53:F55))</f>
        <v>38.065405219887126</v>
      </c>
      <c r="G93" s="10">
        <f>(SUMPRODUCT(G8:G12,G44:G48,$C62:$C66)*G78+SUMPRODUCT(G17:G19,G53:G55,$C71:$C73)*G78)/(SUMPRODUCT(G8:G12,G44:G48)+SUMPRODUCT(G17:G19,G53:G55))</f>
        <v>37.650479458256292</v>
      </c>
      <c r="H93" s="10">
        <f>(SUMPRODUCT(H8:H12,H44:H48,$C62:$C66)*H78+SUMPRODUCT(H17:H19,H53:H55,$C71:$C73)*H78)/(SUMPRODUCT(H8:H12,H44:H48)+SUMPRODUCT(H17:H19,H53:H55))</f>
        <v>37.712951788473625</v>
      </c>
      <c r="I93" s="10"/>
      <c r="J93" s="10"/>
      <c r="K93" s="71"/>
      <c r="L93" s="71"/>
      <c r="M93" s="71"/>
      <c r="N93" s="71"/>
      <c r="O93" s="90"/>
      <c r="P93" s="90"/>
      <c r="Q93" s="91" t="s">
        <v>64</v>
      </c>
      <c r="R93" s="90"/>
      <c r="S93" s="159">
        <f>S92*(D89-D90)</f>
        <v>149.0858195020374</v>
      </c>
      <c r="T93" s="90"/>
      <c r="U93" s="159"/>
      <c r="V93" s="90"/>
      <c r="W93" s="90"/>
      <c r="X93" s="71"/>
      <c r="Y93" s="71"/>
      <c r="Z93" s="71"/>
      <c r="AA93" s="71"/>
      <c r="AB93" s="71"/>
    </row>
    <row r="94" spans="1:28" x14ac:dyDescent="0.2">
      <c r="A94" s="6"/>
      <c r="B94" s="99" t="s">
        <v>67</v>
      </c>
      <c r="C94" s="10">
        <f t="shared" ref="C94:H94" si="19">(SUMPRODUCT(L8:L12,C44:C48,$D62:$D66)*C78+SUMPRODUCT(L17:L19,C53:C55,$D71:$D73)*C78)/(SUMPRODUCT(L8:L12,C44:C48)+SUMPRODUCT(L17:L19,C53:C55))</f>
        <v>30.141810704188519</v>
      </c>
      <c r="D94" s="10">
        <f t="shared" si="19"/>
        <v>31.688473840376119</v>
      </c>
      <c r="E94" s="10">
        <f t="shared" si="19"/>
        <v>31.005169302595494</v>
      </c>
      <c r="F94" s="10">
        <f t="shared" si="19"/>
        <v>29.705771472526706</v>
      </c>
      <c r="G94" s="10">
        <f t="shared" si="19"/>
        <v>29.359634752263805</v>
      </c>
      <c r="H94" s="10">
        <f t="shared" si="19"/>
        <v>29.881685566682414</v>
      </c>
      <c r="I94" s="10"/>
      <c r="J94" s="10"/>
      <c r="K94" s="71"/>
      <c r="L94" s="71"/>
      <c r="M94" s="71"/>
      <c r="N94" s="71"/>
      <c r="O94" s="90"/>
      <c r="P94" s="90"/>
      <c r="Q94" s="91" t="s">
        <v>66</v>
      </c>
      <c r="R94" s="90"/>
      <c r="S94" s="160">
        <f>ROUND(S93/S77,2)</f>
        <v>1.73</v>
      </c>
      <c r="T94" s="90"/>
      <c r="U94" s="160"/>
      <c r="V94" s="90"/>
      <c r="W94" s="90"/>
      <c r="X94" s="71"/>
      <c r="Y94" s="71"/>
      <c r="Z94" s="71"/>
      <c r="AA94" s="71"/>
      <c r="AB94" s="71"/>
    </row>
    <row r="95" spans="1:28" x14ac:dyDescent="0.2">
      <c r="A95" s="6"/>
      <c r="B95" s="71"/>
      <c r="C95" s="161"/>
      <c r="D95" s="161"/>
      <c r="E95" s="161"/>
      <c r="F95" s="161"/>
      <c r="G95" s="161"/>
      <c r="H95" s="161"/>
      <c r="I95" s="161"/>
      <c r="J95" s="161"/>
      <c r="K95" s="71"/>
      <c r="L95" s="71"/>
      <c r="M95" s="71"/>
      <c r="N95" s="71"/>
      <c r="O95" s="90"/>
      <c r="P95" s="90"/>
      <c r="Q95" s="90"/>
      <c r="R95" s="90"/>
      <c r="S95" s="90"/>
      <c r="T95" s="90"/>
      <c r="U95" s="90"/>
      <c r="V95" s="90"/>
      <c r="W95" s="71"/>
      <c r="X95" s="71"/>
      <c r="Y95" s="71"/>
      <c r="Z95" s="71"/>
      <c r="AA95" s="71"/>
      <c r="AB95" s="71"/>
    </row>
    <row r="96" spans="1:28" x14ac:dyDescent="0.2">
      <c r="A96" s="6"/>
      <c r="B96" s="71" t="s">
        <v>70</v>
      </c>
      <c r="C96" s="10">
        <f t="shared" ref="C96" si="20">(C88*SUM(C49:C52)+C92*SUM(C44:C48,C53:C55))/C56</f>
        <v>31.617118647645444</v>
      </c>
      <c r="D96" s="161">
        <f>(D88*SUM(D49:D52)+D92*SUM(D44:D48,D53:D55))/D56</f>
        <v>33.165736148317229</v>
      </c>
      <c r="E96" s="161">
        <f>(E88*SUM(E49:E52)+E92*SUM(E44:E48,E53:E55))/E56</f>
        <v>32.607659277853649</v>
      </c>
      <c r="F96" s="161">
        <f>(F88*SUM(F49:F52)+F92*SUM(F44:F48,F53:F55))/F56</f>
        <v>29.792421655756367</v>
      </c>
      <c r="G96" s="161">
        <f>(G88*SUM(G49:G52)+G92*SUM(G44:G48,G53:G55))/G56</f>
        <v>29.487990240496774</v>
      </c>
      <c r="H96" s="161">
        <f>(H88*SUM(H49:H52)+H92*SUM(H44:H48,H53:H55))/H56</f>
        <v>31.945594965410717</v>
      </c>
      <c r="I96" s="161"/>
      <c r="J96" s="16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</row>
    <row r="97" spans="1:28" x14ac:dyDescent="0.2">
      <c r="A97" s="6"/>
      <c r="B97" s="71"/>
      <c r="C97" s="10"/>
      <c r="D97" s="161"/>
      <c r="E97" s="161"/>
      <c r="F97" s="161"/>
      <c r="G97" s="161"/>
      <c r="H97" s="161"/>
      <c r="I97" s="161"/>
      <c r="J97" s="16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</row>
    <row r="98" spans="1:28" x14ac:dyDescent="0.2">
      <c r="A98" s="6"/>
      <c r="B98" s="71" t="s">
        <v>71</v>
      </c>
      <c r="C98" s="81">
        <f>SUMPRODUCT(C96:H96,C56:H56)/SUM(C56:H56)</f>
        <v>31.728194548750604</v>
      </c>
      <c r="D98" s="161"/>
      <c r="E98" s="161"/>
      <c r="F98" s="161"/>
      <c r="G98" s="161"/>
      <c r="H98" s="161"/>
      <c r="I98" s="161"/>
      <c r="J98" s="16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</row>
    <row r="99" spans="1:28" x14ac:dyDescent="0.2">
      <c r="A99" s="6"/>
      <c r="B99" s="71"/>
      <c r="C99" s="10"/>
      <c r="D99" s="161"/>
      <c r="E99" s="161"/>
      <c r="F99" s="161"/>
      <c r="G99" s="161"/>
      <c r="H99" s="161"/>
      <c r="I99" s="161"/>
      <c r="J99" s="161"/>
      <c r="K99" s="16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</row>
    <row r="100" spans="1:28" x14ac:dyDescent="0.2">
      <c r="A100" s="6"/>
      <c r="B100" s="71"/>
      <c r="C100" s="161"/>
      <c r="D100" s="161"/>
      <c r="E100" s="161"/>
      <c r="F100" s="161"/>
      <c r="G100" s="161"/>
      <c r="H100" s="161"/>
      <c r="I100" s="161"/>
      <c r="J100" s="161"/>
      <c r="K100" s="16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</row>
    <row r="101" spans="1:28" x14ac:dyDescent="0.2">
      <c r="A101" s="156" t="s">
        <v>72</v>
      </c>
      <c r="B101" s="13" t="s">
        <v>73</v>
      </c>
      <c r="C101" s="161"/>
      <c r="D101" s="161"/>
      <c r="E101" s="161"/>
      <c r="F101" s="161"/>
      <c r="G101" s="161"/>
      <c r="H101" s="161"/>
      <c r="I101" s="161"/>
      <c r="J101" s="161"/>
      <c r="K101" s="16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</row>
    <row r="102" spans="1:28" x14ac:dyDescent="0.2">
      <c r="A102" s="6"/>
      <c r="B102" s="7" t="s">
        <v>59</v>
      </c>
      <c r="C102" s="161"/>
      <c r="D102" s="161"/>
      <c r="E102" s="161"/>
      <c r="F102" s="161"/>
      <c r="G102" s="161"/>
      <c r="H102" s="161"/>
      <c r="I102" s="161"/>
      <c r="J102" s="161"/>
      <c r="K102" s="16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</row>
    <row r="103" spans="1:28" x14ac:dyDescent="0.2">
      <c r="A103" s="6"/>
      <c r="B103" s="7" t="s">
        <v>74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</row>
    <row r="104" spans="1:28" x14ac:dyDescent="0.2">
      <c r="A104" s="6"/>
      <c r="B104" s="13"/>
      <c r="C104" s="22" t="str">
        <f t="shared" ref="C104:H104" si="21">+C6</f>
        <v>SC1/SC5</v>
      </c>
      <c r="D104" s="22" t="str">
        <f t="shared" si="21"/>
        <v>SC3</v>
      </c>
      <c r="E104" s="22" t="str">
        <f t="shared" si="21"/>
        <v>SC2 ND</v>
      </c>
      <c r="F104" s="22" t="str">
        <f t="shared" si="21"/>
        <v>SC4</v>
      </c>
      <c r="G104" s="22" t="str">
        <f t="shared" si="21"/>
        <v>SC6</v>
      </c>
      <c r="H104" s="22" t="str">
        <f t="shared" si="21"/>
        <v>SC2 Dem</v>
      </c>
      <c r="I104" s="26"/>
      <c r="J104" s="26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</row>
    <row r="105" spans="1:28" x14ac:dyDescent="0.2">
      <c r="A105" s="6"/>
      <c r="B105" s="71"/>
      <c r="C105" s="96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</row>
    <row r="106" spans="1:28" x14ac:dyDescent="0.2">
      <c r="A106" s="6"/>
      <c r="B106" s="98" t="s">
        <v>63</v>
      </c>
      <c r="C106" s="82">
        <f t="shared" ref="C106" si="22">SUM(C49:C52)*C88/1000</f>
        <v>8063.241912535349</v>
      </c>
      <c r="D106" s="82">
        <f>SUM(D49:D52)*D88/1000</f>
        <v>2.4042937398555817</v>
      </c>
      <c r="E106" s="82">
        <f>SUM(E49:E52)*E88/1000</f>
        <v>195.71597951853065</v>
      </c>
      <c r="F106" s="82">
        <f>SUM(F49:F52)*F88/1000</f>
        <v>32.168969258692897</v>
      </c>
      <c r="G106" s="82">
        <f>SUM(G49:G52)*G88/1000</f>
        <v>35.160019337342732</v>
      </c>
      <c r="H106" s="82">
        <f>SUM(H49:H52)*H88/1000</f>
        <v>3418.3027832054458</v>
      </c>
      <c r="I106" s="82"/>
      <c r="J106" s="82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</row>
    <row r="107" spans="1:28" x14ac:dyDescent="0.2">
      <c r="A107" s="6"/>
      <c r="B107" s="99" t="s">
        <v>65</v>
      </c>
      <c r="C107" s="82">
        <f t="shared" ref="C107" si="23">SUMPRODUCT(C49:C52,C13:C16)*C89/1000</f>
        <v>5269.2597927465958</v>
      </c>
      <c r="D107" s="82">
        <f>SUMPRODUCT(D49:D52,D13:D16)*D89/1000</f>
        <v>1.5189560033627036</v>
      </c>
      <c r="E107" s="82">
        <f>SUMPRODUCT(E49:E52,E13:E16)*E89/1000</f>
        <v>123.8479056154053</v>
      </c>
      <c r="F107" s="82">
        <f>SUMPRODUCT(F49:F52,F13:F16)*F89/1000</f>
        <v>10.135865381818178</v>
      </c>
      <c r="G107" s="82">
        <f>SUMPRODUCT(G49:G52,G13:G16)*G89/1000</f>
        <v>11.030127749907276</v>
      </c>
      <c r="H107" s="82">
        <f>SUMPRODUCT(H49:H52,H13:H16)*H89/1000</f>
        <v>2221.9216659439439</v>
      </c>
      <c r="I107" s="82"/>
      <c r="J107" s="82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</row>
    <row r="108" spans="1:28" x14ac:dyDescent="0.2">
      <c r="A108" s="6"/>
      <c r="B108" s="99" t="s">
        <v>67</v>
      </c>
      <c r="C108" s="82">
        <f t="shared" ref="C108:H108" si="24">SUMPRODUCT(C49:C52,L13:L16)*C90/1000</f>
        <v>2793.9821197887527</v>
      </c>
      <c r="D108" s="82">
        <f t="shared" si="24"/>
        <v>0.88533773649287828</v>
      </c>
      <c r="E108" s="82">
        <f t="shared" si="24"/>
        <v>71.868073903125364</v>
      </c>
      <c r="F108" s="82">
        <f t="shared" si="24"/>
        <v>22.033103876874716</v>
      </c>
      <c r="G108" s="82">
        <f t="shared" si="24"/>
        <v>24.129891587435456</v>
      </c>
      <c r="H108" s="82">
        <f t="shared" si="24"/>
        <v>1196.3811172615021</v>
      </c>
      <c r="I108" s="82"/>
      <c r="J108" s="82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</row>
    <row r="109" spans="1:28" x14ac:dyDescent="0.2">
      <c r="A109" s="6"/>
      <c r="B109" s="71"/>
      <c r="C109" s="19"/>
      <c r="D109" s="19"/>
      <c r="E109" s="19"/>
      <c r="F109" s="19"/>
      <c r="G109" s="19"/>
      <c r="H109" s="19"/>
      <c r="I109" s="19"/>
      <c r="J109" s="1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</row>
    <row r="110" spans="1:28" x14ac:dyDescent="0.2">
      <c r="A110" s="6"/>
      <c r="B110" s="98" t="s">
        <v>69</v>
      </c>
      <c r="C110" s="19">
        <f t="shared" ref="C110" si="25">SUM(C44:C48,C53:C55)*C92/1000</f>
        <v>12861.615359408681</v>
      </c>
      <c r="D110" s="19">
        <f>SUM(D44:D48,D53:D55)*D92/1000</f>
        <v>7.147438270859781</v>
      </c>
      <c r="E110" s="19">
        <f>SUM(E44:E48,E53:E55)*E92/1000</f>
        <v>540.04324442695906</v>
      </c>
      <c r="F110" s="19">
        <f>SUM(F44:F48,F53:F55)*F92/1000</f>
        <v>109.49399571442864</v>
      </c>
      <c r="G110" s="19">
        <f>SUM(G44:G48,G53:G55)*G92/1000</f>
        <v>116.74736238657641</v>
      </c>
      <c r="H110" s="19">
        <f>SUM(H44:H48,H53:H55)*H92/1000</f>
        <v>7455.384832777806</v>
      </c>
      <c r="I110" s="19"/>
      <c r="J110" s="1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</row>
    <row r="111" spans="1:28" x14ac:dyDescent="0.2">
      <c r="A111" s="6"/>
      <c r="B111" s="99" t="s">
        <v>65</v>
      </c>
      <c r="C111" s="82">
        <f t="shared" ref="C111" si="26">(SUMPRODUCT(C44:C48,C8:C12)+SUMPRODUCT(C53:C55,C17:C19))*C93/1000</f>
        <v>7205.3728670634164</v>
      </c>
      <c r="D111" s="82">
        <f>(SUMPRODUCT(D44:D48,D8:D12)+SUMPRODUCT(D53:D55,D17:D19))*D93/1000</f>
        <v>3.7358215543053275</v>
      </c>
      <c r="E111" s="82">
        <f>(SUMPRODUCT(E44:E48,E8:E12)+SUMPRODUCT(E53:E55,E17:E19))*E93/1000</f>
        <v>298.40538942228648</v>
      </c>
      <c r="F111" s="82">
        <f>(SUMPRODUCT(F44:F48,F8:F12)+SUMPRODUCT(F53:F55,F17:F19))*F93/1000</f>
        <v>37.461554970065421</v>
      </c>
      <c r="G111" s="82">
        <f>(SUMPRODUCT(G44:G48,G8:G12)+SUMPRODUCT(G53:G55,G17:G19))*G93/1000</f>
        <v>39.859601204781477</v>
      </c>
      <c r="H111" s="82">
        <f>(SUMPRODUCT(H44:H48,H8:H12)+SUMPRODUCT(H53:H55,H17:H19))*H93/1000</f>
        <v>4411.6123787504166</v>
      </c>
      <c r="I111" s="82"/>
      <c r="J111" s="82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</row>
    <row r="112" spans="1:28" x14ac:dyDescent="0.2">
      <c r="A112" s="6"/>
      <c r="B112" s="99" t="s">
        <v>67</v>
      </c>
      <c r="C112" s="82">
        <f t="shared" ref="C112:H112" si="27">+(SUMPRODUCT(C44:C48,L8:L12)+SUMPRODUCT(C53:C55,L17:L19))*C94/1000</f>
        <v>5656.2424923452663</v>
      </c>
      <c r="D112" s="82">
        <f t="shared" si="27"/>
        <v>3.411616716554454</v>
      </c>
      <c r="E112" s="82">
        <f t="shared" si="27"/>
        <v>241.63785500467259</v>
      </c>
      <c r="F112" s="82">
        <f t="shared" si="27"/>
        <v>72.0324407443632</v>
      </c>
      <c r="G112" s="82">
        <f t="shared" si="27"/>
        <v>76.887761181794929</v>
      </c>
      <c r="H112" s="82">
        <f t="shared" si="27"/>
        <v>3043.7724540273894</v>
      </c>
      <c r="I112" s="82"/>
      <c r="J112" s="82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</row>
    <row r="113" spans="1:28" x14ac:dyDescent="0.2">
      <c r="A113" s="6"/>
      <c r="B113" s="71"/>
      <c r="C113" s="161"/>
      <c r="D113" s="161"/>
      <c r="E113" s="161"/>
      <c r="F113" s="161"/>
      <c r="G113" s="161"/>
      <c r="H113" s="161"/>
      <c r="I113" s="161"/>
      <c r="J113" s="16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</row>
    <row r="114" spans="1:28" x14ac:dyDescent="0.2">
      <c r="A114" s="6"/>
      <c r="B114" s="71" t="s">
        <v>70</v>
      </c>
      <c r="C114" s="19">
        <f>+C106+C110</f>
        <v>20924.857271944031</v>
      </c>
      <c r="D114" s="19">
        <f t="shared" ref="D114:H114" si="28">+D106+D110</f>
        <v>9.5517320107153623</v>
      </c>
      <c r="E114" s="19">
        <f t="shared" si="28"/>
        <v>735.75922394548968</v>
      </c>
      <c r="F114" s="19">
        <f t="shared" si="28"/>
        <v>141.66296497312152</v>
      </c>
      <c r="G114" s="19">
        <f t="shared" si="28"/>
        <v>151.90738172391914</v>
      </c>
      <c r="H114" s="19">
        <f t="shared" si="28"/>
        <v>10873.687615983252</v>
      </c>
      <c r="I114" s="19"/>
      <c r="J114" s="1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</row>
    <row r="115" spans="1:28" x14ac:dyDescent="0.2">
      <c r="A115" s="6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</row>
    <row r="116" spans="1:28" x14ac:dyDescent="0.2">
      <c r="A116" s="6"/>
      <c r="B116" s="71" t="s">
        <v>71</v>
      </c>
      <c r="C116" s="82">
        <f>SUM(C114:H114)</f>
        <v>32837.426190580525</v>
      </c>
      <c r="D116" s="163"/>
      <c r="E116" s="10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</row>
    <row r="117" spans="1:28" x14ac:dyDescent="0.2">
      <c r="A117" s="6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</row>
    <row r="118" spans="1:28" x14ac:dyDescent="0.2">
      <c r="A118" s="6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</row>
    <row r="119" spans="1:28" x14ac:dyDescent="0.2">
      <c r="A119" s="156" t="s">
        <v>75</v>
      </c>
      <c r="B119" s="18" t="s">
        <v>76</v>
      </c>
      <c r="C119" s="16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</row>
    <row r="120" spans="1:28" x14ac:dyDescent="0.2">
      <c r="A120" s="6"/>
      <c r="B120" s="2" t="s">
        <v>77</v>
      </c>
      <c r="C120" s="16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</row>
    <row r="121" spans="1:28" x14ac:dyDescent="0.2">
      <c r="A121" s="6"/>
      <c r="B121" s="7"/>
      <c r="C121" s="16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</row>
    <row r="122" spans="1:28" x14ac:dyDescent="0.2">
      <c r="A122" s="6"/>
      <c r="B122" s="13"/>
      <c r="C122" s="22" t="str">
        <f t="shared" ref="C122:H122" si="29">+C6</f>
        <v>SC1/SC5</v>
      </c>
      <c r="D122" s="22" t="str">
        <f t="shared" si="29"/>
        <v>SC3</v>
      </c>
      <c r="E122" s="22" t="str">
        <f t="shared" si="29"/>
        <v>SC2 ND</v>
      </c>
      <c r="F122" s="22" t="str">
        <f t="shared" si="29"/>
        <v>SC4</v>
      </c>
      <c r="G122" s="22" t="str">
        <f t="shared" si="29"/>
        <v>SC6</v>
      </c>
      <c r="H122" s="22" t="str">
        <f t="shared" si="29"/>
        <v>SC2 Dem</v>
      </c>
      <c r="I122" s="26"/>
      <c r="J122" s="26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</row>
    <row r="123" spans="1:28" x14ac:dyDescent="0.2">
      <c r="A123" s="6"/>
      <c r="B123" s="71"/>
      <c r="C123" s="96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</row>
    <row r="124" spans="1:28" x14ac:dyDescent="0.2">
      <c r="A124" s="6"/>
      <c r="B124" s="98" t="s">
        <v>63</v>
      </c>
      <c r="C124" s="81">
        <f t="shared" ref="C124" si="30">+C106/SUM(C49:C52)*1000</f>
        <v>28.275805896029475</v>
      </c>
      <c r="D124" s="81">
        <f>+D106/SUM(D49:D52)*1000</f>
        <v>27.956903951809089</v>
      </c>
      <c r="E124" s="81">
        <f>+E106/SUM(E49:E52)*1000</f>
        <v>27.947448167718214</v>
      </c>
      <c r="F124" s="81">
        <f>+F106/SUM(F49:F52)*1000</f>
        <v>23.899679984170056</v>
      </c>
      <c r="G124" s="81">
        <f>+G106/SUM(G49:G52)*1000</f>
        <v>23.853473091820035</v>
      </c>
      <c r="H124" s="81">
        <f>+H106/SUM(H49:H52)*1000</f>
        <v>28.124473448837332</v>
      </c>
      <c r="I124" s="81"/>
      <c r="J124" s="8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</row>
    <row r="125" spans="1:28" x14ac:dyDescent="0.2">
      <c r="A125" s="6"/>
      <c r="B125" s="99" t="s">
        <v>78</v>
      </c>
      <c r="C125" s="82"/>
      <c r="D125" s="81">
        <f>D89+S94</f>
        <v>35.97624826706766</v>
      </c>
      <c r="E125" s="82"/>
      <c r="F125" s="82"/>
      <c r="G125" s="82"/>
      <c r="H125" s="82"/>
      <c r="I125" s="81"/>
      <c r="J125" s="8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</row>
    <row r="126" spans="1:28" x14ac:dyDescent="0.2">
      <c r="A126" s="6"/>
      <c r="B126" s="99" t="s">
        <v>79</v>
      </c>
      <c r="C126" s="82"/>
      <c r="D126" s="81">
        <f>D90+S94</f>
        <v>22.988618779652107</v>
      </c>
      <c r="E126" s="82"/>
      <c r="F126" s="82"/>
      <c r="G126" s="82"/>
      <c r="H126" s="82"/>
      <c r="I126" s="81"/>
      <c r="J126" s="8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</row>
    <row r="127" spans="1:28" x14ac:dyDescent="0.2">
      <c r="A127" s="6"/>
      <c r="B127" s="71"/>
      <c r="C127" s="19"/>
      <c r="D127" s="19"/>
      <c r="E127" s="19"/>
      <c r="F127" s="19"/>
      <c r="G127" s="19"/>
      <c r="H127" s="19"/>
      <c r="I127" s="19"/>
      <c r="J127" s="1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</row>
    <row r="128" spans="1:28" x14ac:dyDescent="0.2">
      <c r="A128" s="6"/>
      <c r="B128" s="98" t="s">
        <v>69</v>
      </c>
      <c r="C128" s="161">
        <f t="shared" ref="C128" si="31">+C110/SUM(C44:C48,C53:C55)*1000</f>
        <v>34.146803146656652</v>
      </c>
      <c r="D128" s="161">
        <f>+D110/SUM(D44:D48,D53:D55)*1000</f>
        <v>35.383357776533572</v>
      </c>
      <c r="E128" s="161">
        <f>+E110/SUM(E44:E48,E53:E55)*1000</f>
        <v>34.704918991514624</v>
      </c>
      <c r="F128" s="161">
        <f>+F110/SUM(F44:F48,F53:F55)*1000</f>
        <v>32.119095252105787</v>
      </c>
      <c r="G128" s="161">
        <f>+G110/SUM(G44:G48,G53:G55)*1000</f>
        <v>31.74639357894668</v>
      </c>
      <c r="H128" s="161">
        <f>+H110/SUM(H44:H48,H53:H55)*1000</f>
        <v>34.067819073337375</v>
      </c>
      <c r="I128" s="161"/>
      <c r="J128" s="16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</row>
    <row r="129" spans="1:28" x14ac:dyDescent="0.2">
      <c r="A129" s="6"/>
      <c r="B129" s="99" t="s">
        <v>78</v>
      </c>
      <c r="C129" s="82"/>
      <c r="D129" s="81">
        <f>D93+S89</f>
        <v>40.440021953010614</v>
      </c>
      <c r="E129" s="82"/>
      <c r="F129" s="82"/>
      <c r="G129" s="82"/>
      <c r="H129" s="82"/>
      <c r="I129" s="81"/>
      <c r="J129" s="8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</row>
    <row r="130" spans="1:28" x14ac:dyDescent="0.2">
      <c r="A130" s="6"/>
      <c r="B130" s="99" t="s">
        <v>79</v>
      </c>
      <c r="C130" s="82"/>
      <c r="D130" s="81">
        <f>D94+S89</f>
        <v>32.528473840376122</v>
      </c>
      <c r="E130" s="82"/>
      <c r="F130" s="82"/>
      <c r="G130" s="82"/>
      <c r="H130" s="82"/>
      <c r="I130" s="81"/>
      <c r="J130" s="8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</row>
    <row r="131" spans="1:28" x14ac:dyDescent="0.2">
      <c r="A131" s="6"/>
      <c r="B131" s="71"/>
      <c r="C131" s="161"/>
      <c r="D131" s="161"/>
      <c r="E131" s="161"/>
      <c r="F131" s="161"/>
      <c r="G131" s="161"/>
      <c r="H131" s="161"/>
      <c r="I131" s="161"/>
      <c r="J131" s="16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</row>
    <row r="132" spans="1:28" x14ac:dyDescent="0.2">
      <c r="A132" s="6"/>
      <c r="B132" s="71" t="s">
        <v>80</v>
      </c>
      <c r="C132" s="10">
        <f t="shared" ref="C132" si="32">(C124*SUM(C49:C52)+C128*SUM(C44:C48,C53:C55))/C56</f>
        <v>31.617118647645444</v>
      </c>
      <c r="D132" s="10">
        <f>(D124*SUM(D49:D52)+D128*SUM(D44:D48,D53:D55))/D56</f>
        <v>33.165736148317229</v>
      </c>
      <c r="E132" s="10">
        <f>(E124*SUM(E49:E52)+E128*SUM(E44:E48,E53:E55))/E56</f>
        <v>32.607659277853649</v>
      </c>
      <c r="F132" s="10">
        <f>(F124*SUM(F49:F52)+F128*SUM(F44:F48,F53:F55))/F56</f>
        <v>29.792421655756367</v>
      </c>
      <c r="G132" s="10">
        <f>(G124*SUM(G49:G52)+G128*SUM(G44:G48,G53:G55))/G56</f>
        <v>29.487990240496774</v>
      </c>
      <c r="H132" s="10">
        <f>(H124*SUM(H49:H52)+H128*SUM(H44:H48,H53:H55))/H56</f>
        <v>31.945594965410717</v>
      </c>
      <c r="I132" s="10"/>
      <c r="J132" s="10"/>
      <c r="K132" s="71"/>
      <c r="L132" s="71">
        <v>42644</v>
      </c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</row>
    <row r="133" spans="1:28" x14ac:dyDescent="0.2">
      <c r="A133" s="6"/>
      <c r="B133" s="71" t="s">
        <v>81</v>
      </c>
      <c r="C133" s="81">
        <f>+C116/SUM(C56:H56)*1000</f>
        <v>31.728194548750601</v>
      </c>
      <c r="D133" s="71"/>
      <c r="E133" s="71"/>
      <c r="F133" s="71"/>
      <c r="G133" s="71"/>
      <c r="H133" s="71"/>
      <c r="I133" s="71"/>
      <c r="J133" s="71"/>
      <c r="K133" s="71"/>
      <c r="L133" s="71">
        <f>L136-L132</f>
        <v>1704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</row>
    <row r="134" spans="1:28" x14ac:dyDescent="0.2">
      <c r="A134" s="6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</row>
    <row r="135" spans="1:28" x14ac:dyDescent="0.2">
      <c r="A135" s="156" t="s">
        <v>82</v>
      </c>
      <c r="B135" s="18" t="s">
        <v>83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</row>
    <row r="136" spans="1:28" x14ac:dyDescent="0.2">
      <c r="A136" s="6"/>
      <c r="B136" s="2" t="str">
        <f>"Obligations - annual average forecasted for " &amp;M1-1 &amp;"; costs are market estimates"</f>
        <v>Obligations - annual average forecasted for 2019; costs are market estimates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164">
        <f>(DATE($M$1+1,6,1))</f>
        <v>44348</v>
      </c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</row>
    <row r="137" spans="1:28" x14ac:dyDescent="0.2">
      <c r="A137" s="6"/>
      <c r="B137" s="7" t="s">
        <v>84</v>
      </c>
      <c r="C137" s="22" t="str">
        <f t="shared" ref="C137:H137" si="33">+C6</f>
        <v>SC1/SC5</v>
      </c>
      <c r="D137" s="22" t="str">
        <f t="shared" si="33"/>
        <v>SC3</v>
      </c>
      <c r="E137" s="22" t="str">
        <f t="shared" si="33"/>
        <v>SC2 ND</v>
      </c>
      <c r="F137" s="22" t="str">
        <f t="shared" si="33"/>
        <v>SC4</v>
      </c>
      <c r="G137" s="22" t="str">
        <f t="shared" si="33"/>
        <v>SC6</v>
      </c>
      <c r="H137" s="22" t="str">
        <f t="shared" si="33"/>
        <v>SC2 Dem</v>
      </c>
      <c r="I137" s="22" t="s">
        <v>85</v>
      </c>
      <c r="J137" s="26"/>
      <c r="K137" s="71"/>
      <c r="L137" s="164">
        <f>(DATE($M$1,10,1))</f>
        <v>44105</v>
      </c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</row>
    <row r="138" spans="1:28" x14ac:dyDescent="0.2">
      <c r="A138" s="6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>
        <f>L136-L137</f>
        <v>243</v>
      </c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</row>
    <row r="139" spans="1:28" x14ac:dyDescent="0.2">
      <c r="A139" s="6"/>
      <c r="B139" s="71" t="s">
        <v>86</v>
      </c>
      <c r="C139" s="83">
        <v>301.78100000000001</v>
      </c>
      <c r="D139" s="83">
        <v>8.5999999999999993E-2</v>
      </c>
      <c r="E139" s="83">
        <v>4.2359999999999998</v>
      </c>
      <c r="F139" s="84">
        <v>0</v>
      </c>
      <c r="G139" s="84">
        <v>0</v>
      </c>
      <c r="H139" s="83">
        <v>83.03</v>
      </c>
      <c r="I139" s="83">
        <f>SUM(C139:H139)</f>
        <v>389.13300000000004</v>
      </c>
      <c r="J139" s="84" t="b">
        <v>0</v>
      </c>
      <c r="K139" s="83"/>
      <c r="L139" s="83"/>
      <c r="M139" s="83"/>
      <c r="N139" s="83"/>
      <c r="O139" s="83"/>
      <c r="P139" s="83"/>
      <c r="Q139" s="83"/>
      <c r="R139" s="79"/>
      <c r="S139" s="79"/>
      <c r="T139" s="79"/>
      <c r="U139" s="79"/>
      <c r="V139" s="71"/>
      <c r="W139" s="71"/>
      <c r="X139" s="71"/>
      <c r="Y139" s="71"/>
      <c r="Z139" s="71"/>
      <c r="AA139" s="71"/>
      <c r="AB139" s="71"/>
    </row>
    <row r="140" spans="1:28" x14ac:dyDescent="0.2">
      <c r="A140" s="6"/>
      <c r="B140" s="71"/>
      <c r="C140" s="83"/>
      <c r="D140" s="83"/>
      <c r="E140" s="83"/>
      <c r="F140" s="83"/>
      <c r="G140" s="83"/>
      <c r="H140" s="83"/>
      <c r="I140" s="83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</row>
    <row r="141" spans="1:28" x14ac:dyDescent="0.2">
      <c r="A141" s="6"/>
      <c r="B141" s="71" t="s">
        <v>87</v>
      </c>
      <c r="C141" s="83">
        <v>269.74800000000005</v>
      </c>
      <c r="D141" s="83">
        <v>0.08</v>
      </c>
      <c r="E141" s="83">
        <v>4.8550000000000004</v>
      </c>
      <c r="F141" s="84">
        <v>0</v>
      </c>
      <c r="G141" s="84">
        <v>0</v>
      </c>
      <c r="H141" s="83">
        <v>92.635999999999996</v>
      </c>
      <c r="I141" s="83">
        <f>SUM(C141:H141)</f>
        <v>367.31900000000007</v>
      </c>
      <c r="J141" s="84" t="b">
        <v>0</v>
      </c>
      <c r="K141" s="83"/>
      <c r="L141" s="83"/>
      <c r="M141" s="71"/>
      <c r="N141" s="71"/>
      <c r="O141" s="71"/>
      <c r="P141" s="83"/>
      <c r="Q141" s="83"/>
      <c r="R141" s="79"/>
      <c r="S141" s="79"/>
      <c r="T141" s="79"/>
      <c r="U141" s="79"/>
      <c r="V141" s="71"/>
      <c r="W141" s="71"/>
      <c r="X141" s="71"/>
      <c r="Y141" s="71"/>
      <c r="Z141" s="71"/>
      <c r="AA141" s="71"/>
      <c r="AB141" s="71"/>
    </row>
    <row r="142" spans="1:28" x14ac:dyDescent="0.2">
      <c r="A142" s="6"/>
      <c r="B142" s="71"/>
      <c r="C142" s="84"/>
      <c r="D142" s="84"/>
      <c r="E142" s="84"/>
      <c r="F142" s="84"/>
      <c r="G142" s="84"/>
      <c r="H142" s="84"/>
      <c r="I142" s="84"/>
      <c r="J142" s="84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</row>
    <row r="143" spans="1:28" x14ac:dyDescent="0.2">
      <c r="A143" s="6"/>
      <c r="B143" s="71" t="s">
        <v>88</v>
      </c>
      <c r="C143" s="71"/>
      <c r="D143" s="71"/>
      <c r="E143" s="71"/>
      <c r="F143" s="84"/>
      <c r="G143" s="84"/>
      <c r="H143" s="84"/>
      <c r="I143" s="84"/>
      <c r="J143" s="84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</row>
    <row r="144" spans="1:28" x14ac:dyDescent="0.2">
      <c r="A144" s="6"/>
      <c r="B144" s="71"/>
      <c r="C144" s="71"/>
      <c r="D144" s="76" t="s">
        <v>89</v>
      </c>
      <c r="E144" s="85">
        <f>(DATE($M$1,10,1))-(DATE($M$1,6,1))</f>
        <v>122</v>
      </c>
      <c r="F144" s="71"/>
      <c r="G144" s="76" t="s">
        <v>90</v>
      </c>
      <c r="H144" s="71">
        <v>4</v>
      </c>
      <c r="I144" s="84"/>
      <c r="J144" s="84"/>
      <c r="K144" s="165"/>
      <c r="L144" s="166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</row>
    <row r="145" spans="1:28" x14ac:dyDescent="0.2">
      <c r="A145" s="6"/>
      <c r="B145" s="71"/>
      <c r="C145" s="71"/>
      <c r="D145" s="78" t="s">
        <v>91</v>
      </c>
      <c r="E145" s="85">
        <f>(DATE($M$1+1,6,1))-(DATE($M$1,10,1))</f>
        <v>243</v>
      </c>
      <c r="F145" s="71"/>
      <c r="G145" s="78" t="s">
        <v>92</v>
      </c>
      <c r="H145" s="71">
        <v>8</v>
      </c>
      <c r="I145" s="84"/>
      <c r="J145" s="84"/>
      <c r="K145" s="165"/>
      <c r="L145" s="166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</row>
    <row r="146" spans="1:28" x14ac:dyDescent="0.2">
      <c r="A146" s="6"/>
      <c r="B146" s="71"/>
      <c r="C146" s="71"/>
      <c r="D146" s="71"/>
      <c r="E146" s="71"/>
      <c r="F146" s="71"/>
      <c r="G146" s="76" t="s">
        <v>93</v>
      </c>
      <c r="H146" s="71">
        <f>+H144+H145</f>
        <v>12</v>
      </c>
      <c r="I146" s="84"/>
      <c r="J146" s="84"/>
      <c r="K146" s="84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</row>
    <row r="147" spans="1:28" x14ac:dyDescent="0.2">
      <c r="A147" s="6"/>
      <c r="B147" s="71" t="s">
        <v>94</v>
      </c>
      <c r="C147" s="19">
        <v>42548</v>
      </c>
      <c r="D147" s="95" t="s">
        <v>95</v>
      </c>
      <c r="E147" s="167">
        <f>C147/365</f>
        <v>116.56986301369864</v>
      </c>
      <c r="F147" s="167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</row>
    <row r="148" spans="1:28" x14ac:dyDescent="0.2">
      <c r="A148" s="6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</row>
    <row r="149" spans="1:28" x14ac:dyDescent="0.2">
      <c r="A149" s="6"/>
      <c r="B149" s="71" t="s">
        <v>96</v>
      </c>
      <c r="C149" s="71" t="s">
        <v>97</v>
      </c>
      <c r="D149" s="86">
        <f>F449</f>
        <v>168.05</v>
      </c>
      <c r="E149" s="95" t="s">
        <v>98</v>
      </c>
      <c r="F149" s="71"/>
      <c r="G149" s="78" t="s">
        <v>99</v>
      </c>
      <c r="H149" s="76" t="s">
        <v>100</v>
      </c>
      <c r="I149" s="161">
        <f>+D149*365/1000</f>
        <v>61.338250000000009</v>
      </c>
      <c r="J149" s="71" t="s">
        <v>101</v>
      </c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</row>
    <row r="150" spans="1:28" x14ac:dyDescent="0.2">
      <c r="A150" s="6"/>
      <c r="B150" s="87" t="s">
        <v>102</v>
      </c>
      <c r="C150" s="71" t="s">
        <v>103</v>
      </c>
      <c r="D150" s="86">
        <f>F451</f>
        <v>152.22999999999999</v>
      </c>
      <c r="E150" s="95" t="s">
        <v>98</v>
      </c>
      <c r="F150" s="71"/>
      <c r="G150" s="71"/>
      <c r="H150" s="76" t="s">
        <v>104</v>
      </c>
      <c r="I150" s="161">
        <f>+D150*365/1000</f>
        <v>55.563949999999998</v>
      </c>
      <c r="J150" s="71" t="s">
        <v>101</v>
      </c>
      <c r="K150" s="71"/>
      <c r="L150" s="164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</row>
    <row r="151" spans="1:28" s="3" customFormat="1" x14ac:dyDescent="0.2">
      <c r="A151" s="6"/>
      <c r="B151" s="71"/>
      <c r="C151" s="71"/>
      <c r="D151" s="86"/>
      <c r="E151" s="95"/>
      <c r="F151" s="71"/>
      <c r="G151" s="71"/>
      <c r="H151" s="76"/>
      <c r="I151" s="161"/>
      <c r="J151" s="71"/>
      <c r="K151" s="71"/>
      <c r="L151" s="164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</row>
    <row r="152" spans="1:28" s="3" customFormat="1" x14ac:dyDescent="0.2">
      <c r="A152" s="6"/>
      <c r="B152" s="87" t="s">
        <v>105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166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</row>
    <row r="153" spans="1:28" s="3" customFormat="1" x14ac:dyDescent="0.2">
      <c r="A153" s="6"/>
      <c r="B153" s="2" t="s">
        <v>106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</row>
    <row r="154" spans="1:28" s="3" customFormat="1" x14ac:dyDescent="0.2">
      <c r="A154" s="6"/>
      <c r="B154" s="7"/>
      <c r="C154" s="8" t="str">
        <f>" ---------- "&amp;C6&amp;" ----------"</f>
        <v xml:space="preserve"> ---------- SC1/SC5 ----------</v>
      </c>
      <c r="D154" s="88"/>
      <c r="E154" s="89"/>
      <c r="F154" s="90"/>
      <c r="G154" s="71"/>
      <c r="H154" s="8"/>
      <c r="I154" s="88"/>
      <c r="J154" s="88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</row>
    <row r="155" spans="1:28" s="3" customFormat="1" x14ac:dyDescent="0.2">
      <c r="A155" s="6"/>
      <c r="B155" s="71"/>
      <c r="C155" s="76" t="s">
        <v>107</v>
      </c>
      <c r="D155" s="76"/>
      <c r="E155" s="91" t="s">
        <v>108</v>
      </c>
      <c r="F155" s="90"/>
      <c r="G155" s="71"/>
      <c r="H155" s="8"/>
      <c r="I155" s="88"/>
      <c r="J155" s="88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</row>
    <row r="156" spans="1:28" s="3" customFormat="1" x14ac:dyDescent="0.2">
      <c r="A156" s="6"/>
      <c r="B156" s="78" t="s">
        <v>109</v>
      </c>
      <c r="C156" s="92">
        <v>6.4740000000000002</v>
      </c>
      <c r="D156" s="71" t="s">
        <v>110</v>
      </c>
      <c r="E156" s="93">
        <v>0.42099999999999999</v>
      </c>
      <c r="F156" s="90"/>
      <c r="G156" s="71"/>
      <c r="H156" s="8"/>
      <c r="I156" s="88"/>
      <c r="J156" s="88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</row>
    <row r="157" spans="1:28" s="3" customFormat="1" x14ac:dyDescent="0.2">
      <c r="A157" s="6"/>
      <c r="B157" s="78" t="s">
        <v>111</v>
      </c>
      <c r="C157" s="92">
        <v>9.8350000000000009</v>
      </c>
      <c r="D157" s="71" t="s">
        <v>110</v>
      </c>
      <c r="E157" s="93">
        <v>0.57899999999999996</v>
      </c>
      <c r="F157" s="90"/>
      <c r="G157" s="71"/>
      <c r="H157" s="8"/>
      <c r="I157" s="88"/>
      <c r="J157" s="88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</row>
    <row r="158" spans="1:28" s="3" customFormat="1" x14ac:dyDescent="0.2">
      <c r="A158" s="6"/>
      <c r="B158" s="76" t="s">
        <v>112</v>
      </c>
      <c r="C158" s="92">
        <f>+C157-C156</f>
        <v>3.3610000000000007</v>
      </c>
      <c r="D158" s="71" t="s">
        <v>110</v>
      </c>
      <c r="E158" s="90"/>
      <c r="F158" s="90"/>
      <c r="G158" s="71"/>
      <c r="H158" s="8"/>
      <c r="I158" s="88"/>
      <c r="J158" s="88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</row>
    <row r="159" spans="1:28" s="3" customFormat="1" x14ac:dyDescent="0.2">
      <c r="A159" s="71"/>
      <c r="B159" s="71"/>
      <c r="C159" s="71"/>
      <c r="D159" s="71"/>
      <c r="E159" s="90"/>
      <c r="F159" s="9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</row>
    <row r="160" spans="1:28" x14ac:dyDescent="0.2">
      <c r="A160" s="156" t="s">
        <v>113</v>
      </c>
      <c r="B160" s="13" t="s">
        <v>114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</row>
    <row r="161" spans="1:28" x14ac:dyDescent="0.2">
      <c r="A161" s="6"/>
      <c r="B161" s="7" t="s">
        <v>115</v>
      </c>
      <c r="C161" s="71"/>
      <c r="D161" s="94">
        <f>H461</f>
        <v>18.239999999999998</v>
      </c>
      <c r="E161" s="87" t="s">
        <v>116</v>
      </c>
      <c r="F161" s="95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</row>
    <row r="162" spans="1:28" x14ac:dyDescent="0.2">
      <c r="A162" s="6"/>
      <c r="B162" s="7"/>
      <c r="C162" s="71"/>
      <c r="D162" s="71"/>
      <c r="E162" s="71"/>
      <c r="F162" s="95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</row>
    <row r="163" spans="1:28" x14ac:dyDescent="0.2">
      <c r="A163" s="156" t="s">
        <v>117</v>
      </c>
      <c r="B163" s="13" t="s">
        <v>118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</row>
    <row r="164" spans="1:28" x14ac:dyDescent="0.2">
      <c r="A164" s="121"/>
      <c r="B164" s="13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</row>
    <row r="165" spans="1:28" x14ac:dyDescent="0.2">
      <c r="A165" s="121"/>
      <c r="B165" s="13"/>
      <c r="C165" s="22" t="str">
        <f t="shared" ref="C165" si="34">+C6</f>
        <v>SC1/SC5</v>
      </c>
      <c r="D165" s="22" t="str">
        <f>+D6</f>
        <v>SC3</v>
      </c>
      <c r="E165" s="22" t="str">
        <f>+E6</f>
        <v>SC2 ND</v>
      </c>
      <c r="F165" s="22" t="str">
        <f>+F6</f>
        <v>SC4</v>
      </c>
      <c r="G165" s="22" t="str">
        <f>+G6</f>
        <v>SC6</v>
      </c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</row>
    <row r="166" spans="1:28" x14ac:dyDescent="0.2">
      <c r="A166" s="121"/>
      <c r="B166" s="13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</row>
    <row r="167" spans="1:28" x14ac:dyDescent="0.2">
      <c r="A167" s="6"/>
      <c r="B167" s="76" t="s">
        <v>119</v>
      </c>
      <c r="C167" s="10">
        <f t="shared" ref="C167" si="35">(+$C$147*C141*$H$146/12)/C56</f>
        <v>17.341919605089302</v>
      </c>
      <c r="D167" s="10">
        <f>(+$C$147*D141*$H$146/12)/D56</f>
        <v>11.818888888888889</v>
      </c>
      <c r="E167" s="10">
        <f>(+$C$147*E141*$H$146/12)/E56</f>
        <v>9.1548723630561959</v>
      </c>
      <c r="F167" s="10">
        <f>(+$C$147*F141*$H$146/12)/F56</f>
        <v>0</v>
      </c>
      <c r="G167" s="10">
        <f>(+$C$147*G141*$H$146/12)/G56</f>
        <v>0</v>
      </c>
      <c r="H167" s="10"/>
      <c r="I167" s="10"/>
      <c r="J167" s="10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</row>
    <row r="168" spans="1:28" x14ac:dyDescent="0.2">
      <c r="A168" s="6"/>
      <c r="B168" s="76"/>
      <c r="C168" s="10"/>
      <c r="D168" s="10"/>
      <c r="E168" s="10"/>
      <c r="F168" s="10"/>
      <c r="G168" s="10"/>
      <c r="H168" s="10"/>
      <c r="I168" s="10"/>
      <c r="J168" s="10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</row>
    <row r="169" spans="1:28" x14ac:dyDescent="0.2">
      <c r="A169" s="6"/>
      <c r="B169" s="76" t="s">
        <v>120</v>
      </c>
      <c r="C169" s="10"/>
      <c r="D169" s="10"/>
      <c r="E169" s="10"/>
      <c r="F169" s="10"/>
      <c r="G169" s="10"/>
      <c r="H169" s="10"/>
      <c r="I169" s="10"/>
      <c r="J169" s="10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</row>
    <row r="170" spans="1:28" x14ac:dyDescent="0.2">
      <c r="A170" s="6"/>
      <c r="B170" s="76" t="s">
        <v>121</v>
      </c>
      <c r="C170" s="10">
        <f t="shared" ref="C170" si="36">((+$D$149*$E$144*C139)+($D$150*$E$145*C139))/C56</f>
        <v>26.216464730527388</v>
      </c>
      <c r="D170" s="10">
        <f>((+$D$149*$E$144*D139)+($D$150*$E$145*D139))/D56</f>
        <v>17.16834423611111</v>
      </c>
      <c r="E170" s="10">
        <f>((+$D$149*$E$144*E139)+($D$150*$E$145*E139))/E56</f>
        <v>10.793500338592448</v>
      </c>
      <c r="F170" s="10">
        <f>((+$D$149*$E$144*F139)+($D$150*$E$145*F139))/F56</f>
        <v>0</v>
      </c>
      <c r="G170" s="10">
        <f>((+$D$149*$E$144*G139)+($D$150*$E$145*G139))/G56</f>
        <v>0</v>
      </c>
      <c r="H170" s="10"/>
      <c r="I170" s="10"/>
      <c r="J170" s="10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</row>
    <row r="171" spans="1:28" x14ac:dyDescent="0.2">
      <c r="A171" s="6"/>
      <c r="B171" s="76" t="s">
        <v>122</v>
      </c>
      <c r="C171" s="10">
        <f t="shared" ref="C171" si="37">C$139*$D149*$E144/SUM(C$49:C$52)</f>
        <v>21.696792863404919</v>
      </c>
      <c r="D171" s="10">
        <f>D$139*$D149*$E144/SUM(D$49:D$52)</f>
        <v>20.502099999999999</v>
      </c>
      <c r="E171" s="10">
        <f>E$139*$D149*$E144/SUM(E$49:E$52)</f>
        <v>12.401384492360418</v>
      </c>
      <c r="F171" s="10">
        <f>F$139*$D149*$E144/SUM(F$49:F$52)</f>
        <v>0</v>
      </c>
      <c r="G171" s="10">
        <f>G$139*$D149*$E144/SUM(G$49:G$52)</f>
        <v>0</v>
      </c>
      <c r="H171" s="10"/>
      <c r="I171" s="10"/>
      <c r="J171" s="10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</row>
    <row r="172" spans="1:28" x14ac:dyDescent="0.2">
      <c r="A172" s="6"/>
      <c r="B172" s="76" t="s">
        <v>123</v>
      </c>
      <c r="C172" s="10">
        <f t="shared" ref="C172" si="38">C$139*$D150*$E145/(SUM(C$44:C$48)+SUM(C$53:C$55))</f>
        <v>29.638276668768491</v>
      </c>
      <c r="D172" s="10">
        <f>D$139*$D150*$E145/(SUM(D$44:D$48)+SUM(D$53:D$55))</f>
        <v>15.749022475247523</v>
      </c>
      <c r="E172" s="10">
        <f>E$139*$D150*$E145/(SUM(E$44:E$48)+SUM(E$53:E$55))</f>
        <v>10.069895639097743</v>
      </c>
      <c r="F172" s="10">
        <f>F$139*$D150*$E145/(SUM(F$44:F$48)+SUM(F$53:F$55))</f>
        <v>0</v>
      </c>
      <c r="G172" s="10">
        <f>G$139*$D150*$E145/(SUM(G$44:G$48)+SUM(G$53:G$55))</f>
        <v>0</v>
      </c>
      <c r="H172" s="10"/>
      <c r="I172" s="10"/>
      <c r="J172" s="10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</row>
    <row r="173" spans="1:28" x14ac:dyDescent="0.2">
      <c r="A173" s="6"/>
      <c r="B173" s="71"/>
      <c r="C173" s="96"/>
      <c r="D173" s="96"/>
      <c r="E173" s="96"/>
      <c r="F173" s="96"/>
      <c r="G173" s="96"/>
      <c r="H173" s="96"/>
      <c r="I173" s="10"/>
      <c r="J173" s="10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</row>
    <row r="174" spans="1:28" x14ac:dyDescent="0.2">
      <c r="A174" s="6"/>
      <c r="B174" s="71"/>
      <c r="C174" s="97"/>
      <c r="D174" s="97"/>
      <c r="E174" s="97"/>
      <c r="F174" s="97"/>
      <c r="G174" s="97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</row>
    <row r="175" spans="1:28" x14ac:dyDescent="0.2">
      <c r="A175" s="156" t="s">
        <v>124</v>
      </c>
      <c r="B175" s="13" t="s">
        <v>125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</row>
    <row r="176" spans="1:28" x14ac:dyDescent="0.2">
      <c r="A176" s="6"/>
      <c r="B176" s="13"/>
      <c r="C176" s="96"/>
      <c r="D176" s="96"/>
      <c r="E176" s="96"/>
      <c r="F176" s="96"/>
      <c r="G176" s="96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</row>
    <row r="177" spans="1:28" x14ac:dyDescent="0.2">
      <c r="A177" s="6"/>
      <c r="B177" s="18" t="s">
        <v>126</v>
      </c>
      <c r="C177" s="97"/>
      <c r="D177" s="97"/>
      <c r="E177" s="97"/>
      <c r="F177" s="97"/>
      <c r="G177" s="97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</row>
    <row r="178" spans="1:28" x14ac:dyDescent="0.2">
      <c r="A178" s="6"/>
      <c r="B178" s="7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</row>
    <row r="179" spans="1:28" x14ac:dyDescent="0.2">
      <c r="A179" s="6"/>
      <c r="B179" s="71"/>
      <c r="C179" s="22" t="str">
        <f t="shared" ref="C179" si="39">+C6</f>
        <v>SC1/SC5</v>
      </c>
      <c r="D179" s="22" t="str">
        <f>+D6</f>
        <v>SC3</v>
      </c>
      <c r="E179" s="22" t="str">
        <f>+E6</f>
        <v>SC2 ND</v>
      </c>
      <c r="F179" s="22" t="str">
        <f>+F6</f>
        <v>SC4</v>
      </c>
      <c r="G179" s="22" t="str">
        <f>+G6</f>
        <v>SC6</v>
      </c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</row>
    <row r="180" spans="1:28" x14ac:dyDescent="0.2">
      <c r="A180" s="6"/>
      <c r="B180" s="71"/>
      <c r="C180" s="26"/>
      <c r="D180" s="10"/>
      <c r="E180" s="26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</row>
    <row r="181" spans="1:28" x14ac:dyDescent="0.2">
      <c r="A181" s="6"/>
      <c r="B181" s="98" t="s">
        <v>63</v>
      </c>
      <c r="C181" s="12">
        <f t="shared" ref="C181" si="40">+C124+$D$161+C$167+C171</f>
        <v>85.554518364523702</v>
      </c>
      <c r="D181" s="10">
        <f>+D124+$D$161+D$167+D171</f>
        <v>78.517892840697982</v>
      </c>
      <c r="E181" s="10">
        <f>+E124+$D$161+E$167+E171</f>
        <v>67.743705023134837</v>
      </c>
      <c r="F181" s="10">
        <f>+F124+$D$161+F$167+F171</f>
        <v>42.139679984170058</v>
      </c>
      <c r="G181" s="10">
        <f>+G124+$D$161+G$167+G171</f>
        <v>42.09347309182003</v>
      </c>
      <c r="H181" s="10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</row>
    <row r="182" spans="1:28" x14ac:dyDescent="0.2">
      <c r="A182" s="6"/>
      <c r="B182" s="99" t="s">
        <v>78</v>
      </c>
      <c r="C182" s="10"/>
      <c r="D182" s="12">
        <f>+D125+$D$161+D$167+(D171*M48/M49)</f>
        <v>119.66820987042823</v>
      </c>
      <c r="E182" s="10"/>
      <c r="F182" s="10"/>
      <c r="G182" s="10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</row>
    <row r="183" spans="1:28" x14ac:dyDescent="0.2">
      <c r="A183" s="6"/>
      <c r="B183" s="99" t="s">
        <v>79</v>
      </c>
      <c r="C183" s="10"/>
      <c r="D183" s="12">
        <f>+D126+$D$161+D$167</f>
        <v>53.047507668541002</v>
      </c>
      <c r="E183" s="10"/>
      <c r="F183" s="10"/>
      <c r="G183" s="10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</row>
    <row r="184" spans="1:28" x14ac:dyDescent="0.2">
      <c r="A184" s="6"/>
      <c r="B184" s="76" t="s">
        <v>127</v>
      </c>
      <c r="C184" s="10">
        <f>(C181*SUM(C49:C52)-C158*10*E157*SUM(C49:C52))/SUM(C49:C52)</f>
        <v>66.094328364523705</v>
      </c>
      <c r="D184" s="10"/>
      <c r="E184" s="10"/>
      <c r="F184" s="10"/>
      <c r="G184" s="10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</row>
    <row r="185" spans="1:28" x14ac:dyDescent="0.2">
      <c r="A185" s="6"/>
      <c r="B185" s="76" t="s">
        <v>128</v>
      </c>
      <c r="C185" s="10">
        <f>C184+C158*10</f>
        <v>99.704328364523718</v>
      </c>
      <c r="D185" s="10"/>
      <c r="E185" s="10"/>
      <c r="F185" s="10"/>
      <c r="G185" s="10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</row>
    <row r="186" spans="1:28" x14ac:dyDescent="0.2">
      <c r="A186" s="6"/>
      <c r="B186" s="10"/>
      <c r="C186" s="10"/>
      <c r="D186" s="10"/>
      <c r="E186" s="10"/>
      <c r="F186" s="10"/>
      <c r="G186" s="10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</row>
    <row r="187" spans="1:28" x14ac:dyDescent="0.2">
      <c r="A187" s="6"/>
      <c r="B187" s="71"/>
      <c r="C187" s="10"/>
      <c r="D187" s="10"/>
      <c r="E187" s="10"/>
      <c r="F187" s="10"/>
      <c r="G187" s="10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</row>
    <row r="188" spans="1:28" x14ac:dyDescent="0.2">
      <c r="A188" s="6"/>
      <c r="B188" s="98" t="s">
        <v>69</v>
      </c>
      <c r="C188" s="12">
        <f t="shared" ref="C188" si="41">+C128+$D$161+C$167+C172</f>
        <v>99.366999420514446</v>
      </c>
      <c r="D188" s="10">
        <f>+D128+$D$161+D$167+D172</f>
        <v>81.191269140669988</v>
      </c>
      <c r="E188" s="10">
        <f>+E128+$D$161+E$167+E172</f>
        <v>72.169686993668563</v>
      </c>
      <c r="F188" s="10">
        <f>+F128+$D$161+F$167+F172</f>
        <v>50.359095252105789</v>
      </c>
      <c r="G188" s="10">
        <f>+G128+$D$161+G$167+G172</f>
        <v>49.986393578946675</v>
      </c>
      <c r="H188" s="10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</row>
    <row r="189" spans="1:28" x14ac:dyDescent="0.2">
      <c r="A189" s="6"/>
      <c r="B189" s="99" t="s">
        <v>78</v>
      </c>
      <c r="C189" s="10"/>
      <c r="D189" s="12">
        <f>+D129+$D$161+D$167+(D172*M44/M45)</f>
        <v>114.14580857234158</v>
      </c>
      <c r="E189" s="10"/>
      <c r="F189" s="10"/>
      <c r="G189" s="10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</row>
    <row r="190" spans="1:28" x14ac:dyDescent="0.2">
      <c r="A190" s="6"/>
      <c r="B190" s="99" t="s">
        <v>79</v>
      </c>
      <c r="C190" s="10"/>
      <c r="D190" s="12">
        <f>+D130+$D$161+D$167</f>
        <v>62.58736272926501</v>
      </c>
      <c r="E190" s="10"/>
      <c r="F190" s="10"/>
      <c r="G190" s="10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</row>
    <row r="191" spans="1:28" x14ac:dyDescent="0.2">
      <c r="A191" s="6"/>
      <c r="B191" s="71"/>
      <c r="C191" s="10"/>
      <c r="D191" s="10"/>
      <c r="E191" s="10"/>
      <c r="F191" s="10"/>
      <c r="G191" s="10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</row>
    <row r="192" spans="1:28" x14ac:dyDescent="0.2">
      <c r="A192" s="6"/>
      <c r="B192" s="71" t="s">
        <v>129</v>
      </c>
      <c r="C192" s="12">
        <f t="shared" ref="C192" si="42">+C132+$D$161+C$167+C170</f>
        <v>93.41550298326213</v>
      </c>
      <c r="D192" s="10">
        <f>+D132+$D$161+D$167+D170</f>
        <v>80.392969273317235</v>
      </c>
      <c r="E192" s="10">
        <f>+E132+$D$161+E$167+E170</f>
        <v>70.796031979502303</v>
      </c>
      <c r="F192" s="10">
        <f>+F132+$D$161+F$167+F170</f>
        <v>48.032421655756366</v>
      </c>
      <c r="G192" s="10">
        <f>+G132+$D$161+G$167+G170</f>
        <v>47.727990240496773</v>
      </c>
      <c r="H192" s="10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</row>
    <row r="193" spans="1:28" x14ac:dyDescent="0.2">
      <c r="A193" s="6"/>
      <c r="B193" s="71"/>
      <c r="C193" s="10"/>
      <c r="D193" s="10"/>
      <c r="E193" s="10"/>
      <c r="F193" s="10"/>
      <c r="G193" s="10"/>
      <c r="H193" s="10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</row>
    <row r="194" spans="1:28" x14ac:dyDescent="0.2">
      <c r="A194" s="6"/>
      <c r="B194" s="18" t="s">
        <v>130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</row>
    <row r="195" spans="1:28" x14ac:dyDescent="0.2">
      <c r="A195" s="6"/>
      <c r="B195" s="7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</row>
    <row r="196" spans="1:28" x14ac:dyDescent="0.2">
      <c r="A196" s="6"/>
      <c r="B196" s="71"/>
      <c r="C196" s="22" t="str">
        <f>+H6</f>
        <v>SC2 Dem</v>
      </c>
      <c r="D196" s="26"/>
      <c r="E196" s="71"/>
      <c r="F196" s="13" t="s">
        <v>131</v>
      </c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</row>
    <row r="197" spans="1:28" x14ac:dyDescent="0.2">
      <c r="A197" s="6"/>
      <c r="B197" s="71"/>
      <c r="C197" s="26"/>
      <c r="D197" s="71"/>
      <c r="E197" s="13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</row>
    <row r="198" spans="1:28" x14ac:dyDescent="0.2">
      <c r="A198" s="6"/>
      <c r="B198" s="98" t="s">
        <v>63</v>
      </c>
      <c r="C198" s="10">
        <f>+H124+$D$161</f>
        <v>46.36447344883733</v>
      </c>
      <c r="D198" s="71"/>
      <c r="E198" s="71"/>
      <c r="F198" s="25" t="s">
        <v>132</v>
      </c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</row>
    <row r="199" spans="1:28" x14ac:dyDescent="0.2">
      <c r="A199" s="6"/>
      <c r="B199" s="99"/>
      <c r="C199" s="10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</row>
    <row r="200" spans="1:28" x14ac:dyDescent="0.2">
      <c r="A200" s="6"/>
      <c r="B200" s="99"/>
      <c r="C200" s="10"/>
      <c r="D200" s="71"/>
      <c r="E200" s="71"/>
      <c r="F200" s="71"/>
      <c r="G200" s="22"/>
      <c r="H200" s="15" t="s">
        <v>133</v>
      </c>
      <c r="I200" s="15" t="s">
        <v>134</v>
      </c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</row>
    <row r="201" spans="1:28" x14ac:dyDescent="0.2">
      <c r="A201" s="6"/>
      <c r="B201" s="71"/>
      <c r="C201" s="10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</row>
    <row r="202" spans="1:28" x14ac:dyDescent="0.2">
      <c r="A202" s="6"/>
      <c r="B202" s="98" t="s">
        <v>69</v>
      </c>
      <c r="C202" s="10">
        <f>+H128+$D$161</f>
        <v>52.30781907333737</v>
      </c>
      <c r="D202" s="71"/>
      <c r="E202" s="71"/>
      <c r="F202" s="76" t="s">
        <v>97</v>
      </c>
      <c r="G202" s="100"/>
      <c r="H202" s="168">
        <f>H213</f>
        <v>1.3560000000000001</v>
      </c>
      <c r="I202" s="168">
        <f>I213</f>
        <v>4.6970000000000001</v>
      </c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</row>
    <row r="203" spans="1:28" x14ac:dyDescent="0.2">
      <c r="A203" s="6"/>
      <c r="B203" s="99"/>
      <c r="C203" s="10"/>
      <c r="D203" s="71"/>
      <c r="E203" s="71"/>
      <c r="F203" s="76" t="s">
        <v>103</v>
      </c>
      <c r="G203" s="100"/>
      <c r="H203" s="168">
        <f>H214</f>
        <v>1.339</v>
      </c>
      <c r="I203" s="168">
        <f>I214</f>
        <v>4.7329999999999997</v>
      </c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</row>
    <row r="204" spans="1:28" x14ac:dyDescent="0.2">
      <c r="A204" s="6"/>
      <c r="B204" s="99"/>
      <c r="C204" s="10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</row>
    <row r="205" spans="1:28" x14ac:dyDescent="0.2">
      <c r="A205" s="6"/>
      <c r="B205" s="99"/>
      <c r="C205" s="10"/>
      <c r="D205" s="71"/>
      <c r="E205" s="71"/>
      <c r="F205" s="169" t="s">
        <v>135</v>
      </c>
      <c r="G205" s="71"/>
      <c r="H205" s="95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</row>
    <row r="206" spans="1:28" x14ac:dyDescent="0.2">
      <c r="A206" s="6"/>
      <c r="B206" s="71" t="s">
        <v>136</v>
      </c>
      <c r="C206" s="10">
        <f>+H132+$D$161</f>
        <v>50.185594965410715</v>
      </c>
      <c r="D206" s="71"/>
      <c r="E206" s="71"/>
      <c r="F206" s="76" t="s">
        <v>137</v>
      </c>
      <c r="G206" s="170">
        <f>+C147/1000/12</f>
        <v>3.545666666666667</v>
      </c>
      <c r="H206" s="95" t="s">
        <v>138</v>
      </c>
      <c r="I206" s="71"/>
      <c r="J206" s="71"/>
      <c r="K206" s="71"/>
      <c r="L206" s="71"/>
      <c r="M206" s="71"/>
      <c r="N206" s="71"/>
      <c r="O206" s="71"/>
      <c r="P206" s="109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</row>
    <row r="207" spans="1:28" x14ac:dyDescent="0.2">
      <c r="A207" s="156" t="s">
        <v>124</v>
      </c>
      <c r="B207" s="171" t="s">
        <v>139</v>
      </c>
      <c r="C207" s="10"/>
      <c r="D207" s="71"/>
      <c r="E207" s="71"/>
      <c r="F207" s="71"/>
      <c r="G207" s="71"/>
      <c r="H207" s="71"/>
      <c r="I207" s="71"/>
      <c r="J207" s="71"/>
      <c r="K207" s="172" t="s">
        <v>131</v>
      </c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71"/>
      <c r="AB207" s="71"/>
    </row>
    <row r="208" spans="1:28" x14ac:dyDescent="0.2">
      <c r="A208" s="156"/>
      <c r="B208" s="71"/>
      <c r="C208" s="10"/>
      <c r="D208" s="71"/>
      <c r="E208" s="71"/>
      <c r="F208" s="71"/>
      <c r="G208" s="71"/>
      <c r="H208" s="71"/>
      <c r="I208" s="71"/>
      <c r="J208" s="71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71"/>
      <c r="AB208" s="71"/>
    </row>
    <row r="209" spans="1:28" x14ac:dyDescent="0.2">
      <c r="A209" s="6"/>
      <c r="B209" s="174" t="s">
        <v>140</v>
      </c>
      <c r="C209" s="10"/>
      <c r="D209" s="10"/>
      <c r="E209" s="71"/>
      <c r="F209" s="175" t="s">
        <v>132</v>
      </c>
      <c r="G209" s="71"/>
      <c r="H209" s="71"/>
      <c r="I209" s="71"/>
      <c r="J209" s="71"/>
      <c r="K209" s="176" t="s">
        <v>132</v>
      </c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71"/>
      <c r="AB209" s="71"/>
    </row>
    <row r="210" spans="1:28" x14ac:dyDescent="0.2">
      <c r="A210" s="6"/>
      <c r="B210" s="98" t="s">
        <v>63</v>
      </c>
      <c r="C210" s="12">
        <f>(C198*Q48+($H213*($M$223/4*H144))+($I213*($M$223/4*H144))+($G206*$H144*H141*1000))/Q48</f>
        <v>74.178341919662927</v>
      </c>
      <c r="D210" s="12"/>
      <c r="E210" s="71"/>
      <c r="F210" s="147"/>
      <c r="G210" s="71"/>
      <c r="H210" s="71"/>
      <c r="I210" s="71"/>
      <c r="J210" s="71"/>
      <c r="K210" s="173"/>
      <c r="L210" s="173"/>
      <c r="M210" s="173"/>
      <c r="N210" s="173"/>
      <c r="O210" s="173"/>
      <c r="P210" s="173"/>
      <c r="Q210" s="173"/>
      <c r="R210" s="173"/>
      <c r="S210" s="173"/>
      <c r="T210" s="310" t="s">
        <v>141</v>
      </c>
      <c r="U210" s="310"/>
      <c r="V210" s="177"/>
      <c r="W210" s="177"/>
      <c r="X210" s="173"/>
      <c r="Y210" s="173"/>
      <c r="Z210" s="173" t="s">
        <v>142</v>
      </c>
      <c r="AA210" s="71">
        <v>3</v>
      </c>
      <c r="AB210" s="71"/>
    </row>
    <row r="211" spans="1:28" x14ac:dyDescent="0.2">
      <c r="A211" s="6"/>
      <c r="B211" s="99"/>
      <c r="C211" s="10"/>
      <c r="D211" s="10"/>
      <c r="E211" s="71"/>
      <c r="F211" s="71"/>
      <c r="G211" s="71"/>
      <c r="H211" s="71"/>
      <c r="I211" s="71"/>
      <c r="J211" s="71"/>
      <c r="K211" s="173"/>
      <c r="L211" s="178" t="str">
        <f>H6</f>
        <v>SC2 Dem</v>
      </c>
      <c r="M211" s="179" t="s">
        <v>143</v>
      </c>
      <c r="N211" s="179" t="s">
        <v>134</v>
      </c>
      <c r="O211" s="173"/>
      <c r="P211" s="173" t="s">
        <v>144</v>
      </c>
      <c r="Q211" s="180" t="s">
        <v>143</v>
      </c>
      <c r="R211" s="180" t="s">
        <v>134</v>
      </c>
      <c r="S211" s="180" t="s">
        <v>145</v>
      </c>
      <c r="T211" s="173" t="s">
        <v>146</v>
      </c>
      <c r="U211" s="173" t="s">
        <v>147</v>
      </c>
      <c r="V211" s="173" t="s">
        <v>148</v>
      </c>
      <c r="W211" s="173" t="s">
        <v>149</v>
      </c>
      <c r="X211" s="181">
        <v>0.33</v>
      </c>
      <c r="Y211" s="173"/>
      <c r="Z211" s="173"/>
      <c r="AA211" s="71"/>
      <c r="AB211" s="71"/>
    </row>
    <row r="212" spans="1:28" x14ac:dyDescent="0.2">
      <c r="A212" s="6"/>
      <c r="B212" s="99"/>
      <c r="C212" s="10"/>
      <c r="D212" s="10"/>
      <c r="E212" s="71"/>
      <c r="F212" s="147"/>
      <c r="G212" s="22"/>
      <c r="H212" s="15" t="s">
        <v>133</v>
      </c>
      <c r="I212" s="15" t="s">
        <v>134</v>
      </c>
      <c r="J212" s="71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71"/>
      <c r="AB212" s="71"/>
    </row>
    <row r="213" spans="1:28" x14ac:dyDescent="0.2">
      <c r="A213" s="6"/>
      <c r="B213" s="71"/>
      <c r="C213" s="10"/>
      <c r="D213" s="10"/>
      <c r="E213" s="71"/>
      <c r="F213" s="71" t="s">
        <v>97</v>
      </c>
      <c r="G213" s="168"/>
      <c r="H213" s="168">
        <f>M213</f>
        <v>1.3560000000000001</v>
      </c>
      <c r="I213" s="168">
        <f>N213</f>
        <v>4.6970000000000001</v>
      </c>
      <c r="J213" s="71"/>
      <c r="K213" s="180" t="s">
        <v>97</v>
      </c>
      <c r="L213" s="182">
        <f>ROUND(H139*D149*E144/$M$223,3)</f>
        <v>4.9859999999999998</v>
      </c>
      <c r="M213" s="92">
        <f>ROUND((P213-V213*(1-$X$211)*R213)/S213,$AA$210)</f>
        <v>1.3560000000000001</v>
      </c>
      <c r="N213" s="92">
        <f>ROUND(M213+V213*(1-$X$211),$AA$210)</f>
        <v>4.6970000000000001</v>
      </c>
      <c r="O213" s="173"/>
      <c r="P213" s="182">
        <f>H139*D149*E144</f>
        <v>1702289.3630000001</v>
      </c>
      <c r="Q213" s="183">
        <f>$M$229</f>
        <v>72672.947005293594</v>
      </c>
      <c r="R213" s="183">
        <f>$M$223</f>
        <v>341438.25299470645</v>
      </c>
      <c r="S213" s="184">
        <f>Q213+R213</f>
        <v>414111.20000000007</v>
      </c>
      <c r="T213" s="173">
        <v>0</v>
      </c>
      <c r="U213" s="173">
        <f>ROUND(H139*D149*E144/$M$223,3)</f>
        <v>4.9859999999999998</v>
      </c>
      <c r="V213" s="173">
        <f>U213-T213</f>
        <v>4.9859999999999998</v>
      </c>
      <c r="W213" s="173"/>
      <c r="X213" s="173"/>
      <c r="Y213" s="173"/>
      <c r="Z213" s="109">
        <f>M213*Q213+N213*R213</f>
        <v>1702279.9904553143</v>
      </c>
      <c r="AA213" s="109">
        <f>P213-Z213</f>
        <v>9.372544685844332</v>
      </c>
      <c r="AB213" s="71"/>
    </row>
    <row r="214" spans="1:28" x14ac:dyDescent="0.2">
      <c r="A214" s="6"/>
      <c r="B214" s="98" t="s">
        <v>69</v>
      </c>
      <c r="C214" s="12">
        <f>(C202*Q44+($H214*($M$224/8*H145))+($I214*($M$224/8*H145))+($G206*$H145*H141*1000))/Q44</f>
        <v>81.138830055021046</v>
      </c>
      <c r="D214" s="12"/>
      <c r="E214" s="71"/>
      <c r="F214" s="71" t="s">
        <v>103</v>
      </c>
      <c r="G214" s="168"/>
      <c r="H214" s="168">
        <f>M214</f>
        <v>1.339</v>
      </c>
      <c r="I214" s="168">
        <f>N214</f>
        <v>4.7329999999999997</v>
      </c>
      <c r="J214" s="71"/>
      <c r="K214" s="180" t="s">
        <v>103</v>
      </c>
      <c r="L214" s="182">
        <f>ROUND(H139*D150*E145/$M$224,3)</f>
        <v>5.0659999999999998</v>
      </c>
      <c r="M214" s="71">
        <f>ROUND((P214-V214*(1-$X$211)*R214)/S214,$AA$210)</f>
        <v>1.339</v>
      </c>
      <c r="N214" s="92">
        <f>ROUND(M214+V214*(1-$X$211),$AA$210)</f>
        <v>4.7329999999999997</v>
      </c>
      <c r="O214" s="173"/>
      <c r="P214" s="182">
        <f>H139*D150*E145</f>
        <v>3071436.6266999999</v>
      </c>
      <c r="Q214" s="183">
        <f>$M$230</f>
        <v>150341.18034097413</v>
      </c>
      <c r="R214" s="183">
        <f>$M$224</f>
        <v>606342.76965902583</v>
      </c>
      <c r="S214" s="184">
        <f>Q214+R214</f>
        <v>756683.95</v>
      </c>
      <c r="T214" s="173">
        <v>0</v>
      </c>
      <c r="U214" s="173">
        <f>ROUND(H139*D150*E145/$M$224,3)</f>
        <v>5.0659999999999998</v>
      </c>
      <c r="V214" s="173">
        <f>U214-T214</f>
        <v>5.0659999999999998</v>
      </c>
      <c r="W214" s="173"/>
      <c r="X214" s="173"/>
      <c r="Y214" s="173"/>
      <c r="Z214" s="173"/>
      <c r="AA214" s="71"/>
      <c r="AB214" s="71"/>
    </row>
    <row r="215" spans="1:28" x14ac:dyDescent="0.2">
      <c r="A215" s="6"/>
      <c r="B215" s="99"/>
      <c r="C215" s="10"/>
      <c r="D215" s="71"/>
      <c r="E215" s="71"/>
      <c r="F215" s="71"/>
      <c r="G215" s="97"/>
      <c r="H215" s="97"/>
      <c r="I215" s="71"/>
      <c r="J215" s="71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71"/>
      <c r="AB215" s="71"/>
    </row>
    <row r="216" spans="1:28" x14ac:dyDescent="0.2">
      <c r="A216" s="6"/>
      <c r="B216" s="99"/>
      <c r="C216" s="10"/>
      <c r="D216" s="71"/>
      <c r="E216" s="71"/>
      <c r="F216" s="71"/>
      <c r="G216" s="71"/>
      <c r="H216" s="71"/>
      <c r="I216" s="71"/>
      <c r="J216" s="71"/>
      <c r="K216" s="185" t="s">
        <v>135</v>
      </c>
      <c r="L216" s="173"/>
      <c r="M216" s="186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71"/>
      <c r="AB216" s="71"/>
    </row>
    <row r="217" spans="1:28" x14ac:dyDescent="0.2">
      <c r="A217" s="6"/>
      <c r="B217" s="99"/>
      <c r="C217" s="10"/>
      <c r="D217" s="71"/>
      <c r="E217" s="71"/>
      <c r="F217" s="71"/>
      <c r="G217" s="96"/>
      <c r="H217" s="96"/>
      <c r="I217" s="71"/>
      <c r="J217" s="71"/>
      <c r="K217" s="180" t="s">
        <v>137</v>
      </c>
      <c r="L217" s="187">
        <f>+C147/1000/12</f>
        <v>3.545666666666667</v>
      </c>
      <c r="M217" s="186" t="s">
        <v>138</v>
      </c>
      <c r="N217" s="173"/>
      <c r="O217" s="173"/>
      <c r="P217" s="188">
        <f>P213+P214</f>
        <v>4773725.9896999998</v>
      </c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71"/>
      <c r="AB217" s="71"/>
    </row>
    <row r="218" spans="1:28" x14ac:dyDescent="0.2">
      <c r="A218" s="6"/>
      <c r="B218" s="71" t="s">
        <v>150</v>
      </c>
      <c r="C218" s="12">
        <f>(C206*H56+($H213*($M$229/4*H144)+$H214*($M$230/8*H145)+$I213*($M$223/4*H144)+$I214*($M$224/8*H145))+($G206*$H146*H141*1000))/H56</f>
        <v>75.78888193584028</v>
      </c>
      <c r="D218" s="71"/>
      <c r="E218" s="71"/>
      <c r="F218" s="71"/>
      <c r="G218" s="71"/>
      <c r="H218" s="71"/>
      <c r="I218" s="71"/>
      <c r="J218" s="71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71"/>
      <c r="AB218" s="71"/>
    </row>
    <row r="219" spans="1:28" x14ac:dyDescent="0.2">
      <c r="A219" s="6"/>
      <c r="B219" s="71"/>
      <c r="C219" s="82"/>
      <c r="D219" s="82"/>
      <c r="E219" s="71"/>
      <c r="F219" s="71"/>
      <c r="G219" s="71"/>
      <c r="H219" s="71"/>
      <c r="I219" s="71"/>
      <c r="J219" s="71"/>
      <c r="K219" s="71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71"/>
    </row>
    <row r="220" spans="1:28" ht="13.5" thickBot="1" x14ac:dyDescent="0.25">
      <c r="A220" s="6"/>
      <c r="B220" s="13" t="s">
        <v>151</v>
      </c>
      <c r="C220" s="10"/>
      <c r="D220" s="10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</row>
    <row r="221" spans="1:28" x14ac:dyDescent="0.2">
      <c r="A221" s="6"/>
      <c r="B221" s="76" t="s">
        <v>152</v>
      </c>
      <c r="C221" s="11">
        <f>(+SUMPRODUCT(C192:G192,C56:G56)+SUMPRODUCT(C218,H56))/1000</f>
        <v>89716.283408878575</v>
      </c>
      <c r="D221" s="71"/>
      <c r="E221" s="71"/>
      <c r="F221" s="71"/>
      <c r="G221" s="71"/>
      <c r="H221" s="71"/>
      <c r="I221" s="71"/>
      <c r="J221" s="71"/>
      <c r="K221" s="71"/>
      <c r="L221" s="189" t="s">
        <v>153</v>
      </c>
      <c r="M221" s="190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</row>
    <row r="222" spans="1:28" x14ac:dyDescent="0.2">
      <c r="A222" s="6"/>
      <c r="B222" s="71"/>
      <c r="C222" s="76" t="s">
        <v>154</v>
      </c>
      <c r="D222" s="12">
        <f>+C221/SUM(C56:H56)*1000</f>
        <v>86.685712749444377</v>
      </c>
      <c r="E222" s="71" t="s">
        <v>155</v>
      </c>
      <c r="F222" s="71"/>
      <c r="G222" s="71"/>
      <c r="H222" s="71"/>
      <c r="I222" s="71"/>
      <c r="J222" s="71"/>
      <c r="K222" s="71"/>
      <c r="L222" s="191"/>
      <c r="M222" s="192" t="s">
        <v>156</v>
      </c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</row>
    <row r="223" spans="1:28" x14ac:dyDescent="0.2">
      <c r="A223" s="6"/>
      <c r="B223" s="71"/>
      <c r="C223" s="76" t="s">
        <v>157</v>
      </c>
      <c r="D223" s="12">
        <f>+C221/SUMPRODUCT(C56:H56,C81:H81)*1000</f>
        <v>80.643487224650897</v>
      </c>
      <c r="E223" s="71" t="s">
        <v>158</v>
      </c>
      <c r="F223" s="71"/>
      <c r="G223" s="71"/>
      <c r="H223" s="71"/>
      <c r="I223" s="71"/>
      <c r="J223" s="71"/>
      <c r="K223" s="71"/>
      <c r="L223" s="191" t="s">
        <v>68</v>
      </c>
      <c r="M223" s="193">
        <v>341438.25299470645</v>
      </c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</row>
    <row r="224" spans="1:28" ht="13.5" thickBot="1" x14ac:dyDescent="0.25">
      <c r="A224" s="6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194" t="s">
        <v>61</v>
      </c>
      <c r="M224" s="195">
        <v>606342.76965902583</v>
      </c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</row>
    <row r="225" spans="1:28" x14ac:dyDescent="0.2">
      <c r="A225" s="6"/>
      <c r="B225" s="71"/>
      <c r="C225" s="71"/>
      <c r="D225" s="71"/>
      <c r="E225" s="10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</row>
    <row r="226" spans="1:28" ht="13.5" thickBot="1" x14ac:dyDescent="0.25">
      <c r="A226" s="156" t="s">
        <v>159</v>
      </c>
      <c r="B226" s="13" t="s">
        <v>160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</row>
    <row r="227" spans="1:28" x14ac:dyDescent="0.2">
      <c r="A227" s="6"/>
      <c r="B227" s="13"/>
      <c r="C227" s="71"/>
      <c r="D227" s="71"/>
      <c r="E227" s="71"/>
      <c r="F227" s="71"/>
      <c r="G227" s="71"/>
      <c r="H227" s="71"/>
      <c r="I227" s="71"/>
      <c r="J227" s="71"/>
      <c r="K227" s="71"/>
      <c r="L227" s="189" t="s">
        <v>153</v>
      </c>
      <c r="M227" s="190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</row>
    <row r="228" spans="1:28" x14ac:dyDescent="0.2">
      <c r="A228" s="6"/>
      <c r="B228" s="13" t="s">
        <v>161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191"/>
      <c r="M228" s="192" t="s">
        <v>162</v>
      </c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</row>
    <row r="229" spans="1:28" x14ac:dyDescent="0.2">
      <c r="A229" s="6"/>
      <c r="B229" s="7" t="s">
        <v>163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191" t="s">
        <v>68</v>
      </c>
      <c r="M229" s="193">
        <v>72672.947005293594</v>
      </c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</row>
    <row r="230" spans="1:28" ht="13.5" thickBot="1" x14ac:dyDescent="0.25">
      <c r="A230" s="6"/>
      <c r="B230" s="13"/>
      <c r="C230" s="71"/>
      <c r="D230" s="71"/>
      <c r="E230" s="71"/>
      <c r="F230" s="71"/>
      <c r="G230" s="71"/>
      <c r="H230" s="71"/>
      <c r="I230" s="71"/>
      <c r="J230" s="71"/>
      <c r="K230" s="71"/>
      <c r="L230" s="194" t="s">
        <v>61</v>
      </c>
      <c r="M230" s="195">
        <v>150341.18034097413</v>
      </c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</row>
    <row r="231" spans="1:28" x14ac:dyDescent="0.2">
      <c r="A231" s="6"/>
      <c r="B231" s="71"/>
      <c r="C231" s="22" t="str">
        <f t="shared" ref="C231" si="43">+C6</f>
        <v>SC1/SC5</v>
      </c>
      <c r="D231" s="22" t="str">
        <f>+D6</f>
        <v>SC3</v>
      </c>
      <c r="E231" s="22" t="str">
        <f>+E6</f>
        <v>SC2 ND</v>
      </c>
      <c r="F231" s="22" t="str">
        <f>+F6</f>
        <v>SC4</v>
      </c>
      <c r="G231" s="22" t="str">
        <f>+G6</f>
        <v>SC6</v>
      </c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</row>
    <row r="232" spans="1:28" x14ac:dyDescent="0.2">
      <c r="A232" s="6"/>
      <c r="B232" s="71"/>
      <c r="C232" s="26"/>
      <c r="D232" s="26"/>
      <c r="E232" s="26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</row>
    <row r="233" spans="1:28" x14ac:dyDescent="0.2">
      <c r="A233" s="6"/>
      <c r="B233" s="98" t="s">
        <v>63</v>
      </c>
      <c r="C233" s="14">
        <f>ROUND(+C181/$D$223,3)</f>
        <v>1.0609999999999999</v>
      </c>
      <c r="D233" s="196"/>
      <c r="E233" s="14">
        <f>ROUND(+E181/$D$223,3)</f>
        <v>0.84</v>
      </c>
      <c r="F233" s="14">
        <f>ROUND(+F181/$D$223,3)</f>
        <v>0.52300000000000002</v>
      </c>
      <c r="G233" s="14">
        <f>ROUND(+G181/$D$223,3)</f>
        <v>0.52200000000000002</v>
      </c>
      <c r="H233" s="103"/>
      <c r="I233" s="103"/>
      <c r="J233" s="103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</row>
    <row r="234" spans="1:28" x14ac:dyDescent="0.2">
      <c r="A234" s="6"/>
      <c r="B234" s="99" t="s">
        <v>78</v>
      </c>
      <c r="C234" s="196"/>
      <c r="D234" s="14">
        <f>ROUND(+D182/$D$223,3)</f>
        <v>1.484</v>
      </c>
      <c r="E234" s="196"/>
      <c r="F234" s="196"/>
      <c r="G234" s="196"/>
      <c r="H234" s="103"/>
      <c r="I234" s="103"/>
      <c r="J234" s="103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</row>
    <row r="235" spans="1:28" x14ac:dyDescent="0.2">
      <c r="A235" s="6"/>
      <c r="B235" s="99" t="s">
        <v>79</v>
      </c>
      <c r="C235" s="196"/>
      <c r="D235" s="14">
        <f>ROUND(+D183/$D$223,3)</f>
        <v>0.65800000000000003</v>
      </c>
      <c r="E235" s="196"/>
      <c r="F235" s="196"/>
      <c r="G235" s="196"/>
      <c r="H235" s="103"/>
      <c r="I235" s="103"/>
      <c r="J235" s="103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</row>
    <row r="236" spans="1:28" x14ac:dyDescent="0.2">
      <c r="A236" s="6"/>
      <c r="B236" s="99"/>
      <c r="C236" s="196"/>
      <c r="D236" s="197"/>
      <c r="E236" s="196"/>
      <c r="F236" s="196"/>
      <c r="G236" s="196"/>
      <c r="H236" s="103"/>
      <c r="I236" s="103"/>
      <c r="J236" s="103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</row>
    <row r="237" spans="1:28" x14ac:dyDescent="0.2">
      <c r="A237" s="6"/>
      <c r="B237" s="15"/>
      <c r="C237" s="71"/>
      <c r="D237" s="197"/>
      <c r="E237" s="196"/>
      <c r="F237" s="196"/>
      <c r="G237" s="196"/>
      <c r="H237" s="103"/>
      <c r="I237" s="103"/>
      <c r="J237" s="103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</row>
    <row r="238" spans="1:28" x14ac:dyDescent="0.2">
      <c r="A238" s="6"/>
      <c r="B238" s="16" t="s">
        <v>164</v>
      </c>
      <c r="C238" s="17">
        <f>C184-C181</f>
        <v>-19.460189999999997</v>
      </c>
      <c r="D238" s="197"/>
      <c r="E238" s="196"/>
      <c r="F238" s="196"/>
      <c r="G238" s="196"/>
      <c r="H238" s="103"/>
      <c r="I238" s="103"/>
      <c r="J238" s="103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</row>
    <row r="239" spans="1:28" x14ac:dyDescent="0.2">
      <c r="A239" s="6"/>
      <c r="B239" s="16" t="s">
        <v>165</v>
      </c>
      <c r="C239" s="17">
        <f>C185-C181</f>
        <v>14.149810000000016</v>
      </c>
      <c r="D239" s="197"/>
      <c r="E239" s="196"/>
      <c r="F239" s="196"/>
      <c r="G239" s="196"/>
      <c r="H239" s="103"/>
      <c r="I239" s="103"/>
      <c r="J239" s="103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</row>
    <row r="240" spans="1:28" x14ac:dyDescent="0.2">
      <c r="A240" s="6"/>
      <c r="B240" s="196"/>
      <c r="C240" s="196"/>
      <c r="D240" s="197"/>
      <c r="E240" s="196"/>
      <c r="F240" s="196"/>
      <c r="G240" s="196"/>
      <c r="H240" s="103"/>
      <c r="I240" s="103"/>
      <c r="J240" s="103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</row>
    <row r="241" spans="1:28" x14ac:dyDescent="0.2">
      <c r="A241" s="6"/>
      <c r="B241" s="71"/>
      <c r="C241" s="196"/>
      <c r="D241" s="196"/>
      <c r="E241" s="196"/>
      <c r="F241" s="196"/>
      <c r="G241" s="196"/>
      <c r="H241" s="103"/>
      <c r="I241" s="103"/>
      <c r="J241" s="103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</row>
    <row r="242" spans="1:28" x14ac:dyDescent="0.2">
      <c r="A242" s="6"/>
      <c r="B242" s="98" t="s">
        <v>69</v>
      </c>
      <c r="C242" s="14">
        <f>ROUND(+C188/$D$223,3)</f>
        <v>1.232</v>
      </c>
      <c r="D242" s="198"/>
      <c r="E242" s="14">
        <f>ROUND(+E188/$D$223,3)</f>
        <v>0.89500000000000002</v>
      </c>
      <c r="F242" s="14">
        <f>ROUND(+F188/$D$223,3)</f>
        <v>0.624</v>
      </c>
      <c r="G242" s="14">
        <f>ROUND(+G188/$D$223,3)</f>
        <v>0.62</v>
      </c>
      <c r="H242" s="103"/>
      <c r="I242" s="103"/>
      <c r="J242" s="103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</row>
    <row r="243" spans="1:28" x14ac:dyDescent="0.2">
      <c r="A243" s="6"/>
      <c r="B243" s="99" t="s">
        <v>78</v>
      </c>
      <c r="C243" s="196"/>
      <c r="D243" s="14">
        <f>ROUND(+D189/$D$223,3)</f>
        <v>1.415</v>
      </c>
      <c r="E243" s="196"/>
      <c r="F243" s="196"/>
      <c r="G243" s="196"/>
      <c r="H243" s="103"/>
      <c r="I243" s="103"/>
      <c r="J243" s="103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</row>
    <row r="244" spans="1:28" x14ac:dyDescent="0.2">
      <c r="A244" s="6"/>
      <c r="B244" s="99" t="s">
        <v>79</v>
      </c>
      <c r="C244" s="196"/>
      <c r="D244" s="14">
        <f>ROUND(+D190/$D$223,3)</f>
        <v>0.77600000000000002</v>
      </c>
      <c r="E244" s="196"/>
      <c r="F244" s="196"/>
      <c r="G244" s="196"/>
      <c r="H244" s="103"/>
      <c r="I244" s="103"/>
      <c r="J244" s="103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</row>
    <row r="245" spans="1:28" x14ac:dyDescent="0.2">
      <c r="A245" s="6"/>
      <c r="B245" s="71"/>
      <c r="C245" s="103"/>
      <c r="D245" s="103"/>
      <c r="E245" s="103"/>
      <c r="F245" s="103"/>
      <c r="G245" s="103"/>
      <c r="H245" s="103"/>
      <c r="I245" s="103"/>
      <c r="J245" s="103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</row>
    <row r="246" spans="1:28" x14ac:dyDescent="0.2">
      <c r="A246" s="6"/>
      <c r="B246" s="71" t="s">
        <v>166</v>
      </c>
      <c r="C246" s="199">
        <f t="shared" ref="C246" si="44">ROUND(+C192/$D$223,3)</f>
        <v>1.1579999999999999</v>
      </c>
      <c r="D246" s="199">
        <f>ROUND(+D192/$D$223,3)</f>
        <v>0.997</v>
      </c>
      <c r="E246" s="199">
        <f>ROUND(+E192/$D$223,3)</f>
        <v>0.878</v>
      </c>
      <c r="F246" s="199">
        <f>ROUND(+F192/$D$223,3)</f>
        <v>0.59599999999999997</v>
      </c>
      <c r="G246" s="199">
        <f>ROUND(+G192/$D$223,3)</f>
        <v>0.59199999999999997</v>
      </c>
      <c r="H246" s="103"/>
      <c r="I246" s="103"/>
      <c r="J246" s="103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</row>
    <row r="247" spans="1:28" x14ac:dyDescent="0.2">
      <c r="A247" s="6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</row>
    <row r="248" spans="1:28" x14ac:dyDescent="0.2">
      <c r="A248" s="156" t="s">
        <v>159</v>
      </c>
      <c r="B248" s="171" t="s">
        <v>139</v>
      </c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</row>
    <row r="249" spans="1:28" x14ac:dyDescent="0.2">
      <c r="A249" s="156"/>
      <c r="B249" s="1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</row>
    <row r="250" spans="1:28" x14ac:dyDescent="0.2">
      <c r="A250" s="6"/>
      <c r="B250" s="13" t="s">
        <v>167</v>
      </c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</row>
    <row r="251" spans="1:28" x14ac:dyDescent="0.2">
      <c r="A251" s="6"/>
      <c r="B251" s="7" t="s">
        <v>168</v>
      </c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</row>
    <row r="252" spans="1:28" x14ac:dyDescent="0.2">
      <c r="A252" s="6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</row>
    <row r="253" spans="1:28" x14ac:dyDescent="0.2">
      <c r="A253" s="6"/>
      <c r="B253" s="71"/>
      <c r="C253" s="15" t="str">
        <f>+H6</f>
        <v>SC2 Dem</v>
      </c>
      <c r="D253" s="15" t="str">
        <f>+C253</f>
        <v>SC2 Dem</v>
      </c>
      <c r="E253" s="26"/>
      <c r="F253" s="26"/>
      <c r="G253" s="200" t="s">
        <v>131</v>
      </c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</row>
    <row r="254" spans="1:28" x14ac:dyDescent="0.2">
      <c r="A254" s="6"/>
      <c r="B254" s="71"/>
      <c r="C254" s="22" t="s">
        <v>169</v>
      </c>
      <c r="D254" s="22" t="s">
        <v>170</v>
      </c>
      <c r="E254" s="26"/>
      <c r="F254" s="26"/>
      <c r="G254" s="147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</row>
    <row r="255" spans="1:28" x14ac:dyDescent="0.2">
      <c r="A255" s="6"/>
      <c r="B255" s="98" t="s">
        <v>63</v>
      </c>
      <c r="C255" s="14">
        <f>ROUND(+C210/$D$223,3)</f>
        <v>0.92</v>
      </c>
      <c r="D255" s="201">
        <f>+C198-C210</f>
        <v>-27.813868470825597</v>
      </c>
      <c r="E255" s="71"/>
      <c r="F255" s="109"/>
      <c r="G255" s="175" t="s">
        <v>132</v>
      </c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</row>
    <row r="256" spans="1:28" x14ac:dyDescent="0.2">
      <c r="A256" s="6"/>
      <c r="B256" s="202"/>
      <c r="C256" s="196"/>
      <c r="D256" s="13"/>
      <c r="E256" s="197"/>
      <c r="F256" s="203"/>
      <c r="G256" s="147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</row>
    <row r="257" spans="1:28" x14ac:dyDescent="0.2">
      <c r="A257" s="6"/>
      <c r="B257" s="99"/>
      <c r="C257" s="196"/>
      <c r="D257" s="13"/>
      <c r="E257" s="197"/>
      <c r="F257" s="203"/>
      <c r="G257" s="147"/>
      <c r="H257" s="22"/>
      <c r="I257" s="15" t="s">
        <v>133</v>
      </c>
      <c r="J257" s="15" t="s">
        <v>134</v>
      </c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</row>
    <row r="258" spans="1:28" x14ac:dyDescent="0.2">
      <c r="A258" s="6"/>
      <c r="B258" s="71"/>
      <c r="C258" s="196"/>
      <c r="D258" s="13"/>
      <c r="E258" s="196"/>
      <c r="F258" s="203"/>
      <c r="G258" s="147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</row>
    <row r="259" spans="1:28" x14ac:dyDescent="0.2">
      <c r="A259" s="6"/>
      <c r="B259" s="98" t="s">
        <v>69</v>
      </c>
      <c r="C259" s="14">
        <f>ROUND(+C214/$D$223,3)</f>
        <v>1.006</v>
      </c>
      <c r="D259" s="201">
        <f>+C202-C214</f>
        <v>-28.831010981683676</v>
      </c>
      <c r="E259" s="197"/>
      <c r="F259" s="203"/>
      <c r="G259" s="204" t="s">
        <v>97</v>
      </c>
      <c r="H259" s="100"/>
      <c r="I259" s="81">
        <f>M213</f>
        <v>1.3560000000000001</v>
      </c>
      <c r="J259" s="81">
        <f>N213</f>
        <v>4.6970000000000001</v>
      </c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</row>
    <row r="260" spans="1:28" x14ac:dyDescent="0.2">
      <c r="A260" s="6"/>
      <c r="B260" s="202"/>
      <c r="C260" s="196"/>
      <c r="D260" s="71"/>
      <c r="E260" s="197"/>
      <c r="F260" s="203"/>
      <c r="G260" s="204" t="s">
        <v>103</v>
      </c>
      <c r="H260" s="100"/>
      <c r="I260" s="81">
        <f>M214</f>
        <v>1.339</v>
      </c>
      <c r="J260" s="81">
        <f>N214</f>
        <v>4.7329999999999997</v>
      </c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</row>
    <row r="261" spans="1:28" x14ac:dyDescent="0.2">
      <c r="A261" s="6"/>
      <c r="B261" s="99"/>
      <c r="C261" s="196"/>
      <c r="D261" s="71"/>
      <c r="E261" s="197"/>
      <c r="F261" s="203"/>
      <c r="G261" s="204"/>
      <c r="H261" s="81"/>
      <c r="I261" s="95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</row>
    <row r="262" spans="1:28" x14ac:dyDescent="0.2">
      <c r="A262" s="6"/>
      <c r="B262" s="71"/>
      <c r="C262" s="103"/>
      <c r="D262" s="71"/>
      <c r="E262" s="103"/>
      <c r="F262" s="71"/>
      <c r="G262" s="205" t="s">
        <v>135</v>
      </c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</row>
    <row r="263" spans="1:28" x14ac:dyDescent="0.2">
      <c r="A263" s="6"/>
      <c r="B263" s="71" t="s">
        <v>150</v>
      </c>
      <c r="C263" s="199">
        <f>ROUND(+C218/$D$223,3)</f>
        <v>0.94</v>
      </c>
      <c r="D263" s="71"/>
      <c r="E263" s="103"/>
      <c r="F263" s="71"/>
      <c r="G263" s="204" t="s">
        <v>137</v>
      </c>
      <c r="H263" s="100">
        <f>+G206</f>
        <v>3.545666666666667</v>
      </c>
      <c r="I263" s="95" t="s">
        <v>138</v>
      </c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</row>
    <row r="264" spans="1:28" x14ac:dyDescent="0.2">
      <c r="A264" s="6"/>
      <c r="B264" s="71"/>
      <c r="C264" s="103"/>
      <c r="D264" s="71"/>
      <c r="E264" s="103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</row>
    <row r="265" spans="1:28" x14ac:dyDescent="0.2">
      <c r="A265" s="6"/>
      <c r="B265" s="71"/>
      <c r="C265" s="103"/>
      <c r="D265" s="71"/>
      <c r="E265" s="103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</row>
    <row r="266" spans="1:28" x14ac:dyDescent="0.2">
      <c r="A266" s="156" t="s">
        <v>171</v>
      </c>
      <c r="B266" s="18" t="s">
        <v>172</v>
      </c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</row>
    <row r="267" spans="1:28" x14ac:dyDescent="0.2">
      <c r="A267" s="6"/>
      <c r="B267" s="13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</row>
    <row r="268" spans="1:28" x14ac:dyDescent="0.2">
      <c r="A268" s="6"/>
      <c r="B268" s="13" t="s">
        <v>161</v>
      </c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</row>
    <row r="269" spans="1:28" x14ac:dyDescent="0.2">
      <c r="A269" s="6"/>
      <c r="B269" s="2" t="s">
        <v>173</v>
      </c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</row>
    <row r="270" spans="1:28" x14ac:dyDescent="0.2">
      <c r="A270" s="6"/>
      <c r="B270" s="7" t="s">
        <v>60</v>
      </c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</row>
    <row r="271" spans="1:28" x14ac:dyDescent="0.2">
      <c r="A271" s="6"/>
      <c r="B271" s="71"/>
      <c r="C271" s="22" t="str">
        <f t="shared" ref="C271" si="45">+C6</f>
        <v>SC1/SC5</v>
      </c>
      <c r="D271" s="22" t="str">
        <f>+D6</f>
        <v>SC3</v>
      </c>
      <c r="E271" s="22" t="str">
        <f>+E6</f>
        <v>SC2 ND</v>
      </c>
      <c r="F271" s="22" t="str">
        <f>+F6</f>
        <v>SC4</v>
      </c>
      <c r="G271" s="22" t="str">
        <f>+G6</f>
        <v>SC6</v>
      </c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</row>
    <row r="272" spans="1:28" x14ac:dyDescent="0.2">
      <c r="A272" s="6"/>
      <c r="B272" s="71"/>
      <c r="C272" s="26"/>
      <c r="D272" s="10"/>
      <c r="E272" s="26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</row>
    <row r="273" spans="1:28" x14ac:dyDescent="0.2">
      <c r="A273" s="6"/>
      <c r="B273" s="98" t="s">
        <v>63</v>
      </c>
      <c r="C273" s="12">
        <f t="shared" ref="C273" si="46">C181-C$167</f>
        <v>68.2125987594344</v>
      </c>
      <c r="D273" s="12">
        <f>D181-D$167</f>
        <v>66.69900395180909</v>
      </c>
      <c r="E273" s="12">
        <f>E181-E$167</f>
        <v>58.588832660078637</v>
      </c>
      <c r="F273" s="12">
        <f>F181-F$167</f>
        <v>42.139679984170058</v>
      </c>
      <c r="G273" s="12">
        <f>G181-G$167</f>
        <v>42.09347309182003</v>
      </c>
      <c r="H273" s="10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</row>
    <row r="274" spans="1:28" x14ac:dyDescent="0.2">
      <c r="A274" s="6"/>
      <c r="B274" s="99" t="s">
        <v>78</v>
      </c>
      <c r="C274" s="10"/>
      <c r="D274" s="12">
        <f>D182-D$167</f>
        <v>107.84932098153934</v>
      </c>
      <c r="E274" s="10"/>
      <c r="F274" s="10"/>
      <c r="G274" s="10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</row>
    <row r="275" spans="1:28" x14ac:dyDescent="0.2">
      <c r="A275" s="6"/>
      <c r="B275" s="99" t="s">
        <v>79</v>
      </c>
      <c r="C275" s="10"/>
      <c r="D275" s="12">
        <f>D183-D$167</f>
        <v>41.228618779652109</v>
      </c>
      <c r="E275" s="10"/>
      <c r="F275" s="10"/>
      <c r="G275" s="10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</row>
    <row r="276" spans="1:28" x14ac:dyDescent="0.2">
      <c r="A276" s="6"/>
      <c r="B276" s="76" t="s">
        <v>127</v>
      </c>
      <c r="C276" s="10">
        <f>(C273*SUM(C49:C52)-C158*10*E157*SUM(C49:C52))/SUM(C49:C52)</f>
        <v>48.752408759434395</v>
      </c>
      <c r="D276" s="12"/>
      <c r="E276" s="10"/>
      <c r="F276" s="10"/>
      <c r="G276" s="10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</row>
    <row r="277" spans="1:28" x14ac:dyDescent="0.2">
      <c r="A277" s="6"/>
      <c r="B277" s="76" t="s">
        <v>128</v>
      </c>
      <c r="C277" s="10">
        <f>C276+C158*10</f>
        <v>82.362408759434402</v>
      </c>
      <c r="D277" s="12"/>
      <c r="E277" s="10"/>
      <c r="F277" s="10"/>
      <c r="G277" s="10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</row>
    <row r="278" spans="1:28" x14ac:dyDescent="0.2">
      <c r="A278" s="6"/>
      <c r="B278" s="10"/>
      <c r="C278" s="10"/>
      <c r="D278" s="12"/>
      <c r="E278" s="10"/>
      <c r="F278" s="10"/>
      <c r="G278" s="10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</row>
    <row r="279" spans="1:28" x14ac:dyDescent="0.2">
      <c r="A279" s="6"/>
      <c r="B279" s="71"/>
      <c r="C279" s="10"/>
      <c r="D279" s="10"/>
      <c r="E279" s="10"/>
      <c r="F279" s="10"/>
      <c r="G279" s="10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</row>
    <row r="280" spans="1:28" x14ac:dyDescent="0.2">
      <c r="A280" s="6"/>
      <c r="B280" s="98" t="s">
        <v>69</v>
      </c>
      <c r="C280" s="12">
        <f t="shared" ref="C280" si="47">C188-C$167</f>
        <v>82.025079815425144</v>
      </c>
      <c r="D280" s="12">
        <f>D188-D$167</f>
        <v>69.372380251781095</v>
      </c>
      <c r="E280" s="12">
        <f>E188-E$167</f>
        <v>63.014814630612364</v>
      </c>
      <c r="F280" s="12">
        <f>F188-F$167</f>
        <v>50.359095252105789</v>
      </c>
      <c r="G280" s="12">
        <f>G188-G$167</f>
        <v>49.986393578946675</v>
      </c>
      <c r="H280" s="10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</row>
    <row r="281" spans="1:28" x14ac:dyDescent="0.2">
      <c r="A281" s="6"/>
      <c r="B281" s="99" t="s">
        <v>78</v>
      </c>
      <c r="C281" s="10"/>
      <c r="D281" s="12">
        <f>D189-D$167</f>
        <v>102.32691968345269</v>
      </c>
      <c r="E281" s="10"/>
      <c r="F281" s="10"/>
      <c r="G281" s="10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</row>
    <row r="282" spans="1:28" x14ac:dyDescent="0.2">
      <c r="A282" s="6"/>
      <c r="B282" s="99" t="s">
        <v>79</v>
      </c>
      <c r="C282" s="10"/>
      <c r="D282" s="12">
        <f>D190-D$167</f>
        <v>50.768473840376117</v>
      </c>
      <c r="E282" s="10"/>
      <c r="F282" s="10"/>
      <c r="G282" s="10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</row>
    <row r="283" spans="1:28" x14ac:dyDescent="0.2">
      <c r="A283" s="6"/>
      <c r="B283" s="71"/>
      <c r="C283" s="10"/>
      <c r="D283" s="10"/>
      <c r="E283" s="10"/>
      <c r="F283" s="10"/>
      <c r="G283" s="10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</row>
    <row r="284" spans="1:28" x14ac:dyDescent="0.2">
      <c r="A284" s="6"/>
      <c r="B284" s="71" t="s">
        <v>129</v>
      </c>
      <c r="C284" s="12">
        <f t="shared" ref="C284" si="48">C192-C$167</f>
        <v>76.073583378172827</v>
      </c>
      <c r="D284" s="12">
        <f>D192-D$167</f>
        <v>68.574080384428342</v>
      </c>
      <c r="E284" s="12">
        <f>E192-E$167</f>
        <v>61.641159616446103</v>
      </c>
      <c r="F284" s="12">
        <f>F192-F$167</f>
        <v>48.032421655756366</v>
      </c>
      <c r="G284" s="12">
        <f>G192-G$167</f>
        <v>47.727990240496773</v>
      </c>
      <c r="H284" s="10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</row>
    <row r="285" spans="1:28" x14ac:dyDescent="0.2">
      <c r="A285" s="6"/>
      <c r="B285" s="71"/>
      <c r="C285" s="10"/>
      <c r="D285" s="10"/>
      <c r="E285" s="10"/>
      <c r="F285" s="10"/>
      <c r="G285" s="10"/>
      <c r="H285" s="10"/>
      <c r="I285" s="10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</row>
    <row r="286" spans="1:28" x14ac:dyDescent="0.2">
      <c r="A286" s="156" t="s">
        <v>171</v>
      </c>
      <c r="B286" s="171" t="s">
        <v>139</v>
      </c>
      <c r="C286" s="10"/>
      <c r="D286" s="10"/>
      <c r="E286" s="10"/>
      <c r="F286" s="10"/>
      <c r="G286" s="10"/>
      <c r="H286" s="10"/>
      <c r="I286" s="10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</row>
    <row r="287" spans="1:28" x14ac:dyDescent="0.2">
      <c r="A287" s="6"/>
      <c r="B287" s="71"/>
      <c r="C287" s="10"/>
      <c r="D287" s="10"/>
      <c r="E287" s="10"/>
      <c r="F287" s="10"/>
      <c r="G287" s="10"/>
      <c r="H287" s="10"/>
      <c r="I287" s="10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</row>
    <row r="288" spans="1:28" x14ac:dyDescent="0.2">
      <c r="A288" s="6"/>
      <c r="B288" s="13" t="s">
        <v>167</v>
      </c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</row>
    <row r="289" spans="1:28" x14ac:dyDescent="0.2">
      <c r="A289" s="6"/>
      <c r="B289" s="2" t="s">
        <v>174</v>
      </c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</row>
    <row r="290" spans="1:28" x14ac:dyDescent="0.2">
      <c r="A290" s="6"/>
      <c r="B290" s="6" t="s">
        <v>175</v>
      </c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</row>
    <row r="291" spans="1:28" x14ac:dyDescent="0.2">
      <c r="A291" s="6"/>
      <c r="B291" s="6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</row>
    <row r="292" spans="1:28" x14ac:dyDescent="0.2">
      <c r="A292" s="6"/>
      <c r="B292" s="71"/>
      <c r="C292" s="22" t="str">
        <f>+H6</f>
        <v>SC2 Dem</v>
      </c>
      <c r="D292" s="26"/>
      <c r="E292" s="26"/>
      <c r="F292" s="71"/>
      <c r="G292" s="13" t="s">
        <v>131</v>
      </c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</row>
    <row r="293" spans="1:28" x14ac:dyDescent="0.2">
      <c r="A293" s="6"/>
      <c r="B293" s="71"/>
      <c r="C293" s="26"/>
      <c r="D293" s="26"/>
      <c r="E293" s="71"/>
      <c r="F293" s="13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</row>
    <row r="294" spans="1:28" x14ac:dyDescent="0.2">
      <c r="A294" s="6"/>
      <c r="B294" s="98" t="s">
        <v>63</v>
      </c>
      <c r="C294" s="10">
        <f>C198</f>
        <v>46.36447344883733</v>
      </c>
      <c r="D294" s="10"/>
      <c r="E294" s="71"/>
      <c r="F294" s="71"/>
      <c r="G294" s="25" t="s">
        <v>132</v>
      </c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</row>
    <row r="295" spans="1:28" x14ac:dyDescent="0.2">
      <c r="A295" s="6"/>
      <c r="B295" s="99"/>
      <c r="C295" s="10"/>
      <c r="D295" s="10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</row>
    <row r="296" spans="1:28" x14ac:dyDescent="0.2">
      <c r="A296" s="6"/>
      <c r="B296" s="99"/>
      <c r="C296" s="10"/>
      <c r="D296" s="10"/>
      <c r="E296" s="71"/>
      <c r="F296" s="71"/>
      <c r="G296" s="71"/>
      <c r="H296" s="22"/>
      <c r="I296" s="22" t="str">
        <f t="shared" ref="I296:J296" si="49">I257</f>
        <v>&lt; 5 kW</v>
      </c>
      <c r="J296" s="22" t="str">
        <f t="shared" si="49"/>
        <v>&gt; 5 kW</v>
      </c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</row>
    <row r="297" spans="1:28" x14ac:dyDescent="0.2">
      <c r="A297" s="6"/>
      <c r="B297" s="71"/>
      <c r="C297" s="10"/>
      <c r="D297" s="10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</row>
    <row r="298" spans="1:28" x14ac:dyDescent="0.2">
      <c r="A298" s="6"/>
      <c r="B298" s="98" t="s">
        <v>69</v>
      </c>
      <c r="C298" s="10">
        <f>C202</f>
        <v>52.30781907333737</v>
      </c>
      <c r="D298" s="10"/>
      <c r="E298" s="71"/>
      <c r="F298" s="71"/>
      <c r="G298" s="76" t="s">
        <v>97</v>
      </c>
      <c r="H298" s="100"/>
      <c r="I298" s="100">
        <f t="shared" ref="I298:J299" si="50">I259</f>
        <v>1.3560000000000001</v>
      </c>
      <c r="J298" s="100">
        <f t="shared" si="50"/>
        <v>4.6970000000000001</v>
      </c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</row>
    <row r="299" spans="1:28" x14ac:dyDescent="0.2">
      <c r="A299" s="6"/>
      <c r="B299" s="99"/>
      <c r="C299" s="10"/>
      <c r="D299" s="10"/>
      <c r="E299" s="71"/>
      <c r="F299" s="71"/>
      <c r="G299" s="76" t="s">
        <v>103</v>
      </c>
      <c r="H299" s="100"/>
      <c r="I299" s="100">
        <f t="shared" si="50"/>
        <v>1.339</v>
      </c>
      <c r="J299" s="100">
        <f t="shared" si="50"/>
        <v>4.7329999999999997</v>
      </c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</row>
    <row r="300" spans="1:28" x14ac:dyDescent="0.2">
      <c r="A300" s="6"/>
      <c r="B300" s="99"/>
      <c r="C300" s="10"/>
      <c r="D300" s="10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</row>
    <row r="301" spans="1:28" x14ac:dyDescent="0.2">
      <c r="A301" s="6"/>
      <c r="B301" s="99"/>
      <c r="C301" s="10"/>
      <c r="D301" s="10"/>
      <c r="E301" s="71"/>
      <c r="F301" s="71"/>
      <c r="G301" s="169"/>
      <c r="H301" s="71"/>
      <c r="I301" s="95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</row>
    <row r="302" spans="1:28" ht="13.5" thickBot="1" x14ac:dyDescent="0.25">
      <c r="A302" s="6"/>
      <c r="B302" s="71" t="s">
        <v>136</v>
      </c>
      <c r="C302" s="10">
        <f>C206</f>
        <v>50.185594965410715</v>
      </c>
      <c r="D302" s="10"/>
      <c r="E302" s="71"/>
      <c r="F302" s="71"/>
      <c r="G302" s="76"/>
      <c r="H302" s="170"/>
      <c r="I302" s="95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</row>
    <row r="303" spans="1:28" x14ac:dyDescent="0.2">
      <c r="A303" s="6"/>
      <c r="B303" s="71"/>
      <c r="C303" s="10"/>
      <c r="D303" s="10"/>
      <c r="E303" s="71"/>
      <c r="F303" s="71"/>
      <c r="G303" s="71"/>
      <c r="H303" s="71"/>
      <c r="I303" s="71"/>
      <c r="J303" s="71"/>
      <c r="K303" s="189" t="s">
        <v>153</v>
      </c>
      <c r="L303" s="190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</row>
    <row r="304" spans="1:28" x14ac:dyDescent="0.2">
      <c r="A304" s="6"/>
      <c r="B304" s="206" t="s">
        <v>176</v>
      </c>
      <c r="C304" s="10"/>
      <c r="D304" s="10"/>
      <c r="E304" s="109"/>
      <c r="F304" s="71"/>
      <c r="G304" s="71"/>
      <c r="H304" s="71"/>
      <c r="I304" s="71"/>
      <c r="J304" s="71"/>
      <c r="K304" s="191"/>
      <c r="L304" s="192" t="s">
        <v>156</v>
      </c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</row>
    <row r="305" spans="1:28" x14ac:dyDescent="0.2">
      <c r="A305" s="6"/>
      <c r="B305" s="98" t="s">
        <v>63</v>
      </c>
      <c r="C305" s="12">
        <f>(C294*Q48+($I298*($L$305/4*H144))+($J298*($L$305/4*H144)))/Q48</f>
        <v>63.368693682767777</v>
      </c>
      <c r="D305" s="12"/>
      <c r="E305" s="94"/>
      <c r="F305" s="71"/>
      <c r="G305" s="71"/>
      <c r="H305" s="71"/>
      <c r="I305" s="71"/>
      <c r="J305" s="71"/>
      <c r="K305" s="191" t="s">
        <v>68</v>
      </c>
      <c r="L305" s="193">
        <v>341438.25299470645</v>
      </c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</row>
    <row r="306" spans="1:28" ht="13.5" thickBot="1" x14ac:dyDescent="0.25">
      <c r="A306" s="6"/>
      <c r="B306" s="99"/>
      <c r="C306" s="10"/>
      <c r="D306" s="12"/>
      <c r="E306" s="71"/>
      <c r="F306" s="71"/>
      <c r="G306" s="71"/>
      <c r="H306" s="71"/>
      <c r="I306" s="71"/>
      <c r="J306" s="71"/>
      <c r="K306" s="194" t="s">
        <v>61</v>
      </c>
      <c r="L306" s="195">
        <v>606342.76965902583</v>
      </c>
      <c r="M306" s="71"/>
      <c r="N306" s="12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</row>
    <row r="307" spans="1:28" x14ac:dyDescent="0.2">
      <c r="A307" s="6"/>
      <c r="B307" s="99"/>
      <c r="C307" s="10"/>
      <c r="D307" s="12"/>
      <c r="E307" s="71"/>
      <c r="F307" s="71"/>
      <c r="G307" s="71"/>
      <c r="H307" s="71"/>
      <c r="I307" s="71"/>
      <c r="J307" s="71"/>
      <c r="K307" s="71"/>
      <c r="L307" s="71"/>
      <c r="M307" s="71"/>
      <c r="N307" s="10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</row>
    <row r="308" spans="1:28" x14ac:dyDescent="0.2">
      <c r="A308" s="6"/>
      <c r="B308" s="71"/>
      <c r="C308" s="10"/>
      <c r="D308" s="10"/>
      <c r="E308" s="71"/>
      <c r="F308" s="71"/>
      <c r="G308" s="71"/>
      <c r="H308" s="71"/>
      <c r="I308" s="71"/>
      <c r="J308" s="71"/>
      <c r="K308" s="71"/>
      <c r="L308" s="71"/>
      <c r="M308" s="71"/>
      <c r="N308" s="10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</row>
    <row r="309" spans="1:28" x14ac:dyDescent="0.2">
      <c r="A309" s="6"/>
      <c r="B309" s="98" t="s">
        <v>69</v>
      </c>
      <c r="C309" s="12">
        <f>(C298*Q44+($I299*($L$306/8*H145))+($J299*($L$306/8*H145)))/Q44</f>
        <v>69.131624323904802</v>
      </c>
      <c r="D309" s="12"/>
      <c r="E309" s="71"/>
      <c r="F309" s="71"/>
      <c r="G309" s="71"/>
      <c r="H309" s="71"/>
      <c r="I309" s="71"/>
      <c r="J309" s="71"/>
      <c r="K309" s="71"/>
      <c r="L309" s="71"/>
      <c r="M309" s="71"/>
      <c r="N309" s="10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</row>
    <row r="310" spans="1:28" x14ac:dyDescent="0.2">
      <c r="A310" s="6"/>
      <c r="B310" s="99"/>
      <c r="C310" s="10"/>
      <c r="D310" s="12"/>
      <c r="E310" s="71"/>
      <c r="F310" s="71"/>
      <c r="G310" s="71"/>
      <c r="H310" s="71"/>
      <c r="I310" s="71"/>
      <c r="J310" s="71"/>
      <c r="K310" s="71"/>
      <c r="L310" s="71"/>
      <c r="M310" s="71"/>
      <c r="N310" s="12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</row>
    <row r="311" spans="1:28" x14ac:dyDescent="0.2">
      <c r="A311" s="6"/>
      <c r="B311" s="99"/>
      <c r="C311" s="10"/>
      <c r="D311" s="12"/>
      <c r="E311" s="71"/>
      <c r="F311" s="71"/>
      <c r="G311" s="71"/>
      <c r="H311" s="71"/>
      <c r="I311" s="71"/>
      <c r="J311" s="71"/>
      <c r="K311" s="71"/>
      <c r="L311" s="71"/>
      <c r="M311" s="71"/>
      <c r="N311" s="10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</row>
    <row r="312" spans="1:28" x14ac:dyDescent="0.2">
      <c r="A312" s="6"/>
      <c r="B312" s="99"/>
      <c r="C312" s="10"/>
      <c r="D312" s="10"/>
      <c r="E312" s="71"/>
      <c r="F312" s="71"/>
      <c r="G312" s="71"/>
      <c r="H312" s="71"/>
      <c r="I312" s="71"/>
      <c r="J312" s="71"/>
      <c r="K312" s="71"/>
      <c r="L312" s="71"/>
      <c r="M312" s="71"/>
      <c r="N312" s="10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</row>
    <row r="313" spans="1:28" x14ac:dyDescent="0.2">
      <c r="A313" s="6"/>
      <c r="B313" s="71" t="s">
        <v>150</v>
      </c>
      <c r="C313" s="12">
        <f>(C302*H56+($I298*($L$305/4*H144)+($J298*($L$305/4*H144))+($I299*($L$306/8*H145))+($J299*($L$306/8*H145))))/H56</f>
        <v>67.073822016646417</v>
      </c>
      <c r="D313" s="12"/>
      <c r="E313" s="71"/>
      <c r="F313" s="71"/>
      <c r="G313" s="71"/>
      <c r="H313" s="71"/>
      <c r="I313" s="71"/>
      <c r="J313" s="71"/>
      <c r="K313" s="71"/>
      <c r="L313" s="71"/>
      <c r="M313" s="71"/>
      <c r="N313" s="10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</row>
    <row r="314" spans="1:28" x14ac:dyDescent="0.2">
      <c r="A314" s="6"/>
      <c r="B314" s="71"/>
      <c r="C314" s="82"/>
      <c r="D314" s="82"/>
      <c r="E314" s="71"/>
      <c r="F314" s="71"/>
      <c r="G314" s="71"/>
      <c r="H314" s="71"/>
      <c r="I314" s="71"/>
      <c r="J314" s="71"/>
      <c r="K314" s="71"/>
      <c r="L314" s="71"/>
      <c r="M314" s="71"/>
      <c r="N314" s="12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</row>
    <row r="315" spans="1:28" x14ac:dyDescent="0.2">
      <c r="A315" s="6"/>
      <c r="B315" s="13" t="s">
        <v>151</v>
      </c>
      <c r="C315" s="10"/>
      <c r="D315" s="10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</row>
    <row r="316" spans="1:28" x14ac:dyDescent="0.2">
      <c r="A316" s="6"/>
      <c r="B316" s="76" t="s">
        <v>152</v>
      </c>
      <c r="C316" s="11">
        <f>(+SUMPRODUCT(C284:G284,C56:G56)+SUMPRODUCT(C313,H56))/1000</f>
        <v>75062.626479897095</v>
      </c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</row>
    <row r="317" spans="1:28" x14ac:dyDescent="0.2">
      <c r="A317" s="6"/>
      <c r="B317" s="71"/>
      <c r="C317" s="76" t="s">
        <v>154</v>
      </c>
      <c r="D317" s="12">
        <f>+C316/SUM(C56:H56)*1000</f>
        <v>72.527048937152699</v>
      </c>
      <c r="E317" s="71" t="s">
        <v>155</v>
      </c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</row>
    <row r="318" spans="1:28" x14ac:dyDescent="0.2">
      <c r="A318" s="6"/>
      <c r="B318" s="71"/>
      <c r="C318" s="76" t="s">
        <v>177</v>
      </c>
      <c r="D318" s="12">
        <f>+C316/SUMPRODUCT(C56:H56,C81:H81)*1000</f>
        <v>67.471720066608015</v>
      </c>
      <c r="E318" s="71" t="s">
        <v>178</v>
      </c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</row>
    <row r="319" spans="1:28" x14ac:dyDescent="0.2">
      <c r="A319" s="6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</row>
    <row r="320" spans="1:28" x14ac:dyDescent="0.2">
      <c r="A320" s="156" t="s">
        <v>179</v>
      </c>
      <c r="B320" s="18" t="s">
        <v>180</v>
      </c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</row>
    <row r="321" spans="1:28" x14ac:dyDescent="0.2">
      <c r="A321" s="6"/>
      <c r="B321" s="13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</row>
    <row r="322" spans="1:28" x14ac:dyDescent="0.2">
      <c r="A322" s="6"/>
      <c r="B322" s="13" t="s">
        <v>161</v>
      </c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</row>
    <row r="323" spans="1:28" x14ac:dyDescent="0.2">
      <c r="A323" s="6"/>
      <c r="B323" s="7" t="s">
        <v>163</v>
      </c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</row>
    <row r="324" spans="1:28" x14ac:dyDescent="0.2">
      <c r="A324" s="6"/>
      <c r="B324" s="13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</row>
    <row r="325" spans="1:28" x14ac:dyDescent="0.2">
      <c r="A325" s="6"/>
      <c r="B325" s="71"/>
      <c r="C325" s="22" t="str">
        <f t="shared" ref="C325" si="51">+C6</f>
        <v>SC1/SC5</v>
      </c>
      <c r="D325" s="22" t="str">
        <f>+D6</f>
        <v>SC3</v>
      </c>
      <c r="E325" s="22" t="str">
        <f>+E6</f>
        <v>SC2 ND</v>
      </c>
      <c r="F325" s="22" t="str">
        <f>+F6</f>
        <v>SC4</v>
      </c>
      <c r="G325" s="22" t="str">
        <f>+G6</f>
        <v>SC6</v>
      </c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</row>
    <row r="326" spans="1:28" x14ac:dyDescent="0.2">
      <c r="A326" s="6"/>
      <c r="B326" s="71"/>
      <c r="C326" s="26"/>
      <c r="D326" s="26"/>
      <c r="E326" s="26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</row>
    <row r="327" spans="1:28" x14ac:dyDescent="0.2">
      <c r="A327" s="6"/>
      <c r="B327" s="98" t="s">
        <v>63</v>
      </c>
      <c r="C327" s="14">
        <f>ROUND(+C273/$D$318,3)</f>
        <v>1.0109999999999999</v>
      </c>
      <c r="D327" s="196"/>
      <c r="E327" s="14">
        <f>ROUND(+E273/$D$318,3)</f>
        <v>0.86799999999999999</v>
      </c>
      <c r="F327" s="14">
        <f>ROUND(+F273/$D$318,3)</f>
        <v>0.625</v>
      </c>
      <c r="G327" s="14">
        <f>ROUND(+G273/$D$318,3)</f>
        <v>0.624</v>
      </c>
      <c r="H327" s="103"/>
      <c r="I327" s="103"/>
      <c r="J327" s="103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</row>
    <row r="328" spans="1:28" x14ac:dyDescent="0.2">
      <c r="A328" s="6"/>
      <c r="B328" s="99" t="s">
        <v>78</v>
      </c>
      <c r="C328" s="196"/>
      <c r="D328" s="14">
        <f>ROUND(+D274/$D$318,3)</f>
        <v>1.5980000000000001</v>
      </c>
      <c r="E328" s="196"/>
      <c r="F328" s="196"/>
      <c r="G328" s="196"/>
      <c r="H328" s="103"/>
      <c r="I328" s="103"/>
      <c r="J328" s="103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</row>
    <row r="329" spans="1:28" x14ac:dyDescent="0.2">
      <c r="A329" s="6"/>
      <c r="B329" s="99" t="s">
        <v>79</v>
      </c>
      <c r="C329" s="196"/>
      <c r="D329" s="14">
        <f>ROUND(+D275/$D$318,3)</f>
        <v>0.61099999999999999</v>
      </c>
      <c r="E329" s="196"/>
      <c r="F329" s="196"/>
      <c r="G329" s="196"/>
      <c r="H329" s="103"/>
      <c r="I329" s="103"/>
      <c r="J329" s="103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</row>
    <row r="330" spans="1:28" x14ac:dyDescent="0.2">
      <c r="A330" s="6"/>
      <c r="B330" s="71"/>
      <c r="C330" s="196"/>
      <c r="D330" s="196"/>
      <c r="E330" s="196"/>
      <c r="F330" s="196"/>
      <c r="G330" s="196"/>
      <c r="H330" s="103"/>
      <c r="I330" s="103"/>
      <c r="J330" s="103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</row>
    <row r="331" spans="1:28" x14ac:dyDescent="0.2">
      <c r="A331" s="6"/>
      <c r="B331" s="15"/>
      <c r="C331" s="71"/>
      <c r="D331" s="196"/>
      <c r="E331" s="196"/>
      <c r="F331" s="196"/>
      <c r="G331" s="196"/>
      <c r="H331" s="103"/>
      <c r="I331" s="103"/>
      <c r="J331" s="103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</row>
    <row r="332" spans="1:28" x14ac:dyDescent="0.2">
      <c r="A332" s="6"/>
      <c r="B332" s="16" t="s">
        <v>164</v>
      </c>
      <c r="C332" s="17">
        <f>C276-C273</f>
        <v>-19.460190000000004</v>
      </c>
      <c r="D332" s="196"/>
      <c r="E332" s="196"/>
      <c r="F332" s="196"/>
      <c r="G332" s="196"/>
      <c r="H332" s="103"/>
      <c r="I332" s="103"/>
      <c r="J332" s="103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</row>
    <row r="333" spans="1:28" x14ac:dyDescent="0.2">
      <c r="A333" s="6"/>
      <c r="B333" s="16" t="s">
        <v>165</v>
      </c>
      <c r="C333" s="17">
        <f>C277-C273</f>
        <v>14.149810000000002</v>
      </c>
      <c r="D333" s="196"/>
      <c r="E333" s="196"/>
      <c r="F333" s="196"/>
      <c r="G333" s="196"/>
      <c r="H333" s="103"/>
      <c r="I333" s="103"/>
      <c r="J333" s="103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</row>
    <row r="334" spans="1:28" x14ac:dyDescent="0.2">
      <c r="A334" s="6"/>
      <c r="B334" s="196"/>
      <c r="C334" s="196"/>
      <c r="D334" s="196"/>
      <c r="E334" s="196"/>
      <c r="F334" s="196"/>
      <c r="G334" s="196"/>
      <c r="H334" s="103"/>
      <c r="I334" s="103"/>
      <c r="J334" s="103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</row>
    <row r="335" spans="1:28" x14ac:dyDescent="0.2">
      <c r="A335" s="6"/>
      <c r="B335" s="71"/>
      <c r="C335" s="196"/>
      <c r="D335" s="196"/>
      <c r="E335" s="196"/>
      <c r="F335" s="196"/>
      <c r="G335" s="196"/>
      <c r="H335" s="103"/>
      <c r="I335" s="103"/>
      <c r="J335" s="103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</row>
    <row r="336" spans="1:28" x14ac:dyDescent="0.2">
      <c r="A336" s="6"/>
      <c r="B336" s="98" t="s">
        <v>69</v>
      </c>
      <c r="C336" s="14">
        <f>ROUND(+C280/$D$318,3)</f>
        <v>1.216</v>
      </c>
      <c r="D336" s="198"/>
      <c r="E336" s="14">
        <f>ROUND(+E280/$D$318,3)</f>
        <v>0.93400000000000005</v>
      </c>
      <c r="F336" s="14">
        <f>ROUND(+F280/$D$318,3)</f>
        <v>0.746</v>
      </c>
      <c r="G336" s="14">
        <f>ROUND(+G280/$D$318,3)</f>
        <v>0.74099999999999999</v>
      </c>
      <c r="H336" s="103"/>
      <c r="I336" s="103"/>
      <c r="J336" s="103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</row>
    <row r="337" spans="1:28" x14ac:dyDescent="0.2">
      <c r="A337" s="6"/>
      <c r="B337" s="99" t="s">
        <v>78</v>
      </c>
      <c r="C337" s="196"/>
      <c r="D337" s="14">
        <f>ROUND(+D281/$D$318,3)</f>
        <v>1.5169999999999999</v>
      </c>
      <c r="E337" s="196"/>
      <c r="F337" s="196"/>
      <c r="G337" s="196"/>
      <c r="H337" s="103"/>
      <c r="I337" s="103"/>
      <c r="J337" s="103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</row>
    <row r="338" spans="1:28" x14ac:dyDescent="0.2">
      <c r="A338" s="6"/>
      <c r="B338" s="99" t="s">
        <v>79</v>
      </c>
      <c r="C338" s="196"/>
      <c r="D338" s="14">
        <f>ROUND(+D282/$D$318,3)</f>
        <v>0.752</v>
      </c>
      <c r="E338" s="196"/>
      <c r="F338" s="196"/>
      <c r="G338" s="196"/>
      <c r="H338" s="103"/>
      <c r="I338" s="103"/>
      <c r="J338" s="103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</row>
    <row r="339" spans="1:28" x14ac:dyDescent="0.2">
      <c r="A339" s="6"/>
      <c r="B339" s="71"/>
      <c r="C339" s="103"/>
      <c r="D339" s="103"/>
      <c r="E339" s="103"/>
      <c r="F339" s="103"/>
      <c r="G339" s="103"/>
      <c r="H339" s="103"/>
      <c r="I339" s="103"/>
      <c r="J339" s="103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</row>
    <row r="340" spans="1:28" x14ac:dyDescent="0.2">
      <c r="A340" s="6"/>
      <c r="B340" s="71" t="s">
        <v>166</v>
      </c>
      <c r="C340" s="198">
        <f>ROUND(+C284/$D$318,3)</f>
        <v>1.127</v>
      </c>
      <c r="D340" s="198">
        <f>ROUND(+D284/$D$318,3)</f>
        <v>1.016</v>
      </c>
      <c r="E340" s="198">
        <f>ROUND(,3)+E284/$D$318</f>
        <v>0.91358512211625864</v>
      </c>
      <c r="F340" s="198">
        <f>ROUND(+F284/$D$318,3)</f>
        <v>0.71199999999999997</v>
      </c>
      <c r="G340" s="198">
        <f>ROUND(+G284/$D$318,3)</f>
        <v>0.70699999999999996</v>
      </c>
      <c r="H340" s="103"/>
      <c r="I340" s="103"/>
      <c r="J340" s="103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</row>
    <row r="341" spans="1:28" x14ac:dyDescent="0.2">
      <c r="A341" s="6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</row>
    <row r="342" spans="1:28" x14ac:dyDescent="0.2">
      <c r="A342" s="6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</row>
    <row r="343" spans="1:28" x14ac:dyDescent="0.2">
      <c r="A343" s="6"/>
      <c r="B343" s="13" t="s">
        <v>167</v>
      </c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</row>
    <row r="344" spans="1:28" x14ac:dyDescent="0.2">
      <c r="A344" s="6"/>
      <c r="B344" s="7" t="s">
        <v>181</v>
      </c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</row>
    <row r="345" spans="1:28" x14ac:dyDescent="0.2">
      <c r="A345" s="6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</row>
    <row r="346" spans="1:28" x14ac:dyDescent="0.2">
      <c r="A346" s="6"/>
      <c r="B346" s="71"/>
      <c r="C346" s="15" t="str">
        <f>+H6</f>
        <v>SC2 Dem</v>
      </c>
      <c r="D346" s="15" t="str">
        <f>+C346</f>
        <v>SC2 Dem</v>
      </c>
      <c r="E346" s="26"/>
      <c r="F346" s="26"/>
      <c r="G346" s="200" t="s">
        <v>131</v>
      </c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</row>
    <row r="347" spans="1:28" x14ac:dyDescent="0.2">
      <c r="A347" s="6"/>
      <c r="B347" s="71"/>
      <c r="C347" s="22" t="s">
        <v>169</v>
      </c>
      <c r="D347" s="207" t="s">
        <v>170</v>
      </c>
      <c r="E347" s="26"/>
      <c r="F347" s="26"/>
      <c r="G347" s="147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</row>
    <row r="348" spans="1:28" x14ac:dyDescent="0.2">
      <c r="A348" s="6"/>
      <c r="B348" s="98" t="s">
        <v>63</v>
      </c>
      <c r="C348" s="14">
        <f>ROUND(+C305/$D$318,3)</f>
        <v>0.93899999999999995</v>
      </c>
      <c r="D348" s="208">
        <f>C294-C305</f>
        <v>-17.004220233930447</v>
      </c>
      <c r="E348" s="71"/>
      <c r="F348" s="109"/>
      <c r="G348" s="175" t="s">
        <v>132</v>
      </c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</row>
    <row r="349" spans="1:28" x14ac:dyDescent="0.2">
      <c r="A349" s="6"/>
      <c r="B349" s="99"/>
      <c r="C349" s="198"/>
      <c r="D349" s="208"/>
      <c r="E349" s="197"/>
      <c r="F349" s="203"/>
      <c r="G349" s="147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</row>
    <row r="350" spans="1:28" x14ac:dyDescent="0.2">
      <c r="A350" s="6"/>
      <c r="B350" s="99"/>
      <c r="C350" s="198"/>
      <c r="D350" s="208"/>
      <c r="E350" s="197"/>
      <c r="F350" s="203"/>
      <c r="G350" s="147"/>
      <c r="H350" s="22"/>
      <c r="I350" s="22" t="str">
        <f t="shared" ref="I350:J350" si="52">I296</f>
        <v>&lt; 5 kW</v>
      </c>
      <c r="J350" s="22" t="str">
        <f t="shared" si="52"/>
        <v>&gt; 5 kW</v>
      </c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</row>
    <row r="351" spans="1:28" x14ac:dyDescent="0.2">
      <c r="A351" s="6"/>
      <c r="B351" s="71"/>
      <c r="C351" s="198"/>
      <c r="D351" s="208"/>
      <c r="E351" s="196"/>
      <c r="F351" s="203"/>
      <c r="G351" s="147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</row>
    <row r="352" spans="1:28" x14ac:dyDescent="0.2">
      <c r="A352" s="6"/>
      <c r="B352" s="98" t="s">
        <v>69</v>
      </c>
      <c r="C352" s="14">
        <f>ROUND(+C309/$D$318,3)</f>
        <v>1.0249999999999999</v>
      </c>
      <c r="D352" s="208">
        <f>C298-C309</f>
        <v>-16.823805250567432</v>
      </c>
      <c r="E352" s="197"/>
      <c r="F352" s="203"/>
      <c r="G352" s="204" t="s">
        <v>97</v>
      </c>
      <c r="H352" s="100"/>
      <c r="I352" s="100">
        <f t="shared" ref="I352:J353" si="53">I298</f>
        <v>1.3560000000000001</v>
      </c>
      <c r="J352" s="100">
        <f t="shared" si="53"/>
        <v>4.6970000000000001</v>
      </c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</row>
    <row r="353" spans="1:28" x14ac:dyDescent="0.2">
      <c r="A353" s="6"/>
      <c r="B353" s="99"/>
      <c r="C353" s="198"/>
      <c r="D353" s="209"/>
      <c r="E353" s="197"/>
      <c r="F353" s="203"/>
      <c r="G353" s="204" t="s">
        <v>103</v>
      </c>
      <c r="H353" s="100"/>
      <c r="I353" s="100">
        <f t="shared" si="53"/>
        <v>1.339</v>
      </c>
      <c r="J353" s="100">
        <f t="shared" si="53"/>
        <v>4.7329999999999997</v>
      </c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</row>
    <row r="354" spans="1:28" x14ac:dyDescent="0.2">
      <c r="A354" s="6"/>
      <c r="B354" s="99"/>
      <c r="C354" s="198"/>
      <c r="D354" s="209"/>
      <c r="E354" s="197"/>
      <c r="F354" s="203"/>
      <c r="G354" s="204"/>
      <c r="H354" s="81"/>
      <c r="I354" s="95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</row>
    <row r="355" spans="1:28" x14ac:dyDescent="0.2">
      <c r="A355" s="6"/>
      <c r="B355" s="71"/>
      <c r="C355" s="199"/>
      <c r="D355" s="209"/>
      <c r="E355" s="103"/>
      <c r="F355" s="71"/>
      <c r="G355" s="205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</row>
    <row r="356" spans="1:28" x14ac:dyDescent="0.2">
      <c r="A356" s="6"/>
      <c r="B356" s="71" t="s">
        <v>150</v>
      </c>
      <c r="C356" s="14">
        <f>ROUND(+C313/$D$318,3)</f>
        <v>0.99399999999999999</v>
      </c>
      <c r="D356" s="209"/>
      <c r="E356" s="103"/>
      <c r="F356" s="71"/>
      <c r="G356" s="204"/>
      <c r="H356" s="81"/>
      <c r="I356" s="95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</row>
    <row r="357" spans="1:28" x14ac:dyDescent="0.2">
      <c r="A357" s="6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</row>
    <row r="358" spans="1:28" x14ac:dyDescent="0.2">
      <c r="A358" s="6"/>
      <c r="B358" s="71"/>
      <c r="C358" s="103"/>
      <c r="D358" s="71"/>
      <c r="E358" s="103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</row>
    <row r="359" spans="1:28" x14ac:dyDescent="0.2">
      <c r="A359" s="156" t="s">
        <v>182</v>
      </c>
      <c r="B359" s="13" t="s">
        <v>183</v>
      </c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</row>
    <row r="360" spans="1:28" x14ac:dyDescent="0.2">
      <c r="A360" s="6"/>
      <c r="B360" s="13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</row>
    <row r="361" spans="1:28" x14ac:dyDescent="0.2">
      <c r="A361" s="6"/>
      <c r="B361" s="71"/>
      <c r="C361" s="22" t="str">
        <f t="shared" ref="C361:H361" si="54">C6</f>
        <v>SC1/SC5</v>
      </c>
      <c r="D361" s="22" t="str">
        <f t="shared" si="54"/>
        <v>SC3</v>
      </c>
      <c r="E361" s="22" t="str">
        <f t="shared" si="54"/>
        <v>SC2 ND</v>
      </c>
      <c r="F361" s="22" t="str">
        <f t="shared" si="54"/>
        <v>SC4</v>
      </c>
      <c r="G361" s="22" t="str">
        <f t="shared" si="54"/>
        <v>SC6</v>
      </c>
      <c r="H361" s="22" t="str">
        <f t="shared" si="54"/>
        <v>SC2 Dem</v>
      </c>
      <c r="I361" s="26"/>
      <c r="J361" s="26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</row>
    <row r="362" spans="1:28" x14ac:dyDescent="0.2">
      <c r="A362" s="6"/>
      <c r="B362" s="71" t="s">
        <v>184</v>
      </c>
      <c r="C362" s="71"/>
      <c r="D362" s="71"/>
      <c r="E362" s="71"/>
      <c r="F362" s="71"/>
      <c r="G362" s="71"/>
      <c r="H362" s="71"/>
      <c r="I362" s="71"/>
      <c r="J362" s="71"/>
      <c r="K362" s="71"/>
      <c r="L362" s="109"/>
      <c r="M362" s="109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</row>
    <row r="363" spans="1:28" x14ac:dyDescent="0.2">
      <c r="A363" s="6"/>
      <c r="B363" s="157" t="s">
        <v>68</v>
      </c>
      <c r="C363" s="11">
        <f>(C184*SUM(C49:C52)*E156+C185*SUM(C49:C52)*E157)/1000</f>
        <v>24397.068674901038</v>
      </c>
      <c r="D363" s="19">
        <f>+D181*SUM(D49:D52)/1000</f>
        <v>6.7525387843000262</v>
      </c>
      <c r="E363" s="19">
        <f>+E181*SUM(E49:E52)/1000</f>
        <v>474.40916627701324</v>
      </c>
      <c r="F363" s="19">
        <f>+F181*SUM(F49:F52)/1000</f>
        <v>56.720009258692905</v>
      </c>
      <c r="G363" s="19">
        <f>+G181*SUM(G49:G52)/1000</f>
        <v>62.045779337342729</v>
      </c>
      <c r="H363" s="11">
        <v>8651.3330861940922</v>
      </c>
      <c r="I363" s="11"/>
      <c r="J363" s="19"/>
      <c r="K363" s="71"/>
      <c r="L363" s="109"/>
      <c r="M363" s="109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</row>
    <row r="364" spans="1:28" x14ac:dyDescent="0.2">
      <c r="A364" s="6"/>
      <c r="B364" s="157" t="s">
        <v>61</v>
      </c>
      <c r="C364" s="11">
        <f t="shared" ref="C364" si="55">+C188*SUM(C44:C48,C53:C55)/1000</f>
        <v>37427.226217233001</v>
      </c>
      <c r="D364" s="19">
        <f>+D188*SUM(D44:D48,D53:D55)/1000</f>
        <v>16.400636366415338</v>
      </c>
      <c r="E364" s="19">
        <f>+E188*SUM(E44:E48,E53:E55)/1000</f>
        <v>1123.0324993084764</v>
      </c>
      <c r="F364" s="19">
        <f>+F188*SUM(F44:F48,F53:F55)/1000</f>
        <v>171.67415571442862</v>
      </c>
      <c r="G364" s="19">
        <f>+G188*SUM(G44:G48,G53:G55)/1000</f>
        <v>183.8249623865764</v>
      </c>
      <c r="H364" s="11">
        <v>17145.795683117205</v>
      </c>
      <c r="I364" s="11"/>
      <c r="J364" s="19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</row>
    <row r="365" spans="1:28" x14ac:dyDescent="0.2">
      <c r="A365" s="6"/>
      <c r="B365" s="157" t="s">
        <v>35</v>
      </c>
      <c r="C365" s="102">
        <f>+C364+C363</f>
        <v>61824.294892134043</v>
      </c>
      <c r="D365" s="96">
        <f t="shared" ref="D365:H365" si="56">+D364+D363</f>
        <v>23.153175150715363</v>
      </c>
      <c r="E365" s="96">
        <f t="shared" si="56"/>
        <v>1597.4416655854898</v>
      </c>
      <c r="F365" s="96">
        <f t="shared" si="56"/>
        <v>228.39416497312152</v>
      </c>
      <c r="G365" s="19">
        <f t="shared" si="56"/>
        <v>245.87074172391914</v>
      </c>
      <c r="H365" s="19">
        <f t="shared" si="56"/>
        <v>25797.128769311297</v>
      </c>
      <c r="I365" s="19"/>
      <c r="J365" s="19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</row>
    <row r="366" spans="1:28" x14ac:dyDescent="0.2">
      <c r="A366" s="6"/>
      <c r="B366" s="157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</row>
    <row r="367" spans="1:28" x14ac:dyDescent="0.2">
      <c r="A367" s="6"/>
      <c r="B367" s="71" t="s">
        <v>185</v>
      </c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</row>
    <row r="368" spans="1:28" x14ac:dyDescent="0.2">
      <c r="A368" s="6"/>
      <c r="B368" s="157" t="s">
        <v>68</v>
      </c>
      <c r="C368" s="20">
        <f t="shared" ref="C368:H368" si="57">+C363/C365</f>
        <v>0.39461944074683009</v>
      </c>
      <c r="D368" s="20">
        <f t="shared" si="57"/>
        <v>0.29164633966375852</v>
      </c>
      <c r="E368" s="20">
        <f t="shared" si="57"/>
        <v>0.29698058871097127</v>
      </c>
      <c r="F368" s="20">
        <f t="shared" si="57"/>
        <v>0.24834263723579794</v>
      </c>
      <c r="G368" s="20">
        <f t="shared" si="57"/>
        <v>0.25235121064958621</v>
      </c>
      <c r="H368" s="20">
        <f t="shared" si="57"/>
        <v>0.33536030941884759</v>
      </c>
      <c r="I368" s="20"/>
      <c r="J368" s="20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</row>
    <row r="369" spans="1:28" x14ac:dyDescent="0.2">
      <c r="A369" s="6"/>
      <c r="B369" s="157" t="s">
        <v>61</v>
      </c>
      <c r="C369" s="20">
        <f t="shared" ref="C369:H369" si="58">+C364/C365</f>
        <v>0.60538055925316991</v>
      </c>
      <c r="D369" s="20">
        <f t="shared" si="58"/>
        <v>0.70835366033624148</v>
      </c>
      <c r="E369" s="20">
        <f t="shared" si="58"/>
        <v>0.70301941128902867</v>
      </c>
      <c r="F369" s="20">
        <f t="shared" si="58"/>
        <v>0.75165736276420214</v>
      </c>
      <c r="G369" s="20">
        <f t="shared" si="58"/>
        <v>0.74764878935041379</v>
      </c>
      <c r="H369" s="20">
        <f t="shared" si="58"/>
        <v>0.66463969058115235</v>
      </c>
      <c r="I369" s="20"/>
      <c r="J369" s="20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</row>
    <row r="370" spans="1:28" x14ac:dyDescent="0.2">
      <c r="A370" s="6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</row>
    <row r="371" spans="1:28" x14ac:dyDescent="0.2">
      <c r="A371" s="6"/>
      <c r="B371" s="71" t="s">
        <v>186</v>
      </c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</row>
    <row r="372" spans="1:28" x14ac:dyDescent="0.2">
      <c r="A372" s="6"/>
      <c r="B372" s="157" t="s">
        <v>68</v>
      </c>
      <c r="C372" s="21">
        <f>+SUM(C363:H363)</f>
        <v>33648.329254752476</v>
      </c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</row>
    <row r="373" spans="1:28" x14ac:dyDescent="0.2">
      <c r="A373" s="6"/>
      <c r="B373" s="157" t="s">
        <v>61</v>
      </c>
      <c r="C373" s="21">
        <f>+SUM(C364:H364)</f>
        <v>56067.954154126106</v>
      </c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</row>
    <row r="374" spans="1:28" x14ac:dyDescent="0.2">
      <c r="A374" s="6"/>
      <c r="B374" s="157" t="s">
        <v>35</v>
      </c>
      <c r="C374" s="96">
        <f>+C373+C372</f>
        <v>89716.283408878575</v>
      </c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</row>
    <row r="375" spans="1:28" x14ac:dyDescent="0.2">
      <c r="A375" s="6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</row>
    <row r="376" spans="1:28" x14ac:dyDescent="0.2">
      <c r="A376" s="6"/>
      <c r="B376" s="71" t="s">
        <v>187</v>
      </c>
      <c r="C376" s="71"/>
      <c r="D376" s="71" t="s">
        <v>188</v>
      </c>
      <c r="E376" s="71"/>
      <c r="F376" s="71"/>
      <c r="G376" s="71"/>
      <c r="H376" s="71"/>
      <c r="I376" s="311" t="s">
        <v>189</v>
      </c>
      <c r="J376" s="31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</row>
    <row r="377" spans="1:28" x14ac:dyDescent="0.2">
      <c r="A377" s="6"/>
      <c r="B377" s="157" t="s">
        <v>68</v>
      </c>
      <c r="C377" s="20">
        <f>+C372/C374</f>
        <v>0.37505264346943001</v>
      </c>
      <c r="D377" s="71"/>
      <c r="E377" s="12">
        <f>+C372/SUMPRODUCT(L48:Q48,C81:H81)*1000</f>
        <v>75.135678373487764</v>
      </c>
      <c r="F377" s="71" t="s">
        <v>190</v>
      </c>
      <c r="G377" s="71"/>
      <c r="H377" s="71"/>
      <c r="I377" s="157" t="s">
        <v>68</v>
      </c>
      <c r="J377" s="210">
        <f>ROUND(E377/$D$223,4)</f>
        <v>0.93169999999999997</v>
      </c>
      <c r="K377" s="210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</row>
    <row r="378" spans="1:28" x14ac:dyDescent="0.2">
      <c r="A378" s="6"/>
      <c r="B378" s="157" t="s">
        <v>61</v>
      </c>
      <c r="C378" s="20">
        <f>+C373/C374</f>
        <v>0.6249473565305701</v>
      </c>
      <c r="D378" s="71"/>
      <c r="E378" s="12">
        <f>+C373/SUMPRODUCT(L44:Q44,C81:H81)*1000</f>
        <v>84.354475414349878</v>
      </c>
      <c r="F378" s="71" t="s">
        <v>190</v>
      </c>
      <c r="G378" s="71"/>
      <c r="H378" s="71"/>
      <c r="I378" s="157" t="s">
        <v>61</v>
      </c>
      <c r="J378" s="210">
        <f>ROUND(E378/$D$223,4)</f>
        <v>1.046</v>
      </c>
      <c r="K378" s="210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</row>
    <row r="379" spans="1:28" x14ac:dyDescent="0.2">
      <c r="A379" s="6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</row>
    <row r="380" spans="1:28" x14ac:dyDescent="0.2">
      <c r="A380" s="6"/>
      <c r="B380" s="71"/>
      <c r="C380" s="103"/>
      <c r="D380" s="71"/>
      <c r="E380" s="103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</row>
    <row r="381" spans="1:28" ht="13.5" thickBot="1" x14ac:dyDescent="0.25">
      <c r="A381" s="156" t="s">
        <v>191</v>
      </c>
      <c r="B381" s="18" t="s">
        <v>192</v>
      </c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</row>
    <row r="382" spans="1:28" x14ac:dyDescent="0.2">
      <c r="A382" s="6"/>
      <c r="B382" s="13"/>
      <c r="C382" s="71"/>
      <c r="D382" s="71"/>
      <c r="E382" s="71"/>
      <c r="F382" s="71"/>
      <c r="G382" s="71"/>
      <c r="H382" s="71"/>
      <c r="I382" s="71"/>
      <c r="J382" s="71"/>
      <c r="K382" s="189" t="s">
        <v>153</v>
      </c>
      <c r="L382" s="190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</row>
    <row r="383" spans="1:28" x14ac:dyDescent="0.2">
      <c r="A383" s="6"/>
      <c r="B383" s="71"/>
      <c r="C383" s="22" t="str">
        <f t="shared" ref="C383:H383" si="59">C6</f>
        <v>SC1/SC5</v>
      </c>
      <c r="D383" s="22" t="str">
        <f t="shared" si="59"/>
        <v>SC3</v>
      </c>
      <c r="E383" s="22" t="str">
        <f t="shared" si="59"/>
        <v>SC2 ND</v>
      </c>
      <c r="F383" s="22" t="str">
        <f t="shared" si="59"/>
        <v>SC4</v>
      </c>
      <c r="G383" s="22" t="str">
        <f t="shared" si="59"/>
        <v>SC6</v>
      </c>
      <c r="H383" s="22" t="str">
        <f t="shared" si="59"/>
        <v>SC2 Dem</v>
      </c>
      <c r="I383" s="22"/>
      <c r="J383" s="26"/>
      <c r="K383" s="191"/>
      <c r="L383" s="192" t="s">
        <v>162</v>
      </c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</row>
    <row r="384" spans="1:28" x14ac:dyDescent="0.2">
      <c r="A384" s="6"/>
      <c r="B384" s="71" t="s">
        <v>184</v>
      </c>
      <c r="C384" s="71"/>
      <c r="D384" s="71"/>
      <c r="E384" s="71"/>
      <c r="F384" s="71"/>
      <c r="G384" s="71"/>
      <c r="H384" s="71"/>
      <c r="I384" s="71"/>
      <c r="J384" s="71"/>
      <c r="K384" s="191" t="s">
        <v>68</v>
      </c>
      <c r="L384" s="193">
        <v>72672.947005293594</v>
      </c>
      <c r="M384" s="71"/>
      <c r="N384" s="11">
        <v>8429.1397260492577</v>
      </c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</row>
    <row r="385" spans="1:28" ht="13.5" thickBot="1" x14ac:dyDescent="0.25">
      <c r="A385" s="6"/>
      <c r="B385" s="157" t="s">
        <v>68</v>
      </c>
      <c r="C385" s="11">
        <f>(C276*SUM(C49:C52)*E156+C277*SUM(C49:C52)*E157)/1000</f>
        <v>19451.777512635352</v>
      </c>
      <c r="D385" s="11">
        <f>+D273*SUM(D49:D52)/1000</f>
        <v>5.7361143398555816</v>
      </c>
      <c r="E385" s="11">
        <f>+E273*SUM(E49:E52)/1000</f>
        <v>410.29759511853069</v>
      </c>
      <c r="F385" s="11">
        <f>+F273*SUM(F49:F52)/1000</f>
        <v>56.720009258692905</v>
      </c>
      <c r="G385" s="11">
        <f>+G273*SUM(G49:G52)/1000</f>
        <v>62.045779337342729</v>
      </c>
      <c r="H385" s="11">
        <f>(C294*SUM(H49:H52)/1000)+($I298*($L$384/4*H144)/1000)+($J298*($L$389/4*H144)/1000)</f>
        <v>7337.5075768607594</v>
      </c>
      <c r="I385" s="11"/>
      <c r="J385" s="11"/>
      <c r="K385" s="194" t="s">
        <v>61</v>
      </c>
      <c r="L385" s="195">
        <v>150341.18034097413</v>
      </c>
      <c r="M385" s="71"/>
      <c r="N385" s="11">
        <v>15486.148409442889</v>
      </c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</row>
    <row r="386" spans="1:28" ht="13.5" thickBot="1" x14ac:dyDescent="0.25">
      <c r="A386" s="6"/>
      <c r="B386" s="157" t="s">
        <v>61</v>
      </c>
      <c r="C386" s="11">
        <f t="shared" ref="C386" si="60">+C280*SUM(C44:C48,C53:C55)/1000</f>
        <v>30895.279475498679</v>
      </c>
      <c r="D386" s="11">
        <f>+D280*SUM(D44:D48,D53:D55)/1000</f>
        <v>14.01322081085978</v>
      </c>
      <c r="E386" s="11">
        <f>+E280*SUM(E44:E48,E53:E55)/1000</f>
        <v>980.57353046695903</v>
      </c>
      <c r="F386" s="11">
        <f>+F280*SUM(F44:F48,F53:F55)/1000</f>
        <v>171.67415571442862</v>
      </c>
      <c r="G386" s="11">
        <f>+G280*SUM(G44:G48,G53:G55)/1000</f>
        <v>183.8249623865764</v>
      </c>
      <c r="H386" s="11">
        <f>(C298*SUM(H44:H48,H53:H55)/1000)+($I299*($L$385/8*H145)/1000)+($J299*($L$390/8*H145)/1000)</f>
        <v>14518.144664450539</v>
      </c>
      <c r="I386" s="11"/>
      <c r="J386" s="11"/>
      <c r="K386" s="71"/>
      <c r="L386" s="71"/>
      <c r="M386" s="71"/>
      <c r="N386" s="11">
        <v>23915.288135492148</v>
      </c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</row>
    <row r="387" spans="1:28" x14ac:dyDescent="0.2">
      <c r="A387" s="6"/>
      <c r="B387" s="157" t="s">
        <v>35</v>
      </c>
      <c r="C387" s="96">
        <f t="shared" ref="C387:H387" si="61">+C386+C385</f>
        <v>50347.056988134034</v>
      </c>
      <c r="D387" s="96">
        <f t="shared" si="61"/>
        <v>19.74933515071536</v>
      </c>
      <c r="E387" s="96">
        <f t="shared" si="61"/>
        <v>1390.8711255854896</v>
      </c>
      <c r="F387" s="96">
        <f t="shared" si="61"/>
        <v>228.39416497312152</v>
      </c>
      <c r="G387" s="19">
        <f t="shared" si="61"/>
        <v>245.87074172391914</v>
      </c>
      <c r="H387" s="19">
        <f t="shared" si="61"/>
        <v>21855.652241311298</v>
      </c>
      <c r="I387" s="19"/>
      <c r="J387" s="19"/>
      <c r="K387" s="189" t="s">
        <v>153</v>
      </c>
      <c r="L387" s="190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</row>
    <row r="388" spans="1:28" x14ac:dyDescent="0.2">
      <c r="A388" s="6"/>
      <c r="B388" s="157"/>
      <c r="C388" s="71"/>
      <c r="D388" s="71"/>
      <c r="E388" s="71"/>
      <c r="F388" s="71"/>
      <c r="G388" s="71"/>
      <c r="H388" s="71"/>
      <c r="I388" s="71"/>
      <c r="J388" s="71"/>
      <c r="K388" s="191"/>
      <c r="L388" s="192" t="s">
        <v>156</v>
      </c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</row>
    <row r="389" spans="1:28" x14ac:dyDescent="0.2">
      <c r="A389" s="6"/>
      <c r="B389" s="71" t="s">
        <v>185</v>
      </c>
      <c r="C389" s="71"/>
      <c r="D389" s="71"/>
      <c r="E389" s="71"/>
      <c r="F389" s="71"/>
      <c r="G389" s="71"/>
      <c r="H389" s="71"/>
      <c r="I389" s="71"/>
      <c r="J389" s="71"/>
      <c r="K389" s="191" t="s">
        <v>68</v>
      </c>
      <c r="L389" s="193">
        <v>341438.25299470645</v>
      </c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</row>
    <row r="390" spans="1:28" ht="13.5" thickBot="1" x14ac:dyDescent="0.25">
      <c r="A390" s="6"/>
      <c r="B390" s="157" t="s">
        <v>68</v>
      </c>
      <c r="C390" s="20">
        <f t="shared" ref="C390:H390" si="62">+C385/C387</f>
        <v>0.38635381442891115</v>
      </c>
      <c r="D390" s="20">
        <f t="shared" si="62"/>
        <v>0.29044594646254751</v>
      </c>
      <c r="E390" s="20">
        <f t="shared" si="62"/>
        <v>0.29499325104316565</v>
      </c>
      <c r="F390" s="20">
        <f t="shared" si="62"/>
        <v>0.24834263723579794</v>
      </c>
      <c r="G390" s="20">
        <f t="shared" si="62"/>
        <v>0.25235121064958621</v>
      </c>
      <c r="H390" s="20">
        <f t="shared" si="62"/>
        <v>0.33572585690174411</v>
      </c>
      <c r="I390" s="20"/>
      <c r="J390" s="20"/>
      <c r="K390" s="194" t="s">
        <v>61</v>
      </c>
      <c r="L390" s="195">
        <v>606342.76965902583</v>
      </c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</row>
    <row r="391" spans="1:28" x14ac:dyDescent="0.2">
      <c r="A391" s="6"/>
      <c r="B391" s="157" t="s">
        <v>61</v>
      </c>
      <c r="C391" s="20">
        <f t="shared" ref="C391:H391" si="63">+C386/C387</f>
        <v>0.61364618557108874</v>
      </c>
      <c r="D391" s="20">
        <f t="shared" si="63"/>
        <v>0.70955405353745249</v>
      </c>
      <c r="E391" s="20">
        <f t="shared" si="63"/>
        <v>0.70500674895683446</v>
      </c>
      <c r="F391" s="20">
        <f t="shared" si="63"/>
        <v>0.75165736276420214</v>
      </c>
      <c r="G391" s="20">
        <f t="shared" si="63"/>
        <v>0.74764878935041379</v>
      </c>
      <c r="H391" s="20">
        <f t="shared" si="63"/>
        <v>0.66427414309825594</v>
      </c>
      <c r="I391" s="20"/>
      <c r="J391" s="20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</row>
    <row r="392" spans="1:28" x14ac:dyDescent="0.2">
      <c r="A392" s="6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</row>
    <row r="393" spans="1:28" x14ac:dyDescent="0.2">
      <c r="A393" s="6"/>
      <c r="B393" s="71" t="s">
        <v>186</v>
      </c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</row>
    <row r="394" spans="1:28" x14ac:dyDescent="0.2">
      <c r="A394" s="6"/>
      <c r="B394" s="157" t="s">
        <v>68</v>
      </c>
      <c r="C394" s="21">
        <f>+SUM(C385:H385)</f>
        <v>27324.084587550533</v>
      </c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</row>
    <row r="395" spans="1:28" x14ac:dyDescent="0.2">
      <c r="A395" s="6"/>
      <c r="B395" s="157" t="s">
        <v>61</v>
      </c>
      <c r="C395" s="21">
        <f>+SUM(C386:H386)</f>
        <v>46763.510009328042</v>
      </c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</row>
    <row r="396" spans="1:28" x14ac:dyDescent="0.2">
      <c r="A396" s="6"/>
      <c r="B396" s="157" t="s">
        <v>35</v>
      </c>
      <c r="C396" s="96">
        <f>+C395+C394</f>
        <v>74087.594596878567</v>
      </c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</row>
    <row r="397" spans="1:28" x14ac:dyDescent="0.2">
      <c r="A397" s="6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</row>
    <row r="398" spans="1:28" x14ac:dyDescent="0.2">
      <c r="A398" s="6"/>
      <c r="B398" s="71" t="s">
        <v>187</v>
      </c>
      <c r="C398" s="71"/>
      <c r="D398" s="71" t="s">
        <v>188</v>
      </c>
      <c r="E398" s="71"/>
      <c r="F398" s="71"/>
      <c r="G398" s="71"/>
      <c r="H398" s="71"/>
      <c r="I398" s="311" t="s">
        <v>189</v>
      </c>
      <c r="J398" s="31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</row>
    <row r="399" spans="1:28" x14ac:dyDescent="0.2">
      <c r="A399" s="6"/>
      <c r="B399" s="157" t="s">
        <v>68</v>
      </c>
      <c r="C399" s="20">
        <f>+C394/C396</f>
        <v>0.36880782452480571</v>
      </c>
      <c r="D399" s="71"/>
      <c r="E399" s="12">
        <f>+C394/SUMPRODUCT(L48:Q48,C81:H81)*1000</f>
        <v>61.013835661103563</v>
      </c>
      <c r="F399" s="71" t="s">
        <v>190</v>
      </c>
      <c r="G399" s="71"/>
      <c r="H399" s="71"/>
      <c r="I399" s="157" t="s">
        <v>68</v>
      </c>
      <c r="J399" s="210">
        <f>ROUND(E399/$D$318,4)</f>
        <v>0.90429999999999999</v>
      </c>
      <c r="K399" s="21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</row>
    <row r="400" spans="1:28" x14ac:dyDescent="0.2">
      <c r="A400" s="6"/>
      <c r="B400" s="157" t="s">
        <v>61</v>
      </c>
      <c r="C400" s="20">
        <f>+C395/C396</f>
        <v>0.63119217547519446</v>
      </c>
      <c r="D400" s="71"/>
      <c r="E400" s="12">
        <f>+C395/SUMPRODUCT(L44:Q44,C81:H81)*1000</f>
        <v>70.355899637908777</v>
      </c>
      <c r="F400" s="71" t="s">
        <v>190</v>
      </c>
      <c r="G400" s="71"/>
      <c r="H400" s="71"/>
      <c r="I400" s="157" t="s">
        <v>61</v>
      </c>
      <c r="J400" s="210">
        <f>ROUND(E400/$D$318,4)</f>
        <v>1.0427</v>
      </c>
      <c r="K400" s="21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</row>
    <row r="401" spans="1:28" x14ac:dyDescent="0.2">
      <c r="A401" s="6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</row>
    <row r="402" spans="1:28" x14ac:dyDescent="0.2">
      <c r="A402" s="115"/>
      <c r="B402" s="71"/>
      <c r="C402" s="96"/>
      <c r="D402" s="96"/>
      <c r="E402" s="96"/>
      <c r="F402" s="96"/>
      <c r="G402" s="96"/>
      <c r="H402" s="96"/>
      <c r="I402" s="96"/>
      <c r="J402" s="96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</row>
    <row r="403" spans="1:28" x14ac:dyDescent="0.2">
      <c r="A403" s="156" t="s">
        <v>193</v>
      </c>
      <c r="B403" s="13" t="s">
        <v>194</v>
      </c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</row>
    <row r="404" spans="1:28" x14ac:dyDescent="0.2">
      <c r="A404" s="156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</row>
    <row r="405" spans="1:28" x14ac:dyDescent="0.2">
      <c r="A405" s="156"/>
      <c r="B405" s="71"/>
      <c r="C405" s="71"/>
      <c r="D405" s="71"/>
      <c r="E405" s="145"/>
      <c r="F405" s="13" t="s">
        <v>195</v>
      </c>
      <c r="G405" s="71"/>
      <c r="H405" s="71"/>
      <c r="I405" s="18" t="s">
        <v>196</v>
      </c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</row>
    <row r="406" spans="1:28" x14ac:dyDescent="0.2">
      <c r="A406" s="115"/>
      <c r="B406" s="18" t="s">
        <v>197</v>
      </c>
      <c r="C406" s="71"/>
      <c r="D406" s="71"/>
      <c r="E406" s="145"/>
      <c r="F406" s="13" t="s">
        <v>198</v>
      </c>
      <c r="G406" s="71"/>
      <c r="H406" s="71"/>
      <c r="I406" s="18" t="s">
        <v>199</v>
      </c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</row>
    <row r="407" spans="1:28" x14ac:dyDescent="0.2">
      <c r="A407" s="6"/>
      <c r="B407" s="7" t="s">
        <v>60</v>
      </c>
      <c r="C407" s="76"/>
      <c r="D407" s="15" t="s">
        <v>200</v>
      </c>
      <c r="E407" s="212"/>
      <c r="F407" s="213" t="s">
        <v>60</v>
      </c>
      <c r="G407" s="146"/>
      <c r="H407" s="71"/>
      <c r="I407" s="214" t="s">
        <v>201</v>
      </c>
      <c r="J407" s="146"/>
      <c r="K407" s="146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</row>
    <row r="408" spans="1:28" x14ac:dyDescent="0.2">
      <c r="A408" s="6"/>
      <c r="B408" s="71"/>
      <c r="C408" s="22" t="s">
        <v>48</v>
      </c>
      <c r="D408" s="22" t="s">
        <v>202</v>
      </c>
      <c r="E408" s="215" t="s">
        <v>49</v>
      </c>
      <c r="F408" s="22" t="s">
        <v>48</v>
      </c>
      <c r="G408" s="22" t="s">
        <v>49</v>
      </c>
      <c r="H408" s="71"/>
      <c r="I408" s="22" t="s">
        <v>48</v>
      </c>
      <c r="J408" s="22" t="s">
        <v>49</v>
      </c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</row>
    <row r="409" spans="1:28" x14ac:dyDescent="0.2">
      <c r="A409" s="6"/>
      <c r="B409" s="98" t="s">
        <v>13</v>
      </c>
      <c r="C409" s="79">
        <v>46.94</v>
      </c>
      <c r="D409" s="106">
        <v>0.78459999999999996</v>
      </c>
      <c r="E409" s="104">
        <f>ROUND(C409*D409,2)</f>
        <v>36.83</v>
      </c>
      <c r="F409" s="105">
        <v>0.96</v>
      </c>
      <c r="G409" s="20">
        <v>0.96</v>
      </c>
      <c r="H409" s="71"/>
      <c r="I409" s="79">
        <f t="shared" ref="I409:I420" si="64">ROUND(C409*F409,2)</f>
        <v>45.06</v>
      </c>
      <c r="J409" s="79">
        <f t="shared" ref="J409:J420" si="65">ROUND(E409*G409,2)</f>
        <v>35.36</v>
      </c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</row>
    <row r="410" spans="1:28" x14ac:dyDescent="0.2">
      <c r="A410" s="6"/>
      <c r="B410" s="98" t="s">
        <v>14</v>
      </c>
      <c r="C410" s="79">
        <v>44.45</v>
      </c>
      <c r="D410" s="106">
        <f>D409</f>
        <v>0.78459999999999996</v>
      </c>
      <c r="E410" s="104">
        <f>ROUND(C410*D410,2)</f>
        <v>34.880000000000003</v>
      </c>
      <c r="F410" s="107">
        <f>F409</f>
        <v>0.96</v>
      </c>
      <c r="G410" s="107">
        <f>G409</f>
        <v>0.96</v>
      </c>
      <c r="H410" s="71"/>
      <c r="I410" s="79">
        <f t="shared" si="64"/>
        <v>42.67</v>
      </c>
      <c r="J410" s="79">
        <f t="shared" si="65"/>
        <v>33.479999999999997</v>
      </c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</row>
    <row r="411" spans="1:28" x14ac:dyDescent="0.2">
      <c r="A411" s="6"/>
      <c r="B411" s="98" t="s">
        <v>15</v>
      </c>
      <c r="C411" s="79">
        <v>35.43</v>
      </c>
      <c r="D411" s="106">
        <f>D409</f>
        <v>0.78459999999999996</v>
      </c>
      <c r="E411" s="104">
        <f t="shared" ref="E411:E420" si="66">ROUND(C411*D411,2)</f>
        <v>27.8</v>
      </c>
      <c r="F411" s="107">
        <f>F409</f>
        <v>0.96</v>
      </c>
      <c r="G411" s="107">
        <f>G409</f>
        <v>0.96</v>
      </c>
      <c r="H411" s="71"/>
      <c r="I411" s="79">
        <f t="shared" si="64"/>
        <v>34.01</v>
      </c>
      <c r="J411" s="79">
        <f t="shared" si="65"/>
        <v>26.69</v>
      </c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</row>
    <row r="412" spans="1:28" x14ac:dyDescent="0.2">
      <c r="A412" s="6"/>
      <c r="B412" s="98" t="s">
        <v>16</v>
      </c>
      <c r="C412" s="79">
        <v>30.64</v>
      </c>
      <c r="D412" s="106">
        <f>D409</f>
        <v>0.78459999999999996</v>
      </c>
      <c r="E412" s="104">
        <f t="shared" si="66"/>
        <v>24.04</v>
      </c>
      <c r="F412" s="107">
        <f>F409</f>
        <v>0.96</v>
      </c>
      <c r="G412" s="107">
        <f>G409</f>
        <v>0.96</v>
      </c>
      <c r="H412" s="71"/>
      <c r="I412" s="79">
        <f t="shared" si="64"/>
        <v>29.41</v>
      </c>
      <c r="J412" s="79">
        <f t="shared" si="65"/>
        <v>23.08</v>
      </c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</row>
    <row r="413" spans="1:28" x14ac:dyDescent="0.2">
      <c r="A413" s="6"/>
      <c r="B413" s="98" t="s">
        <v>17</v>
      </c>
      <c r="C413" s="79">
        <v>30.3</v>
      </c>
      <c r="D413" s="106">
        <f>D409</f>
        <v>0.78459999999999996</v>
      </c>
      <c r="E413" s="104">
        <f t="shared" si="66"/>
        <v>23.77</v>
      </c>
      <c r="F413" s="107">
        <f>F409</f>
        <v>0.96</v>
      </c>
      <c r="G413" s="107">
        <f>G409</f>
        <v>0.96</v>
      </c>
      <c r="H413" s="71"/>
      <c r="I413" s="79">
        <f t="shared" si="64"/>
        <v>29.09</v>
      </c>
      <c r="J413" s="79">
        <f t="shared" si="65"/>
        <v>22.82</v>
      </c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</row>
    <row r="414" spans="1:28" x14ac:dyDescent="0.2">
      <c r="A414" s="6"/>
      <c r="B414" s="98" t="s">
        <v>18</v>
      </c>
      <c r="C414" s="79">
        <v>30.23</v>
      </c>
      <c r="D414" s="106">
        <v>0.65310000000000001</v>
      </c>
      <c r="E414" s="104">
        <f t="shared" si="66"/>
        <v>19.739999999999998</v>
      </c>
      <c r="F414" s="20">
        <v>0.96</v>
      </c>
      <c r="G414" s="20">
        <v>0.91</v>
      </c>
      <c r="H414" s="71"/>
      <c r="I414" s="79">
        <f t="shared" si="64"/>
        <v>29.02</v>
      </c>
      <c r="J414" s="79">
        <f t="shared" si="65"/>
        <v>17.96</v>
      </c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</row>
    <row r="415" spans="1:28" x14ac:dyDescent="0.2">
      <c r="A415" s="6"/>
      <c r="B415" s="98" t="s">
        <v>19</v>
      </c>
      <c r="C415" s="79">
        <v>35.770000000000003</v>
      </c>
      <c r="D415" s="106">
        <f>D414</f>
        <v>0.65310000000000001</v>
      </c>
      <c r="E415" s="104">
        <f t="shared" si="66"/>
        <v>23.36</v>
      </c>
      <c r="F415" s="107">
        <f>F414</f>
        <v>0.96</v>
      </c>
      <c r="G415" s="107">
        <f>G414</f>
        <v>0.91</v>
      </c>
      <c r="H415" s="71"/>
      <c r="I415" s="79">
        <f t="shared" si="64"/>
        <v>34.340000000000003</v>
      </c>
      <c r="J415" s="79">
        <f t="shared" si="65"/>
        <v>21.26</v>
      </c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</row>
    <row r="416" spans="1:28" x14ac:dyDescent="0.2">
      <c r="A416" s="6"/>
      <c r="B416" s="98" t="s">
        <v>20</v>
      </c>
      <c r="C416" s="79">
        <v>32.56</v>
      </c>
      <c r="D416" s="106">
        <f>D414</f>
        <v>0.65310000000000001</v>
      </c>
      <c r="E416" s="104">
        <f t="shared" si="66"/>
        <v>21.26</v>
      </c>
      <c r="F416" s="107">
        <f>F414</f>
        <v>0.96</v>
      </c>
      <c r="G416" s="107">
        <f>G414</f>
        <v>0.91</v>
      </c>
      <c r="H416" s="71"/>
      <c r="I416" s="79">
        <f t="shared" si="64"/>
        <v>31.26</v>
      </c>
      <c r="J416" s="79">
        <f t="shared" si="65"/>
        <v>19.350000000000001</v>
      </c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</row>
    <row r="417" spans="1:28" x14ac:dyDescent="0.2">
      <c r="A417" s="6"/>
      <c r="B417" s="98" t="s">
        <v>21</v>
      </c>
      <c r="C417" s="79">
        <v>30.95</v>
      </c>
      <c r="D417" s="106">
        <f>D414</f>
        <v>0.65310000000000001</v>
      </c>
      <c r="E417" s="104">
        <f t="shared" si="66"/>
        <v>20.21</v>
      </c>
      <c r="F417" s="107">
        <f>F414</f>
        <v>0.96</v>
      </c>
      <c r="G417" s="107">
        <f>G414</f>
        <v>0.91</v>
      </c>
      <c r="H417" s="71"/>
      <c r="I417" s="79">
        <f t="shared" si="64"/>
        <v>29.71</v>
      </c>
      <c r="J417" s="79">
        <f t="shared" si="65"/>
        <v>18.39</v>
      </c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</row>
    <row r="418" spans="1:28" x14ac:dyDescent="0.2">
      <c r="A418" s="6"/>
      <c r="B418" s="98" t="s">
        <v>22</v>
      </c>
      <c r="C418" s="79">
        <v>29.6</v>
      </c>
      <c r="D418" s="106">
        <f>D409</f>
        <v>0.78459999999999996</v>
      </c>
      <c r="E418" s="104">
        <f t="shared" si="66"/>
        <v>23.22</v>
      </c>
      <c r="F418" s="107">
        <f>F409</f>
        <v>0.96</v>
      </c>
      <c r="G418" s="107">
        <f>G409</f>
        <v>0.96</v>
      </c>
      <c r="H418" s="71"/>
      <c r="I418" s="79">
        <f t="shared" si="64"/>
        <v>28.42</v>
      </c>
      <c r="J418" s="79">
        <f t="shared" si="65"/>
        <v>22.29</v>
      </c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</row>
    <row r="419" spans="1:28" x14ac:dyDescent="0.2">
      <c r="A419" s="6"/>
      <c r="B419" s="98" t="s">
        <v>23</v>
      </c>
      <c r="C419" s="79">
        <v>30.09</v>
      </c>
      <c r="D419" s="106">
        <f>D409</f>
        <v>0.78459999999999996</v>
      </c>
      <c r="E419" s="104">
        <f t="shared" si="66"/>
        <v>23.61</v>
      </c>
      <c r="F419" s="107">
        <f>F409</f>
        <v>0.96</v>
      </c>
      <c r="G419" s="107">
        <f>G409</f>
        <v>0.96</v>
      </c>
      <c r="H419" s="71"/>
      <c r="I419" s="79">
        <f t="shared" si="64"/>
        <v>28.89</v>
      </c>
      <c r="J419" s="79">
        <f t="shared" si="65"/>
        <v>22.67</v>
      </c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</row>
    <row r="420" spans="1:28" x14ac:dyDescent="0.2">
      <c r="A420" s="6"/>
      <c r="B420" s="98" t="s">
        <v>24</v>
      </c>
      <c r="C420" s="79">
        <v>33.46</v>
      </c>
      <c r="D420" s="106">
        <f>D409</f>
        <v>0.78459999999999996</v>
      </c>
      <c r="E420" s="104">
        <f t="shared" si="66"/>
        <v>26.25</v>
      </c>
      <c r="F420" s="107">
        <f>F409</f>
        <v>0.96</v>
      </c>
      <c r="G420" s="107">
        <f>G409</f>
        <v>0.96</v>
      </c>
      <c r="H420" s="71"/>
      <c r="I420" s="79">
        <f t="shared" si="64"/>
        <v>32.119999999999997</v>
      </c>
      <c r="J420" s="79">
        <f t="shared" si="65"/>
        <v>25.2</v>
      </c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</row>
    <row r="421" spans="1:28" x14ac:dyDescent="0.2">
      <c r="A421" s="6"/>
      <c r="B421" s="98"/>
      <c r="C421" s="79"/>
      <c r="D421" s="79"/>
      <c r="E421" s="145"/>
      <c r="F421" s="71"/>
      <c r="G421" s="71"/>
      <c r="H421" s="71"/>
      <c r="I421" s="71"/>
      <c r="J421" s="71"/>
      <c r="K421" s="20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</row>
    <row r="422" spans="1:28" x14ac:dyDescent="0.2">
      <c r="A422" s="6"/>
      <c r="B422" s="98"/>
      <c r="C422" s="79"/>
      <c r="D422" s="79"/>
      <c r="E422" s="71"/>
      <c r="F422" s="71"/>
      <c r="G422" s="71"/>
      <c r="H422" s="71"/>
      <c r="I422" s="71"/>
      <c r="J422" s="71"/>
      <c r="K422" s="20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</row>
    <row r="423" spans="1:28" x14ac:dyDescent="0.2">
      <c r="A423" s="6"/>
      <c r="B423" s="98"/>
      <c r="C423" s="79"/>
      <c r="D423" s="79"/>
      <c r="E423" s="71"/>
      <c r="F423" s="71"/>
      <c r="G423" s="71"/>
      <c r="H423" s="71"/>
      <c r="I423" s="71"/>
      <c r="J423" s="71"/>
      <c r="K423" s="20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</row>
    <row r="424" spans="1:28" x14ac:dyDescent="0.2">
      <c r="A424" s="115"/>
      <c r="B424" s="13" t="s">
        <v>203</v>
      </c>
      <c r="C424" s="71"/>
      <c r="D424" s="71"/>
      <c r="E424" s="71"/>
      <c r="F424" s="214" t="s">
        <v>204</v>
      </c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</row>
    <row r="425" spans="1:28" x14ac:dyDescent="0.2">
      <c r="A425" s="115"/>
      <c r="B425" s="7" t="s">
        <v>60</v>
      </c>
      <c r="C425" s="146"/>
      <c r="D425" s="146"/>
      <c r="E425" s="71"/>
      <c r="F425" s="18" t="str">
        <f>"system ("&amp;TEXT(D447*100,"0.0")&amp;"% PJM - "&amp;TEXT(E447*100,"0.0")&amp;"% NYISO)"</f>
        <v>system (88.2% PJM - 11.8% NYISO)</v>
      </c>
      <c r="G425" s="146"/>
      <c r="H425" s="146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</row>
    <row r="426" spans="1:28" x14ac:dyDescent="0.2">
      <c r="A426" s="115"/>
      <c r="B426" s="7"/>
      <c r="C426" s="146"/>
      <c r="D426" s="146"/>
      <c r="E426" s="71"/>
      <c r="F426" s="7" t="s">
        <v>60</v>
      </c>
      <c r="G426" s="146"/>
      <c r="H426" s="146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</row>
    <row r="427" spans="1:28" x14ac:dyDescent="0.2">
      <c r="A427" s="115"/>
      <c r="B427" s="71"/>
      <c r="C427" s="22" t="s">
        <v>48</v>
      </c>
      <c r="D427" s="22" t="s">
        <v>49</v>
      </c>
      <c r="E427" s="71"/>
      <c r="F427" s="71"/>
      <c r="G427" s="22" t="s">
        <v>48</v>
      </c>
      <c r="H427" s="22" t="s">
        <v>49</v>
      </c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</row>
    <row r="428" spans="1:28" x14ac:dyDescent="0.2">
      <c r="A428" s="115"/>
      <c r="B428" s="98" t="s">
        <v>13</v>
      </c>
      <c r="C428" s="79">
        <v>63.75</v>
      </c>
      <c r="D428" s="79">
        <v>56.25</v>
      </c>
      <c r="E428" s="71"/>
      <c r="F428" s="98" t="s">
        <v>13</v>
      </c>
      <c r="G428" s="79">
        <f t="shared" ref="G428:H439" si="67">ROUND($J$428*I409+$J$429*C428,2)</f>
        <v>47.27</v>
      </c>
      <c r="H428" s="79">
        <f t="shared" si="67"/>
        <v>37.83</v>
      </c>
      <c r="I428" s="71"/>
      <c r="J428" s="216">
        <f>D447</f>
        <v>0.88183421516754856</v>
      </c>
      <c r="K428" s="71" t="s">
        <v>205</v>
      </c>
      <c r="L428" s="71"/>
      <c r="M428" s="71"/>
      <c r="N428" s="71"/>
      <c r="O428" s="71"/>
      <c r="P428" s="71"/>
      <c r="Q428" s="79">
        <f>AVERAGE(G433:G436)</f>
        <v>31.25</v>
      </c>
      <c r="R428" s="79">
        <f>AVERAGE(H433:H436)</f>
        <v>19.512499999999999</v>
      </c>
      <c r="S428" s="71"/>
      <c r="T428" s="71"/>
      <c r="U428" s="71"/>
      <c r="V428" s="71"/>
      <c r="W428" s="71"/>
      <c r="X428" s="71"/>
      <c r="Y428" s="71"/>
      <c r="Z428" s="71"/>
      <c r="AA428" s="71"/>
      <c r="AB428" s="71"/>
    </row>
    <row r="429" spans="1:28" x14ac:dyDescent="0.2">
      <c r="A429" s="115"/>
      <c r="B429" s="98" t="s">
        <v>14</v>
      </c>
      <c r="C429" s="79">
        <v>61.5</v>
      </c>
      <c r="D429" s="79">
        <v>53.75</v>
      </c>
      <c r="E429" s="71"/>
      <c r="F429" s="98" t="s">
        <v>14</v>
      </c>
      <c r="G429" s="79">
        <f t="shared" si="67"/>
        <v>44.9</v>
      </c>
      <c r="H429" s="79">
        <f t="shared" si="67"/>
        <v>35.880000000000003</v>
      </c>
      <c r="I429" s="71"/>
      <c r="J429" s="216">
        <f>E447</f>
        <v>0.11816578483245152</v>
      </c>
      <c r="K429" s="71" t="s">
        <v>206</v>
      </c>
      <c r="L429" s="71"/>
      <c r="M429" s="71"/>
      <c r="N429" s="71"/>
      <c r="O429" s="71"/>
      <c r="P429" s="71"/>
      <c r="Q429" s="79">
        <f>AVERAGE(G428:G432,G437:G439)</f>
        <v>34.59375</v>
      </c>
      <c r="R429" s="79">
        <f>AVERAGE(H428:H432,H437:H439)</f>
        <v>27.233750000000004</v>
      </c>
      <c r="S429" s="71"/>
      <c r="T429" s="71"/>
      <c r="U429" s="71"/>
      <c r="V429" s="71"/>
      <c r="W429" s="71"/>
      <c r="X429" s="71"/>
      <c r="Y429" s="71"/>
      <c r="Z429" s="71"/>
      <c r="AA429" s="71"/>
      <c r="AB429" s="71"/>
    </row>
    <row r="430" spans="1:28" x14ac:dyDescent="0.2">
      <c r="A430" s="115"/>
      <c r="B430" s="98" t="s">
        <v>15</v>
      </c>
      <c r="C430" s="79">
        <v>38.75</v>
      </c>
      <c r="D430" s="79">
        <v>30</v>
      </c>
      <c r="E430" s="71"/>
      <c r="F430" s="98" t="s">
        <v>15</v>
      </c>
      <c r="G430" s="79">
        <f t="shared" si="67"/>
        <v>34.57</v>
      </c>
      <c r="H430" s="79">
        <f t="shared" si="67"/>
        <v>27.08</v>
      </c>
      <c r="I430" s="71"/>
      <c r="J430" s="71"/>
      <c r="K430" s="71"/>
      <c r="L430" s="71"/>
      <c r="M430" s="71"/>
      <c r="N430" s="71"/>
      <c r="O430" s="71"/>
      <c r="P430" s="71"/>
      <c r="Q430" s="71">
        <f>Q428/Q429</f>
        <v>0.90334236675700086</v>
      </c>
      <c r="R430" s="71">
        <f>R428/R429</f>
        <v>0.71648230596227092</v>
      </c>
      <c r="S430" s="71"/>
      <c r="T430" s="71"/>
      <c r="U430" s="71"/>
      <c r="V430" s="71"/>
      <c r="W430" s="71"/>
      <c r="X430" s="71"/>
      <c r="Y430" s="71"/>
      <c r="Z430" s="71"/>
      <c r="AA430" s="71"/>
      <c r="AB430" s="71"/>
    </row>
    <row r="431" spans="1:28" x14ac:dyDescent="0.2">
      <c r="A431" s="115"/>
      <c r="B431" s="98" t="s">
        <v>16</v>
      </c>
      <c r="C431" s="79">
        <v>30.5</v>
      </c>
      <c r="D431" s="79">
        <v>22</v>
      </c>
      <c r="E431" s="71"/>
      <c r="F431" s="98" t="s">
        <v>16</v>
      </c>
      <c r="G431" s="79">
        <f t="shared" si="67"/>
        <v>29.54</v>
      </c>
      <c r="H431" s="79">
        <f t="shared" si="67"/>
        <v>22.95</v>
      </c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</row>
    <row r="432" spans="1:28" x14ac:dyDescent="0.2">
      <c r="A432" s="115"/>
      <c r="B432" s="98" t="s">
        <v>17</v>
      </c>
      <c r="C432" s="79">
        <v>27.75</v>
      </c>
      <c r="D432" s="79">
        <v>19.5</v>
      </c>
      <c r="E432" s="71"/>
      <c r="F432" s="98" t="s">
        <v>17</v>
      </c>
      <c r="G432" s="79">
        <f t="shared" si="67"/>
        <v>28.93</v>
      </c>
      <c r="H432" s="79">
        <f t="shared" si="67"/>
        <v>22.43</v>
      </c>
      <c r="I432" s="71"/>
      <c r="J432" s="71"/>
      <c r="K432" s="71"/>
      <c r="L432" s="71"/>
      <c r="M432" s="71"/>
      <c r="N432" s="71"/>
      <c r="O432" s="71"/>
      <c r="P432" s="71"/>
      <c r="Q432" s="79">
        <f>AVERAGE(G428:G439)</f>
        <v>33.479166666666664</v>
      </c>
      <c r="R432" s="79">
        <f>AVERAGE(H428:H439)</f>
        <v>24.66</v>
      </c>
      <c r="S432" s="71">
        <f>Q432/R432</f>
        <v>1.3576304406596376</v>
      </c>
      <c r="T432" s="71"/>
      <c r="U432" s="71"/>
      <c r="V432" s="71"/>
      <c r="W432" s="71"/>
      <c r="X432" s="71"/>
      <c r="Y432" s="71"/>
      <c r="Z432" s="71"/>
      <c r="AA432" s="71"/>
      <c r="AB432" s="71"/>
    </row>
    <row r="433" spans="1:28" x14ac:dyDescent="0.2">
      <c r="A433" s="115"/>
      <c r="B433" s="98" t="s">
        <v>18</v>
      </c>
      <c r="C433" s="79">
        <v>29.75</v>
      </c>
      <c r="D433" s="79">
        <v>19.75</v>
      </c>
      <c r="E433" s="71"/>
      <c r="F433" s="98" t="s">
        <v>18</v>
      </c>
      <c r="G433" s="79">
        <f t="shared" si="67"/>
        <v>29.11</v>
      </c>
      <c r="H433" s="79">
        <f t="shared" si="67"/>
        <v>18.170000000000002</v>
      </c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</row>
    <row r="434" spans="1:28" x14ac:dyDescent="0.2">
      <c r="A434" s="115"/>
      <c r="B434" s="98" t="s">
        <v>19</v>
      </c>
      <c r="C434" s="79">
        <v>36.25</v>
      </c>
      <c r="D434" s="79">
        <v>24</v>
      </c>
      <c r="E434" s="71"/>
      <c r="F434" s="98" t="s">
        <v>19</v>
      </c>
      <c r="G434" s="79">
        <f t="shared" si="67"/>
        <v>34.57</v>
      </c>
      <c r="H434" s="79">
        <f t="shared" si="67"/>
        <v>21.58</v>
      </c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</row>
    <row r="435" spans="1:28" x14ac:dyDescent="0.2">
      <c r="A435" s="115"/>
      <c r="B435" s="98" t="s">
        <v>20</v>
      </c>
      <c r="C435" s="79">
        <v>33.75</v>
      </c>
      <c r="D435" s="79">
        <v>22.5</v>
      </c>
      <c r="E435" s="71"/>
      <c r="F435" s="98" t="s">
        <v>20</v>
      </c>
      <c r="G435" s="79">
        <f t="shared" si="67"/>
        <v>31.55</v>
      </c>
      <c r="H435" s="79">
        <f t="shared" si="67"/>
        <v>19.72</v>
      </c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</row>
    <row r="436" spans="1:28" x14ac:dyDescent="0.2">
      <c r="A436" s="115"/>
      <c r="B436" s="98" t="s">
        <v>21</v>
      </c>
      <c r="C436" s="79">
        <v>30.25</v>
      </c>
      <c r="D436" s="79">
        <v>20</v>
      </c>
      <c r="E436" s="71"/>
      <c r="F436" s="98" t="s">
        <v>21</v>
      </c>
      <c r="G436" s="79">
        <f t="shared" si="67"/>
        <v>29.77</v>
      </c>
      <c r="H436" s="79">
        <f t="shared" si="67"/>
        <v>18.579999999999998</v>
      </c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</row>
    <row r="437" spans="1:28" x14ac:dyDescent="0.2">
      <c r="A437" s="115"/>
      <c r="B437" s="98" t="s">
        <v>22</v>
      </c>
      <c r="C437" s="79">
        <v>29.25</v>
      </c>
      <c r="D437" s="79">
        <v>20.25</v>
      </c>
      <c r="E437" s="71"/>
      <c r="F437" s="98" t="s">
        <v>22</v>
      </c>
      <c r="G437" s="79">
        <f t="shared" si="67"/>
        <v>28.52</v>
      </c>
      <c r="H437" s="79">
        <f t="shared" si="67"/>
        <v>22.05</v>
      </c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</row>
    <row r="438" spans="1:28" x14ac:dyDescent="0.2">
      <c r="A438" s="115"/>
      <c r="B438" s="98" t="s">
        <v>23</v>
      </c>
      <c r="C438" s="79">
        <v>32.5</v>
      </c>
      <c r="D438" s="79">
        <v>25.25</v>
      </c>
      <c r="E438" s="71"/>
      <c r="F438" s="98" t="s">
        <v>23</v>
      </c>
      <c r="G438" s="79">
        <f t="shared" si="67"/>
        <v>29.32</v>
      </c>
      <c r="H438" s="79">
        <f t="shared" si="67"/>
        <v>22.97</v>
      </c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</row>
    <row r="439" spans="1:28" x14ac:dyDescent="0.2">
      <c r="A439" s="115"/>
      <c r="B439" s="98" t="s">
        <v>24</v>
      </c>
      <c r="C439" s="79">
        <v>45.5</v>
      </c>
      <c r="D439" s="79">
        <v>37.75</v>
      </c>
      <c r="E439" s="71"/>
      <c r="F439" s="98" t="s">
        <v>24</v>
      </c>
      <c r="G439" s="79">
        <f t="shared" si="67"/>
        <v>33.700000000000003</v>
      </c>
      <c r="H439" s="79">
        <f t="shared" si="67"/>
        <v>26.68</v>
      </c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</row>
    <row r="440" spans="1:28" x14ac:dyDescent="0.2">
      <c r="A440" s="115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</row>
    <row r="441" spans="1:28" x14ac:dyDescent="0.2">
      <c r="A441" s="115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</row>
    <row r="442" spans="1:28" x14ac:dyDescent="0.2">
      <c r="A442" s="115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</row>
    <row r="443" spans="1:28" x14ac:dyDescent="0.2">
      <c r="A443" s="156" t="s">
        <v>207</v>
      </c>
      <c r="B443" s="18" t="s">
        <v>208</v>
      </c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</row>
    <row r="444" spans="1:28" x14ac:dyDescent="0.2">
      <c r="A444" s="115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</row>
    <row r="445" spans="1:28" x14ac:dyDescent="0.2">
      <c r="A445" s="115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</row>
    <row r="446" spans="1:28" x14ac:dyDescent="0.2">
      <c r="A446" s="115"/>
      <c r="B446" s="71"/>
      <c r="C446" s="157" t="s">
        <v>209</v>
      </c>
      <c r="D446" s="76" t="s">
        <v>205</v>
      </c>
      <c r="E446" s="76" t="s">
        <v>206</v>
      </c>
      <c r="F446" s="76" t="s">
        <v>210</v>
      </c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</row>
    <row r="447" spans="1:28" x14ac:dyDescent="0.2">
      <c r="A447" s="115"/>
      <c r="B447" s="71"/>
      <c r="C447" s="217" t="s">
        <v>211</v>
      </c>
      <c r="D447" s="218">
        <f>4/(4+M466)</f>
        <v>0.88183421516754856</v>
      </c>
      <c r="E447" s="218">
        <f>M466/(4+M466)</f>
        <v>0.11816578483245152</v>
      </c>
      <c r="F447" s="219" t="s">
        <v>212</v>
      </c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</row>
    <row r="448" spans="1:28" x14ac:dyDescent="0.2">
      <c r="A448" s="115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87" t="s">
        <v>213</v>
      </c>
      <c r="R448" s="71" t="s">
        <v>214</v>
      </c>
      <c r="S448" s="71" t="s">
        <v>215</v>
      </c>
      <c r="T448" s="71"/>
      <c r="U448" s="71"/>
      <c r="V448" s="71"/>
      <c r="W448" s="71"/>
      <c r="X448" s="71"/>
      <c r="Y448" s="71"/>
      <c r="Z448" s="71"/>
      <c r="AA448" s="71"/>
      <c r="AB448" s="71"/>
    </row>
    <row r="449" spans="1:28" x14ac:dyDescent="0.2">
      <c r="A449" s="115"/>
      <c r="B449" s="76" t="s">
        <v>68</v>
      </c>
      <c r="C449" s="220">
        <v>169.63</v>
      </c>
      <c r="D449" s="86">
        <f>C449</f>
        <v>169.63</v>
      </c>
      <c r="E449" s="86">
        <v>156.25434782608696</v>
      </c>
      <c r="F449" s="94">
        <f>ROUND(D449*D$447+E449*E$447,2)</f>
        <v>168.05</v>
      </c>
      <c r="G449" s="71"/>
      <c r="H449" s="94"/>
      <c r="I449" s="71"/>
      <c r="J449" s="71"/>
      <c r="K449" s="71"/>
      <c r="L449" s="71"/>
      <c r="M449" s="71"/>
      <c r="N449" s="71"/>
      <c r="O449" s="71"/>
      <c r="P449" s="71" t="s">
        <v>216</v>
      </c>
      <c r="Q449" s="71">
        <v>2.25</v>
      </c>
      <c r="R449" s="71">
        <f>Q449*1000</f>
        <v>2250</v>
      </c>
      <c r="S449" s="71">
        <v>31</v>
      </c>
      <c r="T449" s="71"/>
      <c r="U449" s="71"/>
      <c r="V449" s="71"/>
      <c r="W449" s="71"/>
      <c r="X449" s="71"/>
      <c r="Y449" s="71"/>
      <c r="Z449" s="71"/>
      <c r="AA449" s="71"/>
      <c r="AB449" s="71"/>
    </row>
    <row r="450" spans="1:28" x14ac:dyDescent="0.2">
      <c r="A450" s="115"/>
      <c r="B450" s="76"/>
      <c r="C450" s="76"/>
      <c r="D450" s="86"/>
      <c r="E450" s="86"/>
      <c r="F450" s="94"/>
      <c r="G450" s="71"/>
      <c r="H450" s="71"/>
      <c r="I450" s="71"/>
      <c r="J450" s="71"/>
      <c r="K450" s="71"/>
      <c r="L450" s="71"/>
      <c r="M450" s="71"/>
      <c r="N450" s="71"/>
      <c r="O450" s="71"/>
      <c r="P450" s="71" t="s">
        <v>217</v>
      </c>
      <c r="Q450" s="71">
        <v>1.25</v>
      </c>
      <c r="R450" s="71">
        <f>Q450*1000</f>
        <v>1250</v>
      </c>
      <c r="S450" s="71">
        <v>30</v>
      </c>
      <c r="T450" s="71"/>
      <c r="U450" s="71"/>
      <c r="V450" s="71"/>
      <c r="W450" s="71"/>
      <c r="X450" s="71"/>
      <c r="Y450" s="71"/>
      <c r="Z450" s="71"/>
      <c r="AA450" s="71"/>
      <c r="AB450" s="71"/>
    </row>
    <row r="451" spans="1:28" x14ac:dyDescent="0.2">
      <c r="A451" s="115"/>
      <c r="B451" s="76" t="s">
        <v>61</v>
      </c>
      <c r="C451" s="86">
        <f>C449</f>
        <v>169.63</v>
      </c>
      <c r="D451" s="86">
        <f>C451</f>
        <v>169.63</v>
      </c>
      <c r="E451" s="108">
        <v>22.344198895027624</v>
      </c>
      <c r="F451" s="94">
        <f>ROUND(D451*D$447+E451*E$447,2)</f>
        <v>152.22999999999999</v>
      </c>
      <c r="G451" s="71"/>
      <c r="H451" s="71"/>
      <c r="I451" s="87"/>
      <c r="J451" s="71"/>
      <c r="K451" s="71"/>
      <c r="L451" s="71"/>
      <c r="M451" s="71"/>
      <c r="N451" s="71"/>
      <c r="O451" s="71"/>
      <c r="P451" s="71" t="s">
        <v>218</v>
      </c>
      <c r="Q451" s="71">
        <v>1.25</v>
      </c>
      <c r="R451" s="71">
        <f t="shared" ref="Q451:R456" si="68">Q451*1000</f>
        <v>1250</v>
      </c>
      <c r="S451" s="71">
        <v>31</v>
      </c>
      <c r="T451" s="71"/>
      <c r="U451" s="71"/>
      <c r="V451" s="71"/>
      <c r="W451" s="71"/>
      <c r="X451" s="71"/>
      <c r="Y451" s="71"/>
      <c r="Z451" s="71"/>
      <c r="AA451" s="71"/>
      <c r="AB451" s="71"/>
    </row>
    <row r="452" spans="1:28" x14ac:dyDescent="0.2">
      <c r="A452" s="115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 t="s">
        <v>219</v>
      </c>
      <c r="P452" s="71">
        <v>1.25</v>
      </c>
      <c r="Q452" s="71">
        <f t="shared" si="68"/>
        <v>1250</v>
      </c>
      <c r="R452" s="71">
        <v>30</v>
      </c>
      <c r="S452" s="71"/>
      <c r="T452" s="71"/>
      <c r="U452" s="71"/>
      <c r="V452" s="71"/>
      <c r="W452" s="71"/>
      <c r="X452" s="71"/>
      <c r="Y452" s="71"/>
      <c r="Z452" s="71"/>
      <c r="AA452" s="71"/>
      <c r="AB452" s="71"/>
    </row>
    <row r="453" spans="1:28" x14ac:dyDescent="0.2">
      <c r="A453" s="115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 t="s">
        <v>220</v>
      </c>
      <c r="P453" s="71">
        <v>1.25</v>
      </c>
      <c r="Q453" s="71">
        <f t="shared" si="68"/>
        <v>1250</v>
      </c>
      <c r="R453" s="71">
        <v>28</v>
      </c>
      <c r="S453" s="71"/>
      <c r="T453" s="71"/>
      <c r="U453" s="71"/>
      <c r="V453" s="71"/>
      <c r="W453" s="71"/>
      <c r="X453" s="71"/>
      <c r="Y453" s="71"/>
      <c r="Z453" s="71"/>
      <c r="AA453" s="71"/>
      <c r="AB453" s="71"/>
    </row>
    <row r="454" spans="1:28" x14ac:dyDescent="0.2">
      <c r="A454" s="115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 t="s">
        <v>221</v>
      </c>
      <c r="P454" s="71">
        <v>1.25</v>
      </c>
      <c r="Q454" s="71">
        <f t="shared" si="68"/>
        <v>1250</v>
      </c>
      <c r="R454" s="71">
        <v>31</v>
      </c>
      <c r="S454" s="71"/>
      <c r="T454" s="71"/>
      <c r="U454" s="71"/>
      <c r="V454" s="71"/>
      <c r="W454" s="71"/>
      <c r="X454" s="71"/>
      <c r="Y454" s="71"/>
      <c r="Z454" s="71"/>
      <c r="AA454" s="71"/>
      <c r="AB454" s="71"/>
    </row>
    <row r="455" spans="1:28" x14ac:dyDescent="0.2">
      <c r="A455" s="156" t="s">
        <v>222</v>
      </c>
      <c r="B455" s="18" t="s">
        <v>114</v>
      </c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 t="s">
        <v>223</v>
      </c>
      <c r="P455" s="71">
        <v>1.25</v>
      </c>
      <c r="Q455" s="71">
        <f t="shared" si="68"/>
        <v>1250</v>
      </c>
      <c r="R455" s="71">
        <v>30</v>
      </c>
      <c r="S455" s="71"/>
      <c r="T455" s="71"/>
      <c r="U455" s="71"/>
      <c r="V455" s="71"/>
      <c r="W455" s="71"/>
      <c r="X455" s="71"/>
      <c r="Y455" s="71"/>
      <c r="Z455" s="71"/>
      <c r="AA455" s="71"/>
      <c r="AB455" s="71"/>
    </row>
    <row r="456" spans="1:28" x14ac:dyDescent="0.2">
      <c r="A456" s="115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 t="s">
        <v>17</v>
      </c>
      <c r="P456" s="71">
        <v>2</v>
      </c>
      <c r="Q456" s="71">
        <f t="shared" si="68"/>
        <v>2000</v>
      </c>
      <c r="R456" s="71">
        <v>31</v>
      </c>
      <c r="S456" s="71"/>
      <c r="T456" s="71"/>
      <c r="U456" s="71"/>
      <c r="V456" s="71"/>
      <c r="W456" s="71"/>
      <c r="X456" s="71"/>
      <c r="Y456" s="71"/>
      <c r="Z456" s="71"/>
      <c r="AA456" s="71"/>
      <c r="AB456" s="71"/>
    </row>
    <row r="457" spans="1:28" x14ac:dyDescent="0.2">
      <c r="A457" s="115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>
        <f>SUM(P449:P456)</f>
        <v>7</v>
      </c>
      <c r="Q457" s="71">
        <f>SUM(Q449:Q456)</f>
        <v>7004.75</v>
      </c>
      <c r="R457" s="71">
        <f>SUM(R449:R456)</f>
        <v>4900</v>
      </c>
      <c r="S457" s="71">
        <f>Q457/R457</f>
        <v>1.4295408163265306</v>
      </c>
      <c r="T457" s="71"/>
      <c r="U457" s="71"/>
      <c r="V457" s="71"/>
      <c r="W457" s="71"/>
      <c r="X457" s="71"/>
      <c r="Y457" s="71"/>
      <c r="Z457" s="71"/>
      <c r="AA457" s="71"/>
      <c r="AB457" s="71"/>
    </row>
    <row r="458" spans="1:28" x14ac:dyDescent="0.2">
      <c r="A458" s="115"/>
      <c r="B458" s="71"/>
      <c r="C458" s="76" t="s">
        <v>224</v>
      </c>
      <c r="D458" s="76" t="s">
        <v>225</v>
      </c>
      <c r="E458" s="76" t="s">
        <v>226</v>
      </c>
      <c r="F458" s="76" t="s">
        <v>205</v>
      </c>
      <c r="G458" s="76" t="s">
        <v>206</v>
      </c>
      <c r="H458" s="76" t="s">
        <v>210</v>
      </c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</row>
    <row r="459" spans="1:28" x14ac:dyDescent="0.2">
      <c r="A459" s="115"/>
      <c r="B459" s="71"/>
      <c r="C459" s="219" t="s">
        <v>227</v>
      </c>
      <c r="D459" s="219" t="s">
        <v>227</v>
      </c>
      <c r="E459" s="219" t="s">
        <v>228</v>
      </c>
      <c r="F459" s="218">
        <f>D447</f>
        <v>0.88183421516754856</v>
      </c>
      <c r="G459" s="218">
        <f>E447</f>
        <v>0.11816578483245152</v>
      </c>
      <c r="H459" s="219" t="s">
        <v>212</v>
      </c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</row>
    <row r="460" spans="1:28" x14ac:dyDescent="0.2">
      <c r="A460" s="115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</row>
    <row r="461" spans="1:28" x14ac:dyDescent="0.2">
      <c r="A461" s="115"/>
      <c r="B461" s="76"/>
      <c r="C461" s="23">
        <v>2</v>
      </c>
      <c r="D461" s="23">
        <v>1.9</v>
      </c>
      <c r="E461" s="23">
        <v>16.25</v>
      </c>
      <c r="F461" s="23">
        <f>C461+E461</f>
        <v>18.25</v>
      </c>
      <c r="G461" s="23">
        <f>E461+D461</f>
        <v>18.149999999999999</v>
      </c>
      <c r="H461" s="23">
        <f>ROUND(F461*F$459+G461*G$459,2)</f>
        <v>18.239999999999998</v>
      </c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</row>
    <row r="462" spans="1:28" x14ac:dyDescent="0.2">
      <c r="A462" s="115"/>
      <c r="B462" s="76"/>
      <c r="C462" s="23"/>
      <c r="D462" s="23"/>
      <c r="E462" s="23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</row>
    <row r="463" spans="1:28" ht="13.5" thickBot="1" x14ac:dyDescent="0.25">
      <c r="A463" s="13" t="s">
        <v>229</v>
      </c>
      <c r="B463" s="71"/>
      <c r="C463" s="71"/>
      <c r="D463" s="71"/>
      <c r="E463" s="16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</row>
    <row r="464" spans="1:28" x14ac:dyDescent="0.2">
      <c r="A464" s="6"/>
      <c r="B464" s="76" t="s">
        <v>230</v>
      </c>
      <c r="C464" s="94">
        <f>F449</f>
        <v>168.05</v>
      </c>
      <c r="D464" s="95" t="s">
        <v>231</v>
      </c>
      <c r="E464" s="71"/>
      <c r="F464" s="71"/>
      <c r="G464" s="71"/>
      <c r="H464" s="71"/>
      <c r="I464" s="71"/>
      <c r="J464" s="71"/>
      <c r="K464" s="71"/>
      <c r="L464" s="221" t="s">
        <v>232</v>
      </c>
      <c r="M464" s="222">
        <v>53.6</v>
      </c>
      <c r="N464" s="190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</row>
    <row r="465" spans="1:28" x14ac:dyDescent="0.2">
      <c r="A465" s="6"/>
      <c r="B465" s="76"/>
      <c r="C465" s="94">
        <f>+F451</f>
        <v>152.22999999999999</v>
      </c>
      <c r="D465" s="95" t="s">
        <v>233</v>
      </c>
      <c r="E465" s="71"/>
      <c r="F465" s="71"/>
      <c r="G465" s="71"/>
      <c r="H465" s="71"/>
      <c r="I465" s="71"/>
      <c r="J465" s="71"/>
      <c r="K465" s="71"/>
      <c r="L465" s="223" t="s">
        <v>234</v>
      </c>
      <c r="M465" s="224">
        <f>400/4</f>
        <v>100</v>
      </c>
      <c r="N465" s="192"/>
      <c r="O465" s="71"/>
      <c r="P465" s="71"/>
      <c r="Q465" s="71"/>
      <c r="R465" s="71"/>
      <c r="S465" s="224">
        <v>103.7</v>
      </c>
      <c r="T465" s="71"/>
      <c r="U465" s="71"/>
      <c r="V465" s="71"/>
      <c r="W465" s="71"/>
      <c r="X465" s="71"/>
      <c r="Y465" s="71"/>
      <c r="Z465" s="71"/>
      <c r="AA465" s="71"/>
      <c r="AB465" s="71"/>
    </row>
    <row r="466" spans="1:28" x14ac:dyDescent="0.2">
      <c r="A466" s="6"/>
      <c r="B466" s="76" t="s">
        <v>235</v>
      </c>
      <c r="C466" s="96">
        <f>+C147</f>
        <v>42548</v>
      </c>
      <c r="D466" s="95" t="s">
        <v>95</v>
      </c>
      <c r="E466" s="19"/>
      <c r="F466" s="71"/>
      <c r="G466" s="71"/>
      <c r="H466" s="71"/>
      <c r="I466" s="71"/>
      <c r="J466" s="71"/>
      <c r="K466" s="71"/>
      <c r="L466" s="223" t="s">
        <v>236</v>
      </c>
      <c r="M466" s="90">
        <f>ROUND(M464/M465,3)</f>
        <v>0.53600000000000003</v>
      </c>
      <c r="N466" s="192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</row>
    <row r="467" spans="1:28" x14ac:dyDescent="0.2">
      <c r="A467" s="6"/>
      <c r="B467" s="76" t="s">
        <v>237</v>
      </c>
      <c r="C467" s="225">
        <f>+H144</f>
        <v>4</v>
      </c>
      <c r="D467" s="71" t="s">
        <v>238</v>
      </c>
      <c r="E467" s="19"/>
      <c r="F467" s="71"/>
      <c r="G467" s="71"/>
      <c r="H467" s="71"/>
      <c r="I467" s="71"/>
      <c r="J467" s="71"/>
      <c r="K467" s="71"/>
      <c r="L467" s="191"/>
      <c r="M467" s="90"/>
      <c r="N467" s="192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</row>
    <row r="468" spans="1:28" x14ac:dyDescent="0.2">
      <c r="A468" s="6"/>
      <c r="B468" s="76"/>
      <c r="C468" s="225">
        <f>+H145</f>
        <v>8</v>
      </c>
      <c r="D468" s="71" t="s">
        <v>239</v>
      </c>
      <c r="E468" s="19"/>
      <c r="F468" s="71"/>
      <c r="G468" s="71"/>
      <c r="H468" s="71"/>
      <c r="I468" s="71"/>
      <c r="J468" s="71"/>
      <c r="K468" s="71"/>
      <c r="L468" s="223" t="s">
        <v>240</v>
      </c>
      <c r="M468" s="160">
        <f>D223-D318</f>
        <v>13.171767158042883</v>
      </c>
      <c r="N468" s="192" t="s">
        <v>241</v>
      </c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</row>
    <row r="469" spans="1:28" x14ac:dyDescent="0.2">
      <c r="A469" s="6"/>
      <c r="B469" s="76" t="s">
        <v>242</v>
      </c>
      <c r="C469" s="109">
        <f>+D161</f>
        <v>18.239999999999998</v>
      </c>
      <c r="D469" s="87" t="s">
        <v>116</v>
      </c>
      <c r="E469" s="71"/>
      <c r="F469" s="71"/>
      <c r="G469" s="71"/>
      <c r="H469" s="71"/>
      <c r="I469" s="71"/>
      <c r="J469" s="71"/>
      <c r="K469" s="71"/>
      <c r="L469" s="223" t="s">
        <v>243</v>
      </c>
      <c r="M469" s="226">
        <f>ROUND(M466/(4+M466)*M468,2)</f>
        <v>1.56</v>
      </c>
      <c r="N469" s="192" t="s">
        <v>241</v>
      </c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</row>
    <row r="470" spans="1:28" ht="13.5" thickBot="1" x14ac:dyDescent="0.25">
      <c r="A470" s="6"/>
      <c r="B470" s="76" t="s">
        <v>244</v>
      </c>
      <c r="C470" s="87" t="s">
        <v>400</v>
      </c>
      <c r="D470" s="71"/>
      <c r="E470" s="71"/>
      <c r="F470" s="71"/>
      <c r="G470" s="71"/>
      <c r="H470" s="71"/>
      <c r="I470" s="71"/>
      <c r="J470" s="71"/>
      <c r="K470" s="71"/>
      <c r="L470" s="227" t="s">
        <v>245</v>
      </c>
      <c r="M470" s="228">
        <f>M468-M469</f>
        <v>11.611767158042882</v>
      </c>
      <c r="N470" s="229" t="s">
        <v>241</v>
      </c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</row>
    <row r="471" spans="1:28" x14ac:dyDescent="0.2">
      <c r="A471" s="6"/>
      <c r="B471" s="76"/>
      <c r="C471" s="87" t="s">
        <v>401</v>
      </c>
      <c r="D471" s="71"/>
      <c r="E471" s="71"/>
      <c r="F471" s="71"/>
      <c r="G471" s="71"/>
      <c r="H471" s="71"/>
      <c r="I471" s="71"/>
      <c r="J471" s="71"/>
      <c r="K471" s="71"/>
      <c r="L471" s="41"/>
      <c r="M471" s="224"/>
      <c r="N471" s="90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</row>
    <row r="472" spans="1:28" x14ac:dyDescent="0.2">
      <c r="A472" s="6"/>
      <c r="B472" s="76" t="s">
        <v>246</v>
      </c>
      <c r="C472" s="87" t="str">
        <f>"Forecasted " &amp;M1-1 &amp;" energy use by class, PJM on/off % from " &amp;M1-2 &amp;" class load profiles,"</f>
        <v>Forecasted 2019 energy use by class, PJM on/off % from 2018 class load profiles,</v>
      </c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</row>
    <row r="473" spans="1:28" x14ac:dyDescent="0.2">
      <c r="A473" s="6"/>
      <c r="B473" s="76"/>
      <c r="C473" s="87" t="str">
        <f>"RECO billing on/off % from " &amp;TEXT(DATE(M1-2,6,1),"m/yy") &amp;" to 5/" &amp;TEXT(DATE(M1-1,5,1),"yy") &amp;" actual data"</f>
        <v>RECO billing on/off % from 6/18 to 5/19 actual data</v>
      </c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</row>
    <row r="474" spans="1:28" x14ac:dyDescent="0.2">
      <c r="A474" s="6"/>
      <c r="B474" s="76" t="s">
        <v>247</v>
      </c>
      <c r="C474" s="87" t="str">
        <f>" Class totals for " &amp;M1-1</f>
        <v xml:space="preserve"> Class totals for 2019</v>
      </c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</row>
    <row r="475" spans="1:28" x14ac:dyDescent="0.2">
      <c r="A475" s="6"/>
      <c r="B475" s="76" t="s">
        <v>248</v>
      </c>
      <c r="C475" s="71" t="s">
        <v>249</v>
      </c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</row>
    <row r="476" spans="1:28" x14ac:dyDescent="0.2">
      <c r="A476" s="6"/>
      <c r="B476" s="76" t="s">
        <v>250</v>
      </c>
      <c r="C476" s="71" t="s">
        <v>251</v>
      </c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</row>
    <row r="477" spans="1:28" x14ac:dyDescent="0.2">
      <c r="A477" s="115"/>
      <c r="B477" s="71"/>
      <c r="C477" s="71" t="s">
        <v>252</v>
      </c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</row>
    <row r="478" spans="1:28" x14ac:dyDescent="0.2">
      <c r="A478" s="115"/>
      <c r="B478" s="78" t="s">
        <v>253</v>
      </c>
      <c r="C478" s="71" t="s">
        <v>254</v>
      </c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</row>
    <row r="479" spans="1:28" x14ac:dyDescent="0.2">
      <c r="A479" s="6"/>
      <c r="B479" s="71"/>
      <c r="C479" s="103"/>
      <c r="D479" s="71"/>
      <c r="E479" s="103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</row>
    <row r="480" spans="1:28" x14ac:dyDescent="0.2">
      <c r="A480" s="115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</row>
    <row r="481" spans="1:28" x14ac:dyDescent="0.2">
      <c r="A481" s="230" t="s">
        <v>255</v>
      </c>
      <c r="B481" s="231"/>
      <c r="C481" s="231"/>
      <c r="D481" s="23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</row>
    <row r="482" spans="1:28" x14ac:dyDescent="0.2">
      <c r="A482" s="156" t="s">
        <v>256</v>
      </c>
      <c r="B482" s="18" t="s">
        <v>257</v>
      </c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</row>
    <row r="483" spans="1:28" x14ac:dyDescent="0.2">
      <c r="A483" s="115"/>
      <c r="B483" s="71"/>
      <c r="C483" s="71"/>
      <c r="D483" s="24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</row>
    <row r="484" spans="1:28" x14ac:dyDescent="0.2">
      <c r="A484" s="115"/>
      <c r="B484" s="115" t="s">
        <v>258</v>
      </c>
      <c r="C484" s="71"/>
      <c r="D484" s="24">
        <f>D223</f>
        <v>80.643487224650897</v>
      </c>
      <c r="E484" s="87" t="s">
        <v>116</v>
      </c>
      <c r="F484" s="87" t="s">
        <v>259</v>
      </c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</row>
    <row r="485" spans="1:28" x14ac:dyDescent="0.2">
      <c r="A485" s="115"/>
      <c r="B485" s="115" t="s">
        <v>260</v>
      </c>
      <c r="C485" s="71"/>
      <c r="D485" s="232">
        <f>-M470</f>
        <v>-11.611767158042882</v>
      </c>
      <c r="E485" s="87" t="s">
        <v>116</v>
      </c>
      <c r="F485" s="71" t="s">
        <v>261</v>
      </c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</row>
    <row r="486" spans="1:28" x14ac:dyDescent="0.2">
      <c r="A486" s="115"/>
      <c r="B486" s="115" t="s">
        <v>262</v>
      </c>
      <c r="C486" s="71"/>
      <c r="D486" s="109">
        <f>D484+D485</f>
        <v>69.031720066608017</v>
      </c>
      <c r="E486" s="87" t="s">
        <v>116</v>
      </c>
      <c r="F486" s="71" t="str">
        <f>"** RECO average transmission rate of "&amp;TEXT(D223-D318,"0.00")&amp;" minus"</f>
        <v>** RECO average transmission rate of 13.17 minus</v>
      </c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</row>
    <row r="487" spans="1:28" x14ac:dyDescent="0.2">
      <c r="A487" s="115"/>
      <c r="B487" s="71"/>
      <c r="C487" s="71"/>
      <c r="D487" s="71"/>
      <c r="E487" s="71"/>
      <c r="F487" s="71" t="s">
        <v>263</v>
      </c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</row>
    <row r="488" spans="1:28" x14ac:dyDescent="0.2">
      <c r="A488" s="115"/>
      <c r="B488" s="71"/>
      <c r="C488" s="71"/>
      <c r="D488" s="233"/>
      <c r="E488" s="71"/>
      <c r="F488" s="71" t="str">
        <f>"average rate "&amp;TEXT(M466,"0.000")&amp;"/"&amp;TEXT(4+M466,"0.000")&amp;" *$"&amp;TEXT(M468,"0.00")&amp;" per MWh)."</f>
        <v>average rate 0.536/4.536 *$13.17 per MWh).</v>
      </c>
      <c r="G488" s="71"/>
      <c r="H488" s="71"/>
      <c r="I488" s="110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</row>
    <row r="489" spans="1:28" x14ac:dyDescent="0.2">
      <c r="A489" s="115"/>
      <c r="B489" s="25" t="s">
        <v>264</v>
      </c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</row>
    <row r="490" spans="1:28" x14ac:dyDescent="0.2">
      <c r="A490" s="115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</row>
    <row r="491" spans="1:28" x14ac:dyDescent="0.2">
      <c r="A491" s="115"/>
      <c r="B491" s="71"/>
      <c r="C491" s="26" t="str">
        <f t="shared" ref="C491" si="69">C6</f>
        <v>SC1/SC5</v>
      </c>
      <c r="D491" s="26" t="str">
        <f>D6</f>
        <v>SC3</v>
      </c>
      <c r="E491" s="26" t="str">
        <f>E6</f>
        <v>SC2 ND</v>
      </c>
      <c r="F491" s="26" t="str">
        <f>F6</f>
        <v>SC4</v>
      </c>
      <c r="G491" s="26" t="str">
        <f>G6</f>
        <v>SC6</v>
      </c>
      <c r="H491" s="26" t="str">
        <f>H6</f>
        <v>SC2 Dem</v>
      </c>
      <c r="I491" s="26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</row>
    <row r="492" spans="1:28" x14ac:dyDescent="0.2">
      <c r="A492" s="115"/>
      <c r="B492" s="27" t="s">
        <v>68</v>
      </c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</row>
    <row r="493" spans="1:28" x14ac:dyDescent="0.2">
      <c r="A493" s="115"/>
      <c r="B493" s="78" t="s">
        <v>265</v>
      </c>
      <c r="C493" s="78">
        <f>ROUND(($D$486*C327)/10,3)</f>
        <v>6.9790000000000001</v>
      </c>
      <c r="D493" s="71"/>
      <c r="E493" s="92">
        <f>ROUND(E327*$D$486/10,3)</f>
        <v>5.992</v>
      </c>
      <c r="F493" s="92">
        <f>ROUND(F327*$D$486/10,3)</f>
        <v>4.3140000000000001</v>
      </c>
      <c r="G493" s="92">
        <f>ROUND(G327*$D$486/10,3)</f>
        <v>4.3079999999999998</v>
      </c>
      <c r="H493" s="92">
        <f>ROUND((C348*$D$486+D348)/10,3)</f>
        <v>4.782</v>
      </c>
      <c r="I493" s="92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</row>
    <row r="494" spans="1:28" x14ac:dyDescent="0.2">
      <c r="A494" s="115"/>
      <c r="B494" s="78" t="s">
        <v>266</v>
      </c>
      <c r="C494" s="71"/>
      <c r="D494" s="92">
        <f>ROUND(D328*$D$486/10,3)</f>
        <v>11.031000000000001</v>
      </c>
      <c r="E494" s="71"/>
      <c r="F494" s="71"/>
      <c r="G494" s="71"/>
      <c r="H494" s="71"/>
      <c r="I494" s="92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</row>
    <row r="495" spans="1:28" x14ac:dyDescent="0.2">
      <c r="A495" s="115"/>
      <c r="B495" s="78" t="s">
        <v>267</v>
      </c>
      <c r="C495" s="71"/>
      <c r="D495" s="92">
        <f>ROUND(D329*$D$486/10,3)</f>
        <v>4.218</v>
      </c>
      <c r="E495" s="71"/>
      <c r="F495" s="71"/>
      <c r="G495" s="71"/>
      <c r="H495" s="71"/>
      <c r="I495" s="92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</row>
    <row r="496" spans="1:28" x14ac:dyDescent="0.2">
      <c r="A496" s="115"/>
      <c r="B496" s="76" t="s">
        <v>40</v>
      </c>
      <c r="C496" s="78">
        <f>ROUND(($D$486*C327+C332)/10,3)</f>
        <v>5.0330000000000004</v>
      </c>
      <c r="D496" s="92"/>
      <c r="E496" s="71"/>
      <c r="F496" s="71"/>
      <c r="G496" s="71"/>
      <c r="H496" s="71"/>
      <c r="I496" s="92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</row>
    <row r="497" spans="1:28" x14ac:dyDescent="0.2">
      <c r="A497" s="115"/>
      <c r="B497" s="78" t="s">
        <v>41</v>
      </c>
      <c r="C497" s="71">
        <f>ROUND(($D$486*C327+C333)/10,3)</f>
        <v>8.3940000000000001</v>
      </c>
      <c r="D497" s="92"/>
      <c r="E497" s="71"/>
      <c r="F497" s="71"/>
      <c r="G497" s="71"/>
      <c r="H497" s="71"/>
      <c r="I497" s="92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</row>
    <row r="498" spans="1:28" x14ac:dyDescent="0.2">
      <c r="A498" s="115"/>
      <c r="B498" s="71"/>
      <c r="C498" s="71"/>
      <c r="D498" s="92"/>
      <c r="E498" s="71"/>
      <c r="F498" s="71"/>
      <c r="G498" s="71"/>
      <c r="H498" s="71"/>
      <c r="I498" s="92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</row>
    <row r="499" spans="1:28" x14ac:dyDescent="0.2">
      <c r="A499" s="115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</row>
    <row r="500" spans="1:28" x14ac:dyDescent="0.2">
      <c r="A500" s="115"/>
      <c r="B500" s="76" t="s">
        <v>268</v>
      </c>
      <c r="C500" s="71"/>
      <c r="D500" s="71"/>
      <c r="E500" s="71"/>
      <c r="F500" s="71"/>
      <c r="G500" s="71"/>
      <c r="H500" s="163">
        <f>I352</f>
        <v>1.3560000000000001</v>
      </c>
      <c r="I500" s="163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</row>
    <row r="501" spans="1:28" x14ac:dyDescent="0.2">
      <c r="A501" s="115"/>
      <c r="B501" s="76" t="s">
        <v>269</v>
      </c>
      <c r="C501" s="71"/>
      <c r="D501" s="71"/>
      <c r="E501" s="71"/>
      <c r="F501" s="71"/>
      <c r="G501" s="71"/>
      <c r="H501" s="163">
        <f>J352</f>
        <v>4.6970000000000001</v>
      </c>
      <c r="I501" s="163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</row>
    <row r="502" spans="1:28" x14ac:dyDescent="0.2">
      <c r="A502" s="115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</row>
    <row r="503" spans="1:28" x14ac:dyDescent="0.2">
      <c r="A503" s="115"/>
      <c r="B503" s="27" t="s">
        <v>61</v>
      </c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</row>
    <row r="504" spans="1:28" x14ac:dyDescent="0.2">
      <c r="A504" s="115"/>
      <c r="B504" s="78" t="s">
        <v>265</v>
      </c>
      <c r="C504" s="92">
        <f>ROUND(C336*$D$486/10,3)</f>
        <v>8.3940000000000001</v>
      </c>
      <c r="D504" s="71"/>
      <c r="E504" s="92">
        <f>ROUND(E336*$D$486/10,3)</f>
        <v>6.4480000000000004</v>
      </c>
      <c r="F504" s="92">
        <f>ROUND(F336*$D$486/10,3)</f>
        <v>5.15</v>
      </c>
      <c r="G504" s="92">
        <f>ROUND(G336*$D$486/10,3)</f>
        <v>5.1150000000000002</v>
      </c>
      <c r="H504" s="92">
        <f>ROUND((C352*$D$486+D352)/10,3)</f>
        <v>5.3929999999999998</v>
      </c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</row>
    <row r="505" spans="1:28" x14ac:dyDescent="0.2">
      <c r="A505" s="115"/>
      <c r="B505" s="78" t="s">
        <v>266</v>
      </c>
      <c r="C505" s="71"/>
      <c r="D505" s="92">
        <f>ROUND(D337*$D$486/10,3)</f>
        <v>10.472</v>
      </c>
      <c r="E505" s="71"/>
      <c r="F505" s="71"/>
      <c r="G505" s="71"/>
      <c r="H505" s="71"/>
      <c r="I505" s="92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</row>
    <row r="506" spans="1:28" x14ac:dyDescent="0.2">
      <c r="A506" s="115"/>
      <c r="B506" s="78" t="s">
        <v>267</v>
      </c>
      <c r="C506" s="71"/>
      <c r="D506" s="92">
        <f>ROUND(D338*$D$486/10,3)</f>
        <v>5.1909999999999998</v>
      </c>
      <c r="E506" s="71"/>
      <c r="F506" s="71"/>
      <c r="G506" s="71"/>
      <c r="H506" s="71"/>
      <c r="I506" s="92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</row>
    <row r="507" spans="1:28" x14ac:dyDescent="0.2">
      <c r="A507" s="115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</row>
    <row r="508" spans="1:28" x14ac:dyDescent="0.2">
      <c r="A508" s="115"/>
      <c r="B508" s="76" t="s">
        <v>268</v>
      </c>
      <c r="C508" s="71"/>
      <c r="D508" s="71"/>
      <c r="E508" s="71"/>
      <c r="F508" s="71"/>
      <c r="G508" s="71"/>
      <c r="H508" s="163">
        <f>I353</f>
        <v>1.339</v>
      </c>
      <c r="I508" s="163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</row>
    <row r="509" spans="1:28" x14ac:dyDescent="0.2">
      <c r="A509" s="115"/>
      <c r="B509" s="76" t="s">
        <v>269</v>
      </c>
      <c r="C509" s="71"/>
      <c r="D509" s="71"/>
      <c r="E509" s="71"/>
      <c r="F509" s="71"/>
      <c r="G509" s="71"/>
      <c r="H509" s="163">
        <f>J353</f>
        <v>4.7329999999999997</v>
      </c>
      <c r="I509" s="163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</row>
    <row r="510" spans="1:28" x14ac:dyDescent="0.2">
      <c r="A510" s="115"/>
      <c r="B510" s="76"/>
      <c r="C510" s="71"/>
      <c r="D510" s="71"/>
      <c r="E510" s="71"/>
      <c r="F510" s="71"/>
      <c r="G510" s="71"/>
      <c r="H510" s="71"/>
      <c r="I510" s="163"/>
      <c r="J510" s="163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</row>
    <row r="511" spans="1:28" x14ac:dyDescent="0.2">
      <c r="A511" s="115"/>
      <c r="B511" s="25" t="s">
        <v>270</v>
      </c>
      <c r="C511" s="71"/>
      <c r="D511" s="71" t="s">
        <v>271</v>
      </c>
      <c r="E511" s="111">
        <v>6.6250000000000003E-2</v>
      </c>
      <c r="F511" s="71"/>
      <c r="G511" s="71"/>
      <c r="H511" s="71"/>
      <c r="I511" s="71"/>
      <c r="J511" s="163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</row>
    <row r="512" spans="1:28" x14ac:dyDescent="0.2">
      <c r="A512" s="115"/>
      <c r="B512" s="71"/>
      <c r="C512" s="71"/>
      <c r="D512" s="71"/>
      <c r="E512" s="71"/>
      <c r="F512" s="71"/>
      <c r="G512" s="71"/>
      <c r="H512" s="71"/>
      <c r="I512" s="71"/>
      <c r="J512" s="163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</row>
    <row r="513" spans="1:28" x14ac:dyDescent="0.2">
      <c r="A513" s="115"/>
      <c r="B513" s="71"/>
      <c r="C513" s="26" t="s">
        <v>272</v>
      </c>
      <c r="D513" s="26" t="s">
        <v>8</v>
      </c>
      <c r="E513" s="26" t="s">
        <v>9</v>
      </c>
      <c r="F513" s="26" t="s">
        <v>10</v>
      </c>
      <c r="G513" s="26" t="s">
        <v>11</v>
      </c>
      <c r="H513" s="26" t="s">
        <v>12</v>
      </c>
      <c r="I513" s="163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</row>
    <row r="514" spans="1:28" x14ac:dyDescent="0.2">
      <c r="A514" s="115"/>
      <c r="B514" s="27" t="s">
        <v>68</v>
      </c>
      <c r="C514" s="71"/>
      <c r="D514" s="71"/>
      <c r="E514" s="71"/>
      <c r="F514" s="71"/>
      <c r="G514" s="71"/>
      <c r="H514" s="71"/>
      <c r="I514" s="163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</row>
    <row r="515" spans="1:28" x14ac:dyDescent="0.2">
      <c r="A515" s="115"/>
      <c r="B515" s="78" t="s">
        <v>265</v>
      </c>
      <c r="C515" s="78"/>
      <c r="D515" s="71"/>
      <c r="E515" s="78">
        <f>ROUND(E493*(1+$E$511),3)</f>
        <v>6.3890000000000002</v>
      </c>
      <c r="F515" s="78">
        <f>ROUND(F493*(1+$E$511),3)</f>
        <v>4.5999999999999996</v>
      </c>
      <c r="G515" s="78">
        <f>ROUND(G493*(1+$E$511),3)</f>
        <v>4.593</v>
      </c>
      <c r="H515" s="78">
        <f>ROUND(H493*(1+$E$511),3)</f>
        <v>5.0990000000000002</v>
      </c>
      <c r="I515" s="163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</row>
    <row r="516" spans="1:28" x14ac:dyDescent="0.2">
      <c r="A516" s="115"/>
      <c r="B516" s="78" t="s">
        <v>266</v>
      </c>
      <c r="C516" s="71"/>
      <c r="D516" s="78">
        <f>ROUND(D494*(1+$E$511),3)</f>
        <v>11.762</v>
      </c>
      <c r="E516" s="71"/>
      <c r="F516" s="71"/>
      <c r="G516" s="71"/>
      <c r="H516" s="71"/>
      <c r="I516" s="163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</row>
    <row r="517" spans="1:28" x14ac:dyDescent="0.2">
      <c r="A517" s="115"/>
      <c r="B517" s="78" t="s">
        <v>267</v>
      </c>
      <c r="C517" s="71"/>
      <c r="D517" s="78">
        <f>ROUND(D495*(1+$E$511),3)</f>
        <v>4.4969999999999999</v>
      </c>
      <c r="E517" s="71"/>
      <c r="F517" s="71"/>
      <c r="G517" s="71"/>
      <c r="H517" s="71"/>
      <c r="I517" s="163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</row>
    <row r="518" spans="1:28" x14ac:dyDescent="0.2">
      <c r="A518" s="115"/>
      <c r="B518" s="76" t="s">
        <v>40</v>
      </c>
      <c r="C518" s="112">
        <f>ROUND(C496*(1+$E$511),3)</f>
        <v>5.3659999999999997</v>
      </c>
      <c r="D518" s="92"/>
      <c r="E518" s="71"/>
      <c r="F518" s="71"/>
      <c r="G518" s="71"/>
      <c r="H518" s="71"/>
      <c r="I518" s="163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</row>
    <row r="519" spans="1:28" x14ac:dyDescent="0.2">
      <c r="A519" s="115"/>
      <c r="B519" s="78" t="s">
        <v>41</v>
      </c>
      <c r="C519" s="112">
        <f>ROUND(C497*(1+$E$511),3)</f>
        <v>8.9499999999999993</v>
      </c>
      <c r="D519" s="92"/>
      <c r="E519" s="71"/>
      <c r="F519" s="71"/>
      <c r="G519" s="71"/>
      <c r="H519" s="71"/>
      <c r="I519" s="163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</row>
    <row r="520" spans="1:28" x14ac:dyDescent="0.2">
      <c r="A520" s="115"/>
      <c r="B520" s="71"/>
      <c r="C520" s="71"/>
      <c r="D520" s="92"/>
      <c r="E520" s="71"/>
      <c r="F520" s="71"/>
      <c r="G520" s="71"/>
      <c r="H520" s="71"/>
      <c r="I520" s="163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</row>
    <row r="521" spans="1:28" x14ac:dyDescent="0.2">
      <c r="A521" s="115"/>
      <c r="B521" s="71"/>
      <c r="C521" s="71"/>
      <c r="D521" s="71"/>
      <c r="E521" s="71"/>
      <c r="F521" s="71"/>
      <c r="G521" s="71"/>
      <c r="H521" s="71"/>
      <c r="I521" s="163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</row>
    <row r="522" spans="1:28" x14ac:dyDescent="0.2">
      <c r="A522" s="115"/>
      <c r="B522" s="76" t="s">
        <v>268</v>
      </c>
      <c r="C522" s="71"/>
      <c r="D522" s="71"/>
      <c r="E522" s="71"/>
      <c r="F522" s="71"/>
      <c r="G522" s="71"/>
      <c r="H522" s="113">
        <f>ROUND(H500*(1+$E$511),3)</f>
        <v>1.446</v>
      </c>
      <c r="I522" s="163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</row>
    <row r="523" spans="1:28" x14ac:dyDescent="0.2">
      <c r="A523" s="115"/>
      <c r="B523" s="76" t="s">
        <v>269</v>
      </c>
      <c r="C523" s="71"/>
      <c r="D523" s="71"/>
      <c r="E523" s="71"/>
      <c r="F523" s="71"/>
      <c r="G523" s="71"/>
      <c r="H523" s="113">
        <f>ROUND(H501*(1+$E$511),3)</f>
        <v>5.008</v>
      </c>
      <c r="I523" s="163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</row>
    <row r="524" spans="1:28" x14ac:dyDescent="0.2">
      <c r="A524" s="115"/>
      <c r="B524" s="76"/>
      <c r="C524" s="71"/>
      <c r="D524" s="71"/>
      <c r="E524" s="71"/>
      <c r="F524" s="71"/>
      <c r="G524" s="71"/>
      <c r="H524" s="113"/>
      <c r="I524" s="163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</row>
    <row r="525" spans="1:28" x14ac:dyDescent="0.2">
      <c r="A525" s="115"/>
      <c r="B525" s="27" t="s">
        <v>61</v>
      </c>
      <c r="C525" s="71"/>
      <c r="D525" s="71"/>
      <c r="E525" s="71"/>
      <c r="F525" s="71"/>
      <c r="G525" s="71"/>
      <c r="H525" s="71"/>
      <c r="I525" s="163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</row>
    <row r="526" spans="1:28" x14ac:dyDescent="0.2">
      <c r="A526" s="115"/>
      <c r="B526" s="78" t="s">
        <v>265</v>
      </c>
      <c r="C526" s="78">
        <f>ROUND(C504*(1+$E$511),3)</f>
        <v>8.9499999999999993</v>
      </c>
      <c r="D526" s="71"/>
      <c r="E526" s="78">
        <f>ROUND(E504*(1+$E$511),3)</f>
        <v>6.875</v>
      </c>
      <c r="F526" s="78">
        <f>ROUND(F504*(1+$E$511),3)</f>
        <v>5.4909999999999997</v>
      </c>
      <c r="G526" s="78">
        <f>ROUND(G504*(1+$E$511),3)</f>
        <v>5.4539999999999997</v>
      </c>
      <c r="H526" s="78">
        <f>ROUND(H504*(1+$E$511),3)</f>
        <v>5.75</v>
      </c>
      <c r="I526" s="163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</row>
    <row r="527" spans="1:28" x14ac:dyDescent="0.2">
      <c r="A527" s="115"/>
      <c r="B527" s="78" t="s">
        <v>266</v>
      </c>
      <c r="C527" s="71"/>
      <c r="D527" s="78">
        <f>ROUND(D505*(1+$E$511),3)</f>
        <v>11.166</v>
      </c>
      <c r="E527" s="71"/>
      <c r="F527" s="71"/>
      <c r="G527" s="71"/>
      <c r="H527" s="71"/>
      <c r="I527" s="163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</row>
    <row r="528" spans="1:28" x14ac:dyDescent="0.2">
      <c r="A528" s="115"/>
      <c r="B528" s="78" t="s">
        <v>267</v>
      </c>
      <c r="C528" s="71"/>
      <c r="D528" s="78">
        <f>ROUND(D506*(1+$E$511),3)</f>
        <v>5.5350000000000001</v>
      </c>
      <c r="E528" s="71"/>
      <c r="F528" s="71"/>
      <c r="G528" s="71"/>
      <c r="H528" s="71"/>
      <c r="I528" s="163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</row>
    <row r="529" spans="1:28" x14ac:dyDescent="0.2">
      <c r="A529" s="115"/>
      <c r="B529" s="71"/>
      <c r="C529" s="71"/>
      <c r="D529" s="71"/>
      <c r="E529" s="71"/>
      <c r="F529" s="71"/>
      <c r="G529" s="71"/>
      <c r="H529" s="71"/>
      <c r="I529" s="163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</row>
    <row r="530" spans="1:28" x14ac:dyDescent="0.2">
      <c r="A530" s="115"/>
      <c r="B530" s="76" t="s">
        <v>268</v>
      </c>
      <c r="C530" s="71"/>
      <c r="D530" s="71"/>
      <c r="E530" s="71"/>
      <c r="F530" s="71"/>
      <c r="G530" s="71"/>
      <c r="H530" s="113">
        <f>ROUND(H508*(1+$E$511),3)</f>
        <v>1.4279999999999999</v>
      </c>
      <c r="I530" s="163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</row>
    <row r="531" spans="1:28" x14ac:dyDescent="0.2">
      <c r="A531" s="115"/>
      <c r="B531" s="76" t="s">
        <v>269</v>
      </c>
      <c r="C531" s="71"/>
      <c r="D531" s="71"/>
      <c r="E531" s="71"/>
      <c r="F531" s="71"/>
      <c r="G531" s="71"/>
      <c r="H531" s="113">
        <f>ROUND(H509*(1+$E$511),3)</f>
        <v>5.0469999999999997</v>
      </c>
      <c r="I531" s="163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</row>
    <row r="532" spans="1:28" x14ac:dyDescent="0.2">
      <c r="A532" s="115"/>
      <c r="B532" s="76"/>
      <c r="C532" s="71"/>
      <c r="D532" s="71"/>
      <c r="E532" s="71"/>
      <c r="F532" s="71"/>
      <c r="G532" s="71"/>
      <c r="H532" s="71"/>
      <c r="I532" s="163"/>
      <c r="J532" s="163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</row>
    <row r="533" spans="1:28" x14ac:dyDescent="0.2">
      <c r="A533" s="115"/>
      <c r="B533" s="76"/>
      <c r="C533" s="71"/>
      <c r="D533" s="71"/>
      <c r="E533" s="71"/>
      <c r="F533" s="71"/>
      <c r="G533" s="71"/>
      <c r="H533" s="71"/>
      <c r="I533" s="163"/>
      <c r="J533" s="163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</row>
    <row r="534" spans="1:28" x14ac:dyDescent="0.2">
      <c r="A534" s="156" t="s">
        <v>273</v>
      </c>
      <c r="B534" s="18" t="s">
        <v>274</v>
      </c>
      <c r="C534" s="71"/>
      <c r="D534" s="71"/>
      <c r="E534" s="71"/>
      <c r="F534" s="71"/>
      <c r="G534" s="71"/>
      <c r="H534" s="71"/>
      <c r="I534" s="71"/>
      <c r="J534" s="163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</row>
    <row r="535" spans="1:28" x14ac:dyDescent="0.2">
      <c r="A535" s="156"/>
      <c r="B535" s="18"/>
      <c r="C535" s="71"/>
      <c r="D535" s="71"/>
      <c r="E535" s="71"/>
      <c r="F535" s="71"/>
      <c r="G535" s="71"/>
      <c r="H535" s="71"/>
      <c r="I535" s="71"/>
      <c r="J535" s="163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</row>
    <row r="536" spans="1:28" x14ac:dyDescent="0.2">
      <c r="A536" s="156"/>
      <c r="B536" s="25" t="s">
        <v>275</v>
      </c>
      <c r="C536" s="71"/>
      <c r="D536" s="71"/>
      <c r="E536" s="71"/>
      <c r="F536" s="71"/>
      <c r="G536" s="71"/>
      <c r="H536" s="71"/>
      <c r="I536" s="71"/>
      <c r="J536" s="163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</row>
    <row r="537" spans="1:28" x14ac:dyDescent="0.2">
      <c r="A537" s="156"/>
      <c r="B537" s="115"/>
      <c r="C537" s="26" t="str">
        <f t="shared" ref="C537" si="70">C491</f>
        <v>SC1/SC5</v>
      </c>
      <c r="D537" s="26" t="str">
        <f>D491</f>
        <v>SC3</v>
      </c>
      <c r="E537" s="26" t="str">
        <f>E491</f>
        <v>SC2 ND</v>
      </c>
      <c r="F537" s="26" t="str">
        <f>F491</f>
        <v>SC4</v>
      </c>
      <c r="G537" s="26" t="str">
        <f>G491</f>
        <v>SC6</v>
      </c>
      <c r="H537" s="26" t="str">
        <f>H491</f>
        <v>SC2 Dem</v>
      </c>
      <c r="I537" s="163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</row>
    <row r="538" spans="1:28" x14ac:dyDescent="0.2">
      <c r="A538" s="156"/>
      <c r="B538" s="115" t="s">
        <v>276</v>
      </c>
      <c r="C538" s="83">
        <v>1.421</v>
      </c>
      <c r="D538" s="83">
        <v>1.421</v>
      </c>
      <c r="E538" s="83">
        <v>0.52300000000000002</v>
      </c>
      <c r="F538" s="83">
        <v>1.147</v>
      </c>
      <c r="G538" s="83">
        <v>1.147</v>
      </c>
      <c r="H538" s="83">
        <v>0.52300000000000002</v>
      </c>
      <c r="I538" s="163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</row>
    <row r="539" spans="1:28" x14ac:dyDescent="0.2">
      <c r="A539" s="156"/>
      <c r="B539" s="115" t="s">
        <v>277</v>
      </c>
      <c r="C539" s="71"/>
      <c r="D539" s="71"/>
      <c r="E539" s="71"/>
      <c r="F539" s="71"/>
      <c r="G539" s="71"/>
      <c r="H539" s="114">
        <v>1.32</v>
      </c>
      <c r="I539" s="163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</row>
    <row r="540" spans="1:28" x14ac:dyDescent="0.2">
      <c r="A540" s="115"/>
      <c r="B540" s="115" t="s">
        <v>278</v>
      </c>
      <c r="C540" s="71"/>
      <c r="D540" s="71"/>
      <c r="E540" s="71"/>
      <c r="F540" s="71"/>
      <c r="G540" s="71"/>
      <c r="H540" s="114">
        <v>1.1100000000000001</v>
      </c>
      <c r="I540" s="163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</row>
    <row r="541" spans="1:28" x14ac:dyDescent="0.2">
      <c r="A541" s="115"/>
      <c r="B541" s="71"/>
      <c r="C541" s="71"/>
      <c r="D541" s="71"/>
      <c r="E541" s="71"/>
      <c r="F541" s="71"/>
      <c r="G541" s="71"/>
      <c r="H541" s="71"/>
      <c r="I541" s="163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</row>
    <row r="542" spans="1:28" x14ac:dyDescent="0.2">
      <c r="A542" s="115"/>
      <c r="B542" s="71"/>
      <c r="C542" s="71"/>
      <c r="D542" s="71"/>
      <c r="E542" s="71"/>
      <c r="F542" s="71"/>
      <c r="G542" s="71"/>
      <c r="H542" s="71"/>
      <c r="I542" s="163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</row>
    <row r="543" spans="1:28" x14ac:dyDescent="0.2">
      <c r="A543" s="115"/>
      <c r="B543" s="25" t="s">
        <v>279</v>
      </c>
      <c r="C543" s="71"/>
      <c r="D543" s="71"/>
      <c r="E543" s="71"/>
      <c r="F543" s="71"/>
      <c r="G543" s="71"/>
      <c r="H543" s="71"/>
      <c r="I543" s="163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</row>
    <row r="544" spans="1:28" x14ac:dyDescent="0.2">
      <c r="A544" s="115"/>
      <c r="B544" s="71"/>
      <c r="C544" s="71"/>
      <c r="D544" s="71"/>
      <c r="E544" s="71"/>
      <c r="F544" s="71"/>
      <c r="G544" s="71"/>
      <c r="H544" s="71"/>
      <c r="I544" s="163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</row>
    <row r="545" spans="1:28" x14ac:dyDescent="0.2">
      <c r="A545" s="115"/>
      <c r="B545" s="71"/>
      <c r="C545" s="71"/>
      <c r="D545" s="71"/>
      <c r="E545" s="71"/>
      <c r="F545" s="71"/>
      <c r="G545" s="71"/>
      <c r="H545" s="71"/>
      <c r="I545" s="163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</row>
    <row r="546" spans="1:28" x14ac:dyDescent="0.2">
      <c r="A546" s="115"/>
      <c r="B546" s="27" t="s">
        <v>68</v>
      </c>
      <c r="C546" s="71"/>
      <c r="D546" s="71"/>
      <c r="E546" s="71"/>
      <c r="F546" s="71"/>
      <c r="G546" s="71"/>
      <c r="H546" s="71"/>
      <c r="I546" s="163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</row>
    <row r="547" spans="1:28" x14ac:dyDescent="0.2">
      <c r="A547" s="115"/>
      <c r="B547" s="78" t="s">
        <v>265</v>
      </c>
      <c r="C547" s="92">
        <f t="shared" ref="C547:H554" si="71">IF(C493&gt;0,C493+C$538,"")</f>
        <v>8.4</v>
      </c>
      <c r="D547" s="92" t="str">
        <f t="shared" si="71"/>
        <v/>
      </c>
      <c r="E547" s="92">
        <f t="shared" si="71"/>
        <v>6.5149999999999997</v>
      </c>
      <c r="F547" s="92">
        <f t="shared" si="71"/>
        <v>5.4610000000000003</v>
      </c>
      <c r="G547" s="92">
        <f t="shared" si="71"/>
        <v>5.4550000000000001</v>
      </c>
      <c r="H547" s="92">
        <f t="shared" si="71"/>
        <v>5.3049999999999997</v>
      </c>
      <c r="I547" s="163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</row>
    <row r="548" spans="1:28" x14ac:dyDescent="0.2">
      <c r="A548" s="115"/>
      <c r="B548" s="78" t="s">
        <v>266</v>
      </c>
      <c r="C548" s="92" t="str">
        <f t="shared" si="71"/>
        <v/>
      </c>
      <c r="D548" s="92">
        <f t="shared" si="71"/>
        <v>12.452</v>
      </c>
      <c r="E548" s="92" t="str">
        <f t="shared" si="71"/>
        <v/>
      </c>
      <c r="F548" s="92" t="str">
        <f t="shared" si="71"/>
        <v/>
      </c>
      <c r="G548" s="92" t="str">
        <f t="shared" si="71"/>
        <v/>
      </c>
      <c r="H548" s="92" t="str">
        <f t="shared" si="71"/>
        <v/>
      </c>
      <c r="I548" s="163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</row>
    <row r="549" spans="1:28" x14ac:dyDescent="0.2">
      <c r="A549" s="115"/>
      <c r="B549" s="78" t="s">
        <v>267</v>
      </c>
      <c r="C549" s="92" t="str">
        <f t="shared" si="71"/>
        <v/>
      </c>
      <c r="D549" s="92">
        <f t="shared" si="71"/>
        <v>5.6390000000000002</v>
      </c>
      <c r="E549" s="92" t="str">
        <f t="shared" si="71"/>
        <v/>
      </c>
      <c r="F549" s="92" t="str">
        <f t="shared" si="71"/>
        <v/>
      </c>
      <c r="G549" s="92" t="str">
        <f t="shared" si="71"/>
        <v/>
      </c>
      <c r="H549" s="92" t="str">
        <f t="shared" si="71"/>
        <v/>
      </c>
      <c r="I549" s="163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</row>
    <row r="550" spans="1:28" x14ac:dyDescent="0.2">
      <c r="A550" s="115"/>
      <c r="B550" s="76" t="s">
        <v>40</v>
      </c>
      <c r="C550" s="92">
        <f t="shared" si="71"/>
        <v>6.4540000000000006</v>
      </c>
      <c r="D550" s="92" t="str">
        <f t="shared" si="71"/>
        <v/>
      </c>
      <c r="E550" s="92" t="str">
        <f t="shared" si="71"/>
        <v/>
      </c>
      <c r="F550" s="92" t="str">
        <f t="shared" si="71"/>
        <v/>
      </c>
      <c r="G550" s="92" t="str">
        <f t="shared" si="71"/>
        <v/>
      </c>
      <c r="H550" s="92" t="str">
        <f t="shared" si="71"/>
        <v/>
      </c>
      <c r="I550" s="163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</row>
    <row r="551" spans="1:28" x14ac:dyDescent="0.2">
      <c r="A551" s="115"/>
      <c r="B551" s="78" t="s">
        <v>41</v>
      </c>
      <c r="C551" s="92">
        <f t="shared" si="71"/>
        <v>9.8149999999999995</v>
      </c>
      <c r="D551" s="92" t="str">
        <f t="shared" si="71"/>
        <v/>
      </c>
      <c r="E551" s="92" t="str">
        <f t="shared" si="71"/>
        <v/>
      </c>
      <c r="F551" s="92" t="str">
        <f t="shared" si="71"/>
        <v/>
      </c>
      <c r="G551" s="92" t="str">
        <f t="shared" si="71"/>
        <v/>
      </c>
      <c r="H551" s="92" t="str">
        <f t="shared" si="71"/>
        <v/>
      </c>
      <c r="I551" s="163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</row>
    <row r="552" spans="1:28" x14ac:dyDescent="0.2">
      <c r="A552" s="115"/>
      <c r="B552" s="92"/>
      <c r="C552" s="92"/>
      <c r="D552" s="92" t="str">
        <f t="shared" si="71"/>
        <v/>
      </c>
      <c r="E552" s="92" t="str">
        <f t="shared" si="71"/>
        <v/>
      </c>
      <c r="F552" s="92" t="str">
        <f t="shared" si="71"/>
        <v/>
      </c>
      <c r="G552" s="92" t="str">
        <f t="shared" si="71"/>
        <v/>
      </c>
      <c r="H552" s="92" t="str">
        <f t="shared" si="71"/>
        <v/>
      </c>
      <c r="I552" s="163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</row>
    <row r="553" spans="1:28" x14ac:dyDescent="0.2">
      <c r="A553" s="115"/>
      <c r="B553" s="71"/>
      <c r="C553" s="92" t="str">
        <f t="shared" si="71"/>
        <v/>
      </c>
      <c r="D553" s="92" t="str">
        <f t="shared" si="71"/>
        <v/>
      </c>
      <c r="E553" s="92" t="str">
        <f t="shared" si="71"/>
        <v/>
      </c>
      <c r="F553" s="92" t="str">
        <f t="shared" si="71"/>
        <v/>
      </c>
      <c r="G553" s="92" t="str">
        <f t="shared" si="71"/>
        <v/>
      </c>
      <c r="H553" s="92" t="str">
        <f t="shared" si="71"/>
        <v/>
      </c>
      <c r="I553" s="163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</row>
    <row r="554" spans="1:28" x14ac:dyDescent="0.2">
      <c r="A554" s="115"/>
      <c r="B554" s="76" t="s">
        <v>280</v>
      </c>
      <c r="C554" s="92" t="str">
        <f t="shared" si="71"/>
        <v/>
      </c>
      <c r="D554" s="92" t="str">
        <f>IF(D500&gt;0,D500+D$538,"")</f>
        <v/>
      </c>
      <c r="E554" s="92" t="str">
        <f>IF(E500&gt;0,E500+E$538,"")</f>
        <v/>
      </c>
      <c r="F554" s="92" t="str">
        <f>IF(F500&gt;0,F500+F$538,"")</f>
        <v/>
      </c>
      <c r="G554" s="92" t="str">
        <f>IF(G500&gt;0,G500+G$538,"")</f>
        <v/>
      </c>
      <c r="H554" s="92">
        <f>IF(H500&gt;0,H500+H$539,"")</f>
        <v>2.6760000000000002</v>
      </c>
      <c r="I554" s="163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</row>
    <row r="555" spans="1:28" x14ac:dyDescent="0.2">
      <c r="A555" s="115"/>
      <c r="B555" s="71"/>
      <c r="C555" s="71"/>
      <c r="D555" s="71"/>
      <c r="E555" s="71"/>
      <c r="F555" s="71"/>
      <c r="G555" s="71"/>
      <c r="H555" s="71"/>
      <c r="I555" s="163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</row>
    <row r="556" spans="1:28" x14ac:dyDescent="0.2">
      <c r="A556" s="115"/>
      <c r="B556" s="27" t="s">
        <v>61</v>
      </c>
      <c r="C556" s="71"/>
      <c r="D556" s="71"/>
      <c r="E556" s="71"/>
      <c r="F556" s="71"/>
      <c r="G556" s="71"/>
      <c r="H556" s="71"/>
      <c r="I556" s="163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</row>
    <row r="557" spans="1:28" x14ac:dyDescent="0.2">
      <c r="A557" s="115"/>
      <c r="B557" s="78" t="s">
        <v>265</v>
      </c>
      <c r="C557" s="92">
        <f t="shared" ref="C557:H561" si="72">IF(C504&gt;0,C504+C$538,"")</f>
        <v>9.8149999999999995</v>
      </c>
      <c r="D557" s="92" t="str">
        <f t="shared" si="72"/>
        <v/>
      </c>
      <c r="E557" s="92">
        <f t="shared" si="72"/>
        <v>6.9710000000000001</v>
      </c>
      <c r="F557" s="92">
        <f t="shared" si="72"/>
        <v>6.2970000000000006</v>
      </c>
      <c r="G557" s="92">
        <f t="shared" si="72"/>
        <v>6.2620000000000005</v>
      </c>
      <c r="H557" s="92">
        <f t="shared" si="72"/>
        <v>5.9159999999999995</v>
      </c>
      <c r="I557" s="163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</row>
    <row r="558" spans="1:28" x14ac:dyDescent="0.2">
      <c r="A558" s="115"/>
      <c r="B558" s="78" t="s">
        <v>266</v>
      </c>
      <c r="C558" s="92" t="str">
        <f t="shared" si="72"/>
        <v/>
      </c>
      <c r="D558" s="92">
        <f t="shared" si="72"/>
        <v>11.892999999999999</v>
      </c>
      <c r="E558" s="92" t="str">
        <f t="shared" si="72"/>
        <v/>
      </c>
      <c r="F558" s="92" t="str">
        <f t="shared" si="72"/>
        <v/>
      </c>
      <c r="G558" s="92" t="str">
        <f t="shared" si="72"/>
        <v/>
      </c>
      <c r="H558" s="92" t="str">
        <f t="shared" si="72"/>
        <v/>
      </c>
      <c r="I558" s="163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</row>
    <row r="559" spans="1:28" x14ac:dyDescent="0.2">
      <c r="A559" s="115"/>
      <c r="B559" s="78" t="s">
        <v>267</v>
      </c>
      <c r="C559" s="92" t="str">
        <f t="shared" si="72"/>
        <v/>
      </c>
      <c r="D559" s="92">
        <f t="shared" si="72"/>
        <v>6.6120000000000001</v>
      </c>
      <c r="E559" s="92" t="str">
        <f t="shared" si="72"/>
        <v/>
      </c>
      <c r="F559" s="92" t="str">
        <f t="shared" si="72"/>
        <v/>
      </c>
      <c r="G559" s="92" t="str">
        <f t="shared" si="72"/>
        <v/>
      </c>
      <c r="H559" s="92" t="str">
        <f t="shared" si="72"/>
        <v/>
      </c>
      <c r="I559" s="163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</row>
    <row r="560" spans="1:28" x14ac:dyDescent="0.2">
      <c r="A560" s="115"/>
      <c r="B560" s="71"/>
      <c r="C560" s="92" t="str">
        <f t="shared" si="72"/>
        <v/>
      </c>
      <c r="D560" s="92" t="str">
        <f>IF(E507&gt;0,E507+D$538,"")</f>
        <v/>
      </c>
      <c r="E560" s="92" t="str">
        <f>IF(F507&gt;0,F507+E$538,"")</f>
        <v/>
      </c>
      <c r="F560" s="92" t="str">
        <f>IF(G507&gt;0,G507+F$538,"")</f>
        <v/>
      </c>
      <c r="G560" s="92" t="str">
        <f>IF(H507&gt;0,H507+G$538,"")</f>
        <v/>
      </c>
      <c r="H560" s="92" t="str">
        <f>IF(I507&gt;0,I507+H$538,"")</f>
        <v/>
      </c>
      <c r="I560" s="163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</row>
    <row r="561" spans="1:28" x14ac:dyDescent="0.2">
      <c r="A561" s="115"/>
      <c r="B561" s="76" t="s">
        <v>280</v>
      </c>
      <c r="C561" s="92" t="str">
        <f t="shared" si="72"/>
        <v/>
      </c>
      <c r="D561" s="92" t="str">
        <f>IF(D508&gt;0,D508+D$538,"")</f>
        <v/>
      </c>
      <c r="E561" s="92" t="str">
        <f>IF(E508&gt;0,E508+E$538,"")</f>
        <v/>
      </c>
      <c r="F561" s="92" t="str">
        <f>IF(F508&gt;0,F508+F$538,"")</f>
        <v/>
      </c>
      <c r="G561" s="92" t="str">
        <f>IF(G508&gt;0,G508+G$538,"")</f>
        <v/>
      </c>
      <c r="H561" s="92">
        <f>IF(H508&gt;0,H508+H$540,"")</f>
        <v>2.4489999999999998</v>
      </c>
      <c r="I561" s="163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</row>
    <row r="562" spans="1:28" x14ac:dyDescent="0.2">
      <c r="A562" s="115"/>
      <c r="B562" s="76"/>
      <c r="C562" s="71"/>
      <c r="D562" s="71"/>
      <c r="E562" s="71"/>
      <c r="F562" s="71"/>
      <c r="G562" s="71"/>
      <c r="H562" s="71"/>
      <c r="I562" s="163"/>
      <c r="J562" s="163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</row>
    <row r="563" spans="1:28" x14ac:dyDescent="0.2">
      <c r="A563" s="115"/>
      <c r="B563" s="76"/>
      <c r="C563" s="71"/>
      <c r="D563" s="71"/>
      <c r="E563" s="71"/>
      <c r="F563" s="71"/>
      <c r="G563" s="71"/>
      <c r="H563" s="71"/>
      <c r="I563" s="163"/>
      <c r="J563" s="163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</row>
    <row r="564" spans="1:28" x14ac:dyDescent="0.2">
      <c r="A564" s="115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</row>
    <row r="565" spans="1:28" x14ac:dyDescent="0.2">
      <c r="A565" s="6"/>
      <c r="B565" s="71"/>
      <c r="C565" s="103"/>
      <c r="D565" s="71"/>
      <c r="E565" s="103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</row>
    <row r="566" spans="1:28" x14ac:dyDescent="0.2">
      <c r="A566" s="156" t="s">
        <v>281</v>
      </c>
      <c r="B566" s="13" t="s">
        <v>282</v>
      </c>
      <c r="C566" s="103"/>
      <c r="D566" s="71"/>
      <c r="E566" s="103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</row>
    <row r="567" spans="1:28" x14ac:dyDescent="0.2">
      <c r="A567" s="6"/>
      <c r="B567" s="71"/>
      <c r="C567" s="103"/>
      <c r="D567" s="71"/>
      <c r="E567" s="103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</row>
    <row r="568" spans="1:28" x14ac:dyDescent="0.2">
      <c r="A568" s="6"/>
      <c r="B568" s="76" t="s">
        <v>283</v>
      </c>
      <c r="C568" s="10">
        <f>+D223</f>
        <v>80.643487224650897</v>
      </c>
      <c r="D568" s="71"/>
      <c r="E568" s="103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</row>
    <row r="569" spans="1:28" x14ac:dyDescent="0.2">
      <c r="A569" s="6"/>
      <c r="B569" s="76" t="s">
        <v>284</v>
      </c>
      <c r="C569" s="234">
        <f>+J377</f>
        <v>0.93169999999999997</v>
      </c>
      <c r="D569" s="71"/>
      <c r="E569" s="103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</row>
    <row r="570" spans="1:28" x14ac:dyDescent="0.2">
      <c r="A570" s="6"/>
      <c r="B570" s="76" t="s">
        <v>285</v>
      </c>
      <c r="C570" s="234">
        <f>+J378</f>
        <v>1.046</v>
      </c>
      <c r="D570" s="71"/>
      <c r="E570" s="103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</row>
    <row r="571" spans="1:28" x14ac:dyDescent="0.2">
      <c r="A571" s="6"/>
      <c r="B571" s="78" t="s">
        <v>286</v>
      </c>
      <c r="C571" s="235">
        <f>ROUND(C568*C569,4)</f>
        <v>75.135499999999993</v>
      </c>
      <c r="D571" s="71"/>
      <c r="E571" s="103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</row>
    <row r="572" spans="1:28" x14ac:dyDescent="0.2">
      <c r="A572" s="6"/>
      <c r="B572" s="78" t="s">
        <v>287</v>
      </c>
      <c r="C572" s="235">
        <f>ROUND(C568*C570,4)</f>
        <v>84.353099999999998</v>
      </c>
      <c r="D572" s="71"/>
      <c r="E572" s="103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</row>
    <row r="573" spans="1:28" x14ac:dyDescent="0.2">
      <c r="A573" s="6"/>
      <c r="B573" s="76"/>
      <c r="C573" s="103"/>
      <c r="D573" s="71"/>
      <c r="E573" s="103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</row>
    <row r="574" spans="1:28" x14ac:dyDescent="0.2">
      <c r="A574" s="6"/>
      <c r="B574" s="71"/>
      <c r="C574" s="103"/>
      <c r="D574" s="71"/>
      <c r="E574" s="103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</row>
    <row r="575" spans="1:28" x14ac:dyDescent="0.2">
      <c r="A575" s="6"/>
      <c r="B575" s="71"/>
      <c r="C575" s="26" t="str">
        <f t="shared" ref="C575" si="73">C6</f>
        <v>SC1/SC5</v>
      </c>
      <c r="D575" s="26" t="str">
        <f>D6</f>
        <v>SC3</v>
      </c>
      <c r="E575" s="26" t="str">
        <f>E6</f>
        <v>SC2 ND</v>
      </c>
      <c r="F575" s="26" t="str">
        <f>F6</f>
        <v>SC4</v>
      </c>
      <c r="G575" s="26" t="str">
        <f>G6</f>
        <v>SC6</v>
      </c>
      <c r="H575" s="26" t="str">
        <f>H6</f>
        <v>SC2 Dem</v>
      </c>
      <c r="I575" s="26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</row>
    <row r="576" spans="1:28" x14ac:dyDescent="0.2">
      <c r="A576" s="6"/>
      <c r="B576" s="87" t="s">
        <v>288</v>
      </c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</row>
    <row r="577" spans="1:28" x14ac:dyDescent="0.2">
      <c r="A577" s="6"/>
      <c r="B577" s="157" t="s">
        <v>68</v>
      </c>
      <c r="C577" s="19">
        <f>ROUND((C493*L48)/100,0)</f>
        <v>19902</v>
      </c>
      <c r="D577" s="82">
        <f>ROUND((D494*M49+D495*M50)/100,0)</f>
        <v>6</v>
      </c>
      <c r="E577" s="19">
        <f>ROUND(E493*N48/100,0)</f>
        <v>420</v>
      </c>
      <c r="F577" s="19">
        <f>ROUND(F493*O48/100,0)</f>
        <v>58</v>
      </c>
      <c r="G577" s="19">
        <f>ROUND(G493*P48/100,0)</f>
        <v>63</v>
      </c>
      <c r="H577" s="82">
        <v>6275</v>
      </c>
      <c r="I577" s="82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</row>
    <row r="578" spans="1:28" x14ac:dyDescent="0.2">
      <c r="A578" s="6"/>
      <c r="B578" s="157" t="s">
        <v>61</v>
      </c>
      <c r="C578" s="28">
        <f>ROUND(C504*L44/100,0)</f>
        <v>31617</v>
      </c>
      <c r="D578" s="236">
        <f>ROUND((D505*M45+D506*M46)/100,0)</f>
        <v>14</v>
      </c>
      <c r="E578" s="28">
        <f>ROUND(E504*N44/100,0)</f>
        <v>1003</v>
      </c>
      <c r="F578" s="28">
        <f>ROUND(F504*O44/100,0)</f>
        <v>176</v>
      </c>
      <c r="G578" s="28">
        <f>ROUND(G504*P44/100,0)</f>
        <v>188</v>
      </c>
      <c r="H578" s="236">
        <v>12614</v>
      </c>
      <c r="I578" s="82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</row>
    <row r="579" spans="1:28" x14ac:dyDescent="0.2">
      <c r="A579" s="6"/>
      <c r="B579" s="157" t="s">
        <v>35</v>
      </c>
      <c r="C579" s="96">
        <f>+C578+C577</f>
        <v>51519</v>
      </c>
      <c r="D579" s="96">
        <f t="shared" ref="D579:H579" si="74">+D578+D577</f>
        <v>20</v>
      </c>
      <c r="E579" s="96">
        <f t="shared" si="74"/>
        <v>1423</v>
      </c>
      <c r="F579" s="96">
        <f t="shared" si="74"/>
        <v>234</v>
      </c>
      <c r="G579" s="96">
        <f t="shared" si="74"/>
        <v>251</v>
      </c>
      <c r="H579" s="96">
        <f t="shared" si="74"/>
        <v>18889</v>
      </c>
      <c r="I579" s="96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</row>
    <row r="580" spans="1:28" x14ac:dyDescent="0.2">
      <c r="A580" s="6"/>
      <c r="B580" s="157"/>
      <c r="C580" s="96"/>
      <c r="D580" s="96"/>
      <c r="E580" s="96"/>
      <c r="F580" s="96"/>
      <c r="G580" s="96"/>
      <c r="H580" s="96"/>
      <c r="I580" s="96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</row>
    <row r="581" spans="1:28" x14ac:dyDescent="0.2">
      <c r="A581" s="6"/>
      <c r="B581" s="157" t="s">
        <v>35</v>
      </c>
      <c r="C581" s="96"/>
      <c r="D581" s="96"/>
      <c r="E581" s="96"/>
      <c r="F581" s="96"/>
      <c r="G581" s="96"/>
      <c r="H581" s="96"/>
      <c r="I581" s="96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</row>
    <row r="582" spans="1:28" x14ac:dyDescent="0.2">
      <c r="A582" s="6"/>
      <c r="B582" s="157" t="s">
        <v>68</v>
      </c>
      <c r="C582" s="96">
        <f>SUM(C577:H577)</f>
        <v>26724</v>
      </c>
      <c r="D582" s="96"/>
      <c r="E582" s="96"/>
      <c r="F582" s="96"/>
      <c r="G582" s="96"/>
      <c r="H582" s="96"/>
      <c r="I582" s="96"/>
      <c r="J582" s="71"/>
      <c r="K582" s="167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</row>
    <row r="583" spans="1:28" x14ac:dyDescent="0.2">
      <c r="A583" s="6"/>
      <c r="B583" s="157" t="s">
        <v>61</v>
      </c>
      <c r="C583" s="29">
        <f>SUM(C578:H578)</f>
        <v>45612</v>
      </c>
      <c r="D583" s="103"/>
      <c r="E583" s="96"/>
      <c r="F583" s="96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</row>
    <row r="584" spans="1:28" x14ac:dyDescent="0.2">
      <c r="A584" s="6"/>
      <c r="B584" s="157" t="s">
        <v>35</v>
      </c>
      <c r="C584" s="30">
        <f>+C583+C582</f>
        <v>72336</v>
      </c>
      <c r="D584" s="103"/>
      <c r="E584" s="30"/>
      <c r="F584" s="30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</row>
    <row r="585" spans="1:28" x14ac:dyDescent="0.2">
      <c r="A585" s="6"/>
      <c r="B585" s="157"/>
      <c r="C585" s="96"/>
      <c r="D585" s="103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</row>
    <row r="586" spans="1:28" x14ac:dyDescent="0.2">
      <c r="A586" s="6"/>
      <c r="B586" s="71"/>
      <c r="C586" s="26" t="str">
        <f t="shared" ref="C586" si="75">C6</f>
        <v>SC1/SC5</v>
      </c>
      <c r="D586" s="26" t="str">
        <f>D6</f>
        <v>SC3</v>
      </c>
      <c r="E586" s="26" t="str">
        <f>E6</f>
        <v>SC2 ND</v>
      </c>
      <c r="F586" s="26" t="str">
        <f>F6</f>
        <v>SC4</v>
      </c>
      <c r="G586" s="26" t="str">
        <f>G6</f>
        <v>SC6</v>
      </c>
      <c r="H586" s="26" t="str">
        <f>H6</f>
        <v>SC2 Dem</v>
      </c>
      <c r="I586" s="26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</row>
    <row r="587" spans="1:28" x14ac:dyDescent="0.2">
      <c r="A587" s="6"/>
      <c r="B587" s="71" t="s">
        <v>289</v>
      </c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</row>
    <row r="588" spans="1:28" x14ac:dyDescent="0.2">
      <c r="A588" s="6"/>
      <c r="B588" s="157" t="s">
        <v>68</v>
      </c>
      <c r="C588" s="19">
        <f t="shared" ref="C588:H588" si="76">+$C571*L48*C78/1000</f>
        <v>23252.376749677573</v>
      </c>
      <c r="D588" s="19">
        <f t="shared" si="76"/>
        <v>7.0124714216109716</v>
      </c>
      <c r="E588" s="19">
        <f t="shared" si="76"/>
        <v>571.0271786690887</v>
      </c>
      <c r="F588" s="19">
        <f t="shared" si="76"/>
        <v>109.37118159304883</v>
      </c>
      <c r="G588" s="19">
        <f t="shared" si="76"/>
        <v>119.77200718287814</v>
      </c>
      <c r="H588" s="19">
        <f t="shared" si="76"/>
        <v>9910.5733796795485</v>
      </c>
      <c r="I588" s="19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</row>
    <row r="589" spans="1:28" x14ac:dyDescent="0.2">
      <c r="A589" s="6"/>
      <c r="B589" s="157" t="s">
        <v>61</v>
      </c>
      <c r="C589" s="28">
        <f t="shared" ref="C589:H589" si="77">+$C572*L44*C78/1000</f>
        <v>34480.534263756075</v>
      </c>
      <c r="D589" s="28">
        <f t="shared" si="77"/>
        <v>18.491829880219051</v>
      </c>
      <c r="E589" s="28">
        <f t="shared" si="77"/>
        <v>1424.511706762815</v>
      </c>
      <c r="F589" s="28">
        <f t="shared" si="77"/>
        <v>310.98590967926464</v>
      </c>
      <c r="G589" s="28">
        <f t="shared" si="77"/>
        <v>335.47981309636134</v>
      </c>
      <c r="H589" s="28">
        <f t="shared" si="77"/>
        <v>20033.381138566812</v>
      </c>
      <c r="I589" s="19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</row>
    <row r="590" spans="1:28" x14ac:dyDescent="0.2">
      <c r="A590" s="6"/>
      <c r="B590" s="157" t="s">
        <v>35</v>
      </c>
      <c r="C590" s="96">
        <f t="shared" ref="C590:H590" si="78">+C589+C588</f>
        <v>57732.911013433652</v>
      </c>
      <c r="D590" s="96">
        <f t="shared" si="78"/>
        <v>25.504301301830022</v>
      </c>
      <c r="E590" s="96">
        <f t="shared" si="78"/>
        <v>1995.5388854319037</v>
      </c>
      <c r="F590" s="96">
        <f t="shared" si="78"/>
        <v>420.35709127231348</v>
      </c>
      <c r="G590" s="19">
        <f t="shared" si="78"/>
        <v>455.2518202792395</v>
      </c>
      <c r="H590" s="19">
        <f t="shared" si="78"/>
        <v>29943.954518246363</v>
      </c>
      <c r="I590" s="19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</row>
    <row r="591" spans="1:28" x14ac:dyDescent="0.2">
      <c r="A591" s="6"/>
      <c r="B591" s="71"/>
      <c r="C591" s="103"/>
      <c r="D591" s="103"/>
      <c r="E591" s="103"/>
      <c r="F591" s="103"/>
      <c r="G591" s="103"/>
      <c r="H591" s="103"/>
      <c r="I591" s="103"/>
      <c r="J591" s="103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</row>
    <row r="592" spans="1:28" x14ac:dyDescent="0.2">
      <c r="A592" s="6"/>
      <c r="B592" s="157" t="s">
        <v>35</v>
      </c>
      <c r="C592" s="166"/>
      <c r="D592" s="103"/>
      <c r="E592" s="103"/>
      <c r="F592" s="103"/>
      <c r="G592" s="103"/>
      <c r="H592" s="103"/>
      <c r="I592" s="103"/>
      <c r="J592" s="103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</row>
    <row r="593" spans="1:28" x14ac:dyDescent="0.2">
      <c r="A593" s="6"/>
      <c r="B593" s="157" t="s">
        <v>68</v>
      </c>
      <c r="C593" s="96">
        <f>SUM(C588:H588)</f>
        <v>33970.132968223748</v>
      </c>
      <c r="D593" s="71"/>
      <c r="E593" s="71"/>
      <c r="F593" s="71"/>
      <c r="G593" s="96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</row>
    <row r="594" spans="1:28" x14ac:dyDescent="0.2">
      <c r="A594" s="6"/>
      <c r="B594" s="157" t="s">
        <v>61</v>
      </c>
      <c r="C594" s="29">
        <f>SUM(C589:H589)</f>
        <v>56603.384661741555</v>
      </c>
      <c r="D594" s="71"/>
      <c r="E594" s="71"/>
      <c r="F594" s="71"/>
      <c r="G594" s="96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</row>
    <row r="595" spans="1:28" x14ac:dyDescent="0.2">
      <c r="A595" s="6"/>
      <c r="B595" s="157" t="s">
        <v>35</v>
      </c>
      <c r="C595" s="96">
        <f>+C594+C593</f>
        <v>90573.517629965296</v>
      </c>
      <c r="D595" s="71"/>
      <c r="E595" s="71"/>
      <c r="F595" s="71"/>
      <c r="G595" s="96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</row>
    <row r="596" spans="1:28" x14ac:dyDescent="0.2">
      <c r="A596" s="6"/>
      <c r="B596" s="71"/>
      <c r="C596" s="103"/>
      <c r="D596" s="31"/>
      <c r="E596" s="103"/>
      <c r="F596" s="233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</row>
    <row r="597" spans="1:28" x14ac:dyDescent="0.2">
      <c r="A597" s="115"/>
      <c r="B597" s="157" t="s">
        <v>290</v>
      </c>
      <c r="C597" s="96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</row>
    <row r="598" spans="1:28" x14ac:dyDescent="0.2">
      <c r="A598" s="115"/>
      <c r="B598" s="157" t="s">
        <v>68</v>
      </c>
      <c r="C598" s="102">
        <f>ROUND($C$147*SUM($C$141:$H$141)/12*H$144/1000*D447,0)</f>
        <v>4594</v>
      </c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</row>
    <row r="599" spans="1:28" x14ac:dyDescent="0.2">
      <c r="A599" s="115"/>
      <c r="B599" s="157" t="s">
        <v>61</v>
      </c>
      <c r="C599" s="32">
        <f>ROUND($C$147*SUM($C$141:$H$141)/12*H$145/1000*D447,0)</f>
        <v>9188</v>
      </c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</row>
    <row r="600" spans="1:28" x14ac:dyDescent="0.2">
      <c r="A600" s="115"/>
      <c r="B600" s="157" t="s">
        <v>35</v>
      </c>
      <c r="C600" s="96">
        <f>SUM(C598:C599)</f>
        <v>13782</v>
      </c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</row>
    <row r="601" spans="1:28" x14ac:dyDescent="0.2">
      <c r="A601" s="115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</row>
    <row r="602" spans="1:28" x14ac:dyDescent="0.2">
      <c r="A602" s="115"/>
      <c r="B602" s="71" t="s">
        <v>291</v>
      </c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</row>
    <row r="603" spans="1:28" x14ac:dyDescent="0.2">
      <c r="A603" s="115"/>
      <c r="B603" s="157" t="s">
        <v>68</v>
      </c>
      <c r="C603" s="96">
        <f>C593-C598</f>
        <v>29376.132968223748</v>
      </c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</row>
    <row r="604" spans="1:28" x14ac:dyDescent="0.2">
      <c r="A604" s="115"/>
      <c r="B604" s="157" t="s">
        <v>61</v>
      </c>
      <c r="C604" s="29">
        <f>C594-C599</f>
        <v>47415.384661741555</v>
      </c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</row>
    <row r="605" spans="1:28" x14ac:dyDescent="0.2">
      <c r="A605" s="115"/>
      <c r="B605" s="157" t="s">
        <v>35</v>
      </c>
      <c r="C605" s="30">
        <f>SUM(C603:C604)</f>
        <v>76791.517629965296</v>
      </c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</row>
    <row r="606" spans="1:28" x14ac:dyDescent="0.2">
      <c r="A606" s="115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</row>
    <row r="607" spans="1:28" x14ac:dyDescent="0.2">
      <c r="A607" s="115"/>
      <c r="B607" s="71" t="s">
        <v>292</v>
      </c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</row>
    <row r="608" spans="1:28" x14ac:dyDescent="0.2">
      <c r="A608" s="115"/>
      <c r="B608" s="157" t="s">
        <v>68</v>
      </c>
      <c r="C608" s="96">
        <f>C603-C582</f>
        <v>2652.1329682237483</v>
      </c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</row>
    <row r="609" spans="1:28" x14ac:dyDescent="0.2">
      <c r="A609" s="115"/>
      <c r="B609" s="157" t="s">
        <v>61</v>
      </c>
      <c r="C609" s="29">
        <f>C604-C583</f>
        <v>1803.3846617415547</v>
      </c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</row>
    <row r="610" spans="1:28" x14ac:dyDescent="0.2">
      <c r="A610" s="115"/>
      <c r="B610" s="157" t="s">
        <v>35</v>
      </c>
      <c r="C610" s="96">
        <f>SUM(C608:C609)</f>
        <v>4455.5176299653031</v>
      </c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</row>
    <row r="611" spans="1:28" x14ac:dyDescent="0.2">
      <c r="A611" s="115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</row>
    <row r="612" spans="1:28" x14ac:dyDescent="0.2">
      <c r="A612" s="115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</row>
    <row r="613" spans="1:28" x14ac:dyDescent="0.2">
      <c r="A613" s="115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</row>
    <row r="614" spans="1:28" x14ac:dyDescent="0.2">
      <c r="A614" s="115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</row>
    <row r="615" spans="1:28" x14ac:dyDescent="0.2">
      <c r="A615" s="115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</row>
    <row r="616" spans="1:28" x14ac:dyDescent="0.2">
      <c r="A616" s="115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</row>
    <row r="617" spans="1:28" x14ac:dyDescent="0.2">
      <c r="A617" s="115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</row>
    <row r="618" spans="1:28" x14ac:dyDescent="0.2">
      <c r="A618" s="115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</row>
    <row r="619" spans="1:28" x14ac:dyDescent="0.2">
      <c r="A619" s="115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</row>
    <row r="620" spans="1:28" x14ac:dyDescent="0.2">
      <c r="A620" s="115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</row>
    <row r="621" spans="1:28" x14ac:dyDescent="0.2">
      <c r="A621" s="115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</row>
    <row r="622" spans="1:28" x14ac:dyDescent="0.2">
      <c r="A622" s="115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</row>
    <row r="623" spans="1:28" x14ac:dyDescent="0.2">
      <c r="A623" s="115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</row>
    <row r="624" spans="1:28" x14ac:dyDescent="0.2">
      <c r="A624" s="115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</row>
    <row r="625" spans="1:28" x14ac:dyDescent="0.2">
      <c r="A625" s="115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</row>
    <row r="626" spans="1:28" x14ac:dyDescent="0.2">
      <c r="A626" s="115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</row>
    <row r="627" spans="1:28" x14ac:dyDescent="0.2">
      <c r="A627" s="115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</row>
    <row r="628" spans="1:28" x14ac:dyDescent="0.2">
      <c r="A628" s="115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</row>
    <row r="629" spans="1:28" x14ac:dyDescent="0.2">
      <c r="A629" s="115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</row>
    <row r="630" spans="1:28" x14ac:dyDescent="0.2">
      <c r="A630" s="115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</row>
    <row r="631" spans="1:28" x14ac:dyDescent="0.2">
      <c r="A631" s="115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</row>
    <row r="632" spans="1:28" x14ac:dyDescent="0.2">
      <c r="A632" s="115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</row>
    <row r="633" spans="1:28" x14ac:dyDescent="0.2">
      <c r="A633" s="115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</row>
    <row r="634" spans="1:28" x14ac:dyDescent="0.2">
      <c r="A634" s="115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</row>
    <row r="635" spans="1:28" x14ac:dyDescent="0.2">
      <c r="A635" s="115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</row>
    <row r="636" spans="1:28" x14ac:dyDescent="0.2">
      <c r="A636" s="115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</row>
    <row r="637" spans="1:28" x14ac:dyDescent="0.2">
      <c r="A637" s="115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</row>
    <row r="638" spans="1:28" x14ac:dyDescent="0.2">
      <c r="A638" s="115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</row>
    <row r="639" spans="1:28" x14ac:dyDescent="0.2">
      <c r="A639" s="115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</row>
    <row r="640" spans="1:28" x14ac:dyDescent="0.2">
      <c r="A640" s="115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</row>
    <row r="641" spans="1:28" x14ac:dyDescent="0.2">
      <c r="A641" s="115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</row>
    <row r="642" spans="1:28" x14ac:dyDescent="0.2">
      <c r="A642" s="115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</row>
    <row r="643" spans="1:28" x14ac:dyDescent="0.2">
      <c r="A643" s="115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</row>
    <row r="644" spans="1:28" x14ac:dyDescent="0.2">
      <c r="A644" s="115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</row>
    <row r="645" spans="1:28" x14ac:dyDescent="0.2">
      <c r="A645" s="115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</row>
    <row r="646" spans="1:28" x14ac:dyDescent="0.2">
      <c r="A646" s="115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</row>
    <row r="647" spans="1:28" x14ac:dyDescent="0.2">
      <c r="A647" s="115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</row>
    <row r="648" spans="1:28" x14ac:dyDescent="0.2">
      <c r="A648" s="115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</row>
    <row r="649" spans="1:28" x14ac:dyDescent="0.2">
      <c r="A649" s="115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</row>
  </sheetData>
  <mergeCells count="3">
    <mergeCell ref="T210:U210"/>
    <mergeCell ref="I376:J376"/>
    <mergeCell ref="I398:J398"/>
  </mergeCells>
  <pageMargins left="0.5" right="0.5" top="1" bottom="0.75" header="0.5" footer="0.5"/>
  <pageSetup scale="86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U208"/>
  <sheetViews>
    <sheetView tabSelected="1" zoomScale="80" zoomScaleNormal="80" workbookViewId="0"/>
  </sheetViews>
  <sheetFormatPr defaultRowHeight="12.75" x14ac:dyDescent="0.2"/>
  <cols>
    <col min="1" max="1" width="9.140625" style="3"/>
    <col min="2" max="2" width="4.7109375" style="3" customWidth="1"/>
    <col min="3" max="3" width="26.140625" style="3" customWidth="1"/>
    <col min="4" max="6" width="9.5703125" style="3" customWidth="1"/>
    <col min="7" max="7" width="9.85546875" style="3" customWidth="1"/>
    <col min="8" max="8" width="2.42578125" style="3" customWidth="1"/>
    <col min="9" max="13" width="9.140625" style="3"/>
    <col min="14" max="14" width="12.85546875" style="3" customWidth="1"/>
    <col min="15" max="17" width="9.140625" style="3"/>
    <col min="18" max="18" width="13.140625" style="3" customWidth="1"/>
    <col min="19" max="16384" width="9.140625" style="3"/>
  </cols>
  <sheetData>
    <row r="1" spans="1:21" x14ac:dyDescent="0.2">
      <c r="A1" s="237" t="s">
        <v>293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x14ac:dyDescent="0.2">
      <c r="A2" s="13" t="str">
        <f>'BGS Cost &amp; Bid Factors'!M1&amp;" BGS Auction"</f>
        <v>2020 BGS Auction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33" customFormat="1" x14ac:dyDescent="0.2">
      <c r="A4" s="13" t="s">
        <v>294</v>
      </c>
      <c r="B4" s="13" t="s">
        <v>295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s="33" customFormat="1" ht="11.25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s="33" customFormat="1" ht="11.25" x14ac:dyDescent="0.2">
      <c r="A6" s="35"/>
      <c r="B6" s="35"/>
      <c r="C6" s="35"/>
      <c r="D6" s="37">
        <f>F6-2</f>
        <v>2018</v>
      </c>
      <c r="E6" s="37">
        <f>F6-1</f>
        <v>2019</v>
      </c>
      <c r="F6" s="37">
        <v>2020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33" customFormat="1" ht="11.25" x14ac:dyDescent="0.2">
      <c r="A7" s="35"/>
      <c r="B7" s="35"/>
      <c r="C7" s="35"/>
      <c r="D7" s="37" t="s">
        <v>296</v>
      </c>
      <c r="E7" s="37" t="s">
        <v>296</v>
      </c>
      <c r="F7" s="37" t="s">
        <v>296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s="33" customFormat="1" ht="11.25" x14ac:dyDescent="0.2">
      <c r="A8" s="35"/>
      <c r="B8" s="38" t="s">
        <v>297</v>
      </c>
      <c r="C8" s="38" t="s">
        <v>298</v>
      </c>
      <c r="D8" s="238" t="s">
        <v>299</v>
      </c>
      <c r="E8" s="238" t="s">
        <v>299</v>
      </c>
      <c r="F8" s="238" t="s">
        <v>299</v>
      </c>
      <c r="G8" s="239" t="s">
        <v>35</v>
      </c>
      <c r="H8" s="35"/>
      <c r="I8" s="38" t="s">
        <v>300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s="33" customFormat="1" ht="11.25" x14ac:dyDescent="0.2">
      <c r="A9" s="35"/>
      <c r="B9" s="37">
        <v>1</v>
      </c>
      <c r="C9" s="35" t="s">
        <v>301</v>
      </c>
      <c r="D9" s="41">
        <v>1</v>
      </c>
      <c r="E9" s="41">
        <v>1</v>
      </c>
      <c r="F9" s="41">
        <v>2</v>
      </c>
      <c r="G9" s="35">
        <f>SUM(D9:F9)</f>
        <v>4</v>
      </c>
      <c r="H9" s="35"/>
      <c r="I9" s="35" t="s">
        <v>302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s="33" customFormat="1" ht="11.25" x14ac:dyDescent="0.2">
      <c r="A10" s="35"/>
      <c r="B10" s="37">
        <v>2</v>
      </c>
      <c r="C10" s="240" t="s">
        <v>303</v>
      </c>
      <c r="D10" s="34">
        <v>8.5939999999999994</v>
      </c>
      <c r="E10" s="34">
        <v>8.8030000000000008</v>
      </c>
      <c r="F10" s="34">
        <v>8.8030000000000008</v>
      </c>
      <c r="G10" s="35"/>
      <c r="H10" s="35"/>
      <c r="I10" s="35" t="str">
        <f>"(Note: "&amp;F6&amp;" Auction Price Shown for Illustrative Purposes Only)"</f>
        <v>(Note: 2020 Auction Price Shown for Illustrative Purposes Only)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s="33" customFormat="1" ht="11.25" x14ac:dyDescent="0.2">
      <c r="A11" s="35"/>
      <c r="B11" s="37">
        <v>3</v>
      </c>
      <c r="C11" s="240" t="s">
        <v>304</v>
      </c>
      <c r="D11" s="34">
        <f>F11</f>
        <v>1.3171767158042882</v>
      </c>
      <c r="E11" s="34">
        <f>F11</f>
        <v>1.3171767158042882</v>
      </c>
      <c r="F11" s="34">
        <f>'BGS Cost &amp; Bid Factors'!M468/10</f>
        <v>1.3171767158042882</v>
      </c>
      <c r="G11" s="35"/>
      <c r="H11" s="35"/>
      <c r="I11" s="35" t="s">
        <v>305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s="33" customFormat="1" ht="11.25" x14ac:dyDescent="0.2">
      <c r="A12" s="35"/>
      <c r="B12" s="37">
        <v>4</v>
      </c>
      <c r="C12" s="240" t="s">
        <v>306</v>
      </c>
      <c r="D12" s="34">
        <f>D10-D11</f>
        <v>7.2768232841957108</v>
      </c>
      <c r="E12" s="34">
        <f>E10-E11</f>
        <v>7.4858232841957122</v>
      </c>
      <c r="F12" s="34">
        <f>F10-F11</f>
        <v>7.4858232841957122</v>
      </c>
      <c r="G12" s="241"/>
      <c r="H12" s="35"/>
      <c r="I12" s="240" t="s">
        <v>307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s="33" customFormat="1" ht="11.25" x14ac:dyDescent="0.2">
      <c r="A13" s="35"/>
      <c r="B13" s="37">
        <v>5</v>
      </c>
      <c r="C13" s="240" t="s">
        <v>308</v>
      </c>
      <c r="D13" s="34">
        <f>D9/$G$9*D12</f>
        <v>1.8192058210489277</v>
      </c>
      <c r="E13" s="34">
        <f>E9/$G$9*E12</f>
        <v>1.871455821048928</v>
      </c>
      <c r="F13" s="34">
        <f>F9/$G$9*F12</f>
        <v>3.7429116420978561</v>
      </c>
      <c r="G13" s="241">
        <f>SUM(D13:F13)</f>
        <v>7.4335732841957114</v>
      </c>
      <c r="H13" s="35"/>
      <c r="I13" s="240" t="s">
        <v>309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s="33" customFormat="1" ht="11.25" x14ac:dyDescent="0.2">
      <c r="A14" s="35"/>
      <c r="B14" s="37">
        <v>6</v>
      </c>
      <c r="C14" s="240" t="s">
        <v>310</v>
      </c>
      <c r="D14" s="34">
        <f>D9/$G$9*D11</f>
        <v>0.32929417895107205</v>
      </c>
      <c r="E14" s="34">
        <f>E9/$G$9*E11</f>
        <v>0.32929417895107205</v>
      </c>
      <c r="F14" s="34">
        <f>F9/$G$9*F11</f>
        <v>0.65858835790214409</v>
      </c>
      <c r="G14" s="241">
        <f>SUM(D14:F14)</f>
        <v>1.3171767158042882</v>
      </c>
      <c r="H14" s="35"/>
      <c r="I14" s="240" t="s">
        <v>311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s="33" customFormat="1" ht="11.25" x14ac:dyDescent="0.2">
      <c r="A15" s="35"/>
      <c r="B15" s="37">
        <v>7</v>
      </c>
      <c r="C15" s="240" t="s">
        <v>312</v>
      </c>
      <c r="D15" s="35"/>
      <c r="E15" s="35"/>
      <c r="F15" s="35"/>
      <c r="G15" s="242">
        <f>G13+G14</f>
        <v>8.75075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s="33" customFormat="1" ht="11.25" x14ac:dyDescent="0.2">
      <c r="A16" s="35"/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s="33" customFormat="1" ht="11.25" x14ac:dyDescent="0.2">
      <c r="A17" s="35"/>
      <c r="B17" s="37"/>
      <c r="C17" s="38" t="s">
        <v>313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s="33" customFormat="1" ht="11.25" x14ac:dyDescent="0.2">
      <c r="A18" s="35"/>
      <c r="B18" s="37">
        <v>8</v>
      </c>
      <c r="C18" s="243" t="s">
        <v>314</v>
      </c>
      <c r="D18" s="36">
        <v>1</v>
      </c>
      <c r="E18" s="36">
        <v>1</v>
      </c>
      <c r="F18" s="36">
        <f>IF('BGS Cost &amp; Bid Factors'!J377&lt;1,1,'BGS Cost &amp; Bid Factors'!J377)</f>
        <v>1</v>
      </c>
      <c r="G18" s="35" t="s">
        <v>315</v>
      </c>
      <c r="H18" s="35"/>
      <c r="I18" s="240" t="s">
        <v>316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s="33" customFormat="1" ht="11.25" x14ac:dyDescent="0.2">
      <c r="A19" s="35"/>
      <c r="B19" s="37">
        <v>9</v>
      </c>
      <c r="C19" s="243" t="s">
        <v>317</v>
      </c>
      <c r="D19" s="36">
        <v>1</v>
      </c>
      <c r="E19" s="36">
        <v>1</v>
      </c>
      <c r="F19" s="36">
        <f>IF('BGS Cost &amp; Bid Factors'!J378&gt;1,1,'BGS Cost &amp; Bid Factors'!J378)</f>
        <v>1</v>
      </c>
      <c r="G19" s="35" t="s">
        <v>315</v>
      </c>
      <c r="H19" s="35"/>
      <c r="I19" s="240" t="s">
        <v>316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s="33" customFormat="1" ht="11.25" x14ac:dyDescent="0.2">
      <c r="A20" s="35"/>
      <c r="B20" s="37"/>
      <c r="C20" s="35"/>
      <c r="D20" s="36"/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s="33" customFormat="1" ht="11.25" x14ac:dyDescent="0.2">
      <c r="A21" s="35"/>
      <c r="B21" s="37"/>
      <c r="C21" s="38" t="s">
        <v>318</v>
      </c>
      <c r="D21" s="35"/>
      <c r="E21" s="35"/>
      <c r="F21" s="37" t="s">
        <v>319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s="33" customFormat="1" ht="11.25" x14ac:dyDescent="0.2">
      <c r="A22" s="35"/>
      <c r="B22" s="37">
        <v>10</v>
      </c>
      <c r="C22" s="244" t="s">
        <v>320</v>
      </c>
      <c r="D22" s="39">
        <f>'Rate Calculations'!$D$251</f>
        <v>394915.23045088351</v>
      </c>
      <c r="E22" s="35"/>
      <c r="F22" s="35"/>
      <c r="G22" s="35"/>
      <c r="H22" s="35"/>
      <c r="I22" s="240" t="s">
        <v>316</v>
      </c>
      <c r="J22" s="35"/>
      <c r="K22" s="35"/>
      <c r="L22" s="35"/>
      <c r="M22" s="35"/>
      <c r="N22" s="39"/>
      <c r="O22" s="35"/>
      <c r="P22" s="35"/>
      <c r="Q22" s="35"/>
      <c r="R22" s="35"/>
      <c r="S22" s="35"/>
      <c r="T22" s="35"/>
      <c r="U22" s="35"/>
    </row>
    <row r="23" spans="1:21" s="33" customFormat="1" ht="11.25" x14ac:dyDescent="0.2">
      <c r="A23" s="35"/>
      <c r="B23" s="37">
        <v>11</v>
      </c>
      <c r="C23" s="244" t="s">
        <v>321</v>
      </c>
      <c r="D23" s="40">
        <f>'Rate Calculations'!$D$252</f>
        <v>586129.18296993652</v>
      </c>
      <c r="E23" s="35"/>
      <c r="F23" s="35"/>
      <c r="G23" s="35"/>
      <c r="H23" s="35"/>
      <c r="I23" s="240" t="s">
        <v>316</v>
      </c>
      <c r="J23" s="35"/>
      <c r="K23" s="35"/>
      <c r="L23" s="35"/>
      <c r="M23" s="35"/>
      <c r="N23" s="39"/>
      <c r="O23" s="35"/>
      <c r="P23" s="35"/>
      <c r="Q23" s="35"/>
      <c r="R23" s="35"/>
      <c r="S23" s="35"/>
      <c r="T23" s="35"/>
      <c r="U23" s="35"/>
    </row>
    <row r="24" spans="1:21" s="33" customFormat="1" ht="11.25" x14ac:dyDescent="0.2">
      <c r="A24" s="35"/>
      <c r="B24" s="37">
        <v>12</v>
      </c>
      <c r="C24" s="35"/>
      <c r="D24" s="39">
        <f>SUM(D22:D23)</f>
        <v>981044.41342082003</v>
      </c>
      <c r="E24" s="35"/>
      <c r="F24" s="35"/>
      <c r="G24" s="35"/>
      <c r="H24" s="35"/>
      <c r="I24" s="35"/>
      <c r="J24" s="35"/>
      <c r="K24" s="35"/>
      <c r="L24" s="35"/>
      <c r="M24" s="35"/>
      <c r="N24" s="39"/>
      <c r="O24" s="35"/>
      <c r="P24" s="35"/>
      <c r="Q24" s="35"/>
      <c r="R24" s="35"/>
      <c r="S24" s="35"/>
      <c r="T24" s="35"/>
      <c r="U24" s="35"/>
    </row>
    <row r="25" spans="1:21" s="33" customFormat="1" ht="11.25" x14ac:dyDescent="0.2">
      <c r="A25" s="35"/>
      <c r="B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s="33" customFormat="1" ht="11.25" x14ac:dyDescent="0.2">
      <c r="A26" s="35"/>
      <c r="B26" s="37"/>
      <c r="C26" s="38" t="s">
        <v>322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s="33" customFormat="1" ht="11.25" x14ac:dyDescent="0.2">
      <c r="A27" s="35"/>
      <c r="B27" s="37">
        <v>13</v>
      </c>
      <c r="C27" s="244" t="s">
        <v>68</v>
      </c>
      <c r="D27" s="39">
        <f>ROUND(D$9/$G$9*D$10/100*D$18*$D$22*1000,0)</f>
        <v>8484754</v>
      </c>
      <c r="E27" s="39">
        <f>ROUND(E$9/$G$9*E$10/100*E$18*$D$22*1000,0)</f>
        <v>8691097</v>
      </c>
      <c r="F27" s="39">
        <f>ROUND(F$9/$G$9*F$10/100*F$18*$D$22*1000,0)</f>
        <v>17382194</v>
      </c>
      <c r="G27" s="39">
        <f>SUM(D27:F27)</f>
        <v>34558045</v>
      </c>
      <c r="H27" s="35"/>
      <c r="I27" s="240" t="s">
        <v>323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s="33" customFormat="1" ht="11.25" x14ac:dyDescent="0.2">
      <c r="A28" s="35"/>
      <c r="B28" s="37">
        <v>14</v>
      </c>
      <c r="C28" s="244" t="s">
        <v>61</v>
      </c>
      <c r="D28" s="40">
        <f>ROUND(D$9/$G$9*D$10/100*D$19*$D$23*1000,0)</f>
        <v>12592985</v>
      </c>
      <c r="E28" s="40">
        <f>ROUND(E$9/$G$9*E$10/100*E$19*$D$23*1000,0)</f>
        <v>12899238</v>
      </c>
      <c r="F28" s="40">
        <f>ROUND(F$9/$G$9*F$10/100*F$19*$D$23*1000,0)</f>
        <v>25798476</v>
      </c>
      <c r="G28" s="40">
        <f>SUM(D28:F28)</f>
        <v>51290699</v>
      </c>
      <c r="H28" s="35"/>
      <c r="I28" s="240" t="s">
        <v>324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s="33" customFormat="1" ht="11.25" x14ac:dyDescent="0.2">
      <c r="A29" s="35"/>
      <c r="B29" s="37">
        <v>15</v>
      </c>
      <c r="C29" s="244" t="s">
        <v>35</v>
      </c>
      <c r="D29" s="39">
        <f>SUM(D27:D28)</f>
        <v>21077739</v>
      </c>
      <c r="E29" s="39">
        <f>SUM(E27:E28)</f>
        <v>21590335</v>
      </c>
      <c r="F29" s="39">
        <f>SUM(F27:F28)</f>
        <v>43180670</v>
      </c>
      <c r="G29" s="39">
        <f>SUM(G27:G28)</f>
        <v>85848744</v>
      </c>
      <c r="H29" s="35"/>
      <c r="I29" s="240" t="s">
        <v>325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s="33" customFormat="1" ht="11.25" x14ac:dyDescent="0.2">
      <c r="A30" s="35"/>
      <c r="B30" s="3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s="33" customFormat="1" ht="11.25" x14ac:dyDescent="0.2">
      <c r="A31" s="35"/>
      <c r="B31" s="37"/>
      <c r="C31" s="245" t="s">
        <v>326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s="33" customFormat="1" ht="11.25" x14ac:dyDescent="0.2">
      <c r="A32" s="35"/>
      <c r="B32" s="37">
        <v>16</v>
      </c>
      <c r="C32" s="244" t="s">
        <v>68</v>
      </c>
      <c r="D32" s="241">
        <f>ROUND(G27/D22/1000*100,3)</f>
        <v>8.7509999999999994</v>
      </c>
      <c r="E32" s="35" t="s">
        <v>110</v>
      </c>
      <c r="F32" s="35"/>
      <c r="G32" s="35"/>
      <c r="H32" s="35"/>
      <c r="I32" s="240" t="s">
        <v>327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s="33" customFormat="1" ht="11.25" x14ac:dyDescent="0.2">
      <c r="A33" s="35"/>
      <c r="B33" s="37">
        <v>17</v>
      </c>
      <c r="C33" s="244" t="s">
        <v>61</v>
      </c>
      <c r="D33" s="241">
        <f>ROUND(G28/D23/1000*100,3)</f>
        <v>8.7509999999999994</v>
      </c>
      <c r="E33" s="35" t="s">
        <v>110</v>
      </c>
      <c r="F33" s="35"/>
      <c r="G33" s="35"/>
      <c r="H33" s="35"/>
      <c r="I33" s="240" t="s">
        <v>328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s="33" customFormat="1" ht="11.25" x14ac:dyDescent="0.2">
      <c r="A34" s="35"/>
      <c r="B34" s="37">
        <v>18</v>
      </c>
      <c r="C34" s="244" t="s">
        <v>35</v>
      </c>
      <c r="D34" s="242">
        <f>ROUND(G29/D24/1000*100,3)</f>
        <v>8.7509999999999994</v>
      </c>
      <c r="E34" s="35" t="s">
        <v>110</v>
      </c>
      <c r="F34" s="35"/>
      <c r="G34" s="35"/>
      <c r="H34" s="35"/>
      <c r="I34" s="240" t="s">
        <v>329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s="33" customFormat="1" ht="11.25" x14ac:dyDescent="0.2">
      <c r="A35" s="35"/>
      <c r="B35" s="37"/>
      <c r="C35" s="39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s="33" customFormat="1" ht="11.25" x14ac:dyDescent="0.2">
      <c r="A36" s="35"/>
      <c r="B36" s="37"/>
      <c r="C36" s="38" t="s">
        <v>330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s="33" customFormat="1" ht="11.25" x14ac:dyDescent="0.2">
      <c r="A37" s="35"/>
      <c r="B37" s="37"/>
      <c r="C37" s="35"/>
      <c r="D37" s="244" t="s">
        <v>331</v>
      </c>
      <c r="E37" s="244" t="s">
        <v>332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s="33" customFormat="1" ht="11.25" x14ac:dyDescent="0.2">
      <c r="A38" s="35"/>
      <c r="B38" s="37"/>
      <c r="C38" s="35"/>
      <c r="D38" s="239" t="s">
        <v>296</v>
      </c>
      <c r="E38" s="239" t="s">
        <v>333</v>
      </c>
      <c r="F38" s="246"/>
      <c r="G38" s="239" t="s">
        <v>35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s="33" customFormat="1" ht="11.25" x14ac:dyDescent="0.2">
      <c r="A39" s="35"/>
      <c r="B39" s="37">
        <v>19</v>
      </c>
      <c r="C39" s="35" t="s">
        <v>301</v>
      </c>
      <c r="D39" s="41">
        <f>SUM(D9:F9)</f>
        <v>4</v>
      </c>
      <c r="E39" s="41">
        <f>'BGS Cost &amp; Bid Factors'!M466</f>
        <v>0.53600000000000003</v>
      </c>
      <c r="F39" s="41"/>
      <c r="G39" s="35">
        <f>SUM(D39:E39)</f>
        <v>4.5359999999999996</v>
      </c>
      <c r="H39" s="35"/>
      <c r="I39" s="35" t="s">
        <v>334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s="33" customFormat="1" ht="11.25" x14ac:dyDescent="0.2">
      <c r="A40" s="35"/>
      <c r="B40" s="37">
        <v>20</v>
      </c>
      <c r="C40" s="35" t="s">
        <v>335</v>
      </c>
      <c r="D40" s="34">
        <f>D34</f>
        <v>8.7509999999999994</v>
      </c>
      <c r="E40" s="34">
        <f>'Rate Calculations'!$D$286*(100/1000)</f>
        <v>5.5140000000000002</v>
      </c>
      <c r="F40" s="34"/>
      <c r="G40" s="35"/>
      <c r="H40" s="35"/>
      <c r="I40" s="35" t="str">
        <f>"BGS Auction from (18)"</f>
        <v>BGS Auction from (18)</v>
      </c>
      <c r="J40" s="35"/>
      <c r="K40" s="35" t="str">
        <f>"Note "&amp;$E$40&amp;"¢ for RFP is illustrative"</f>
        <v>Note 5.514¢ for RFP is illustrative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s="33" customFormat="1" ht="11.25" x14ac:dyDescent="0.2">
      <c r="A41" s="35"/>
      <c r="B41" s="37"/>
      <c r="C41" s="35"/>
      <c r="D41" s="34"/>
      <c r="E41" s="249"/>
      <c r="F41" s="34"/>
      <c r="G41" s="35"/>
      <c r="H41" s="35"/>
      <c r="I41" s="35" t="s">
        <v>336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s="33" customFormat="1" ht="11.25" x14ac:dyDescent="0.2">
      <c r="A42" s="35"/>
      <c r="B42" s="37">
        <v>21</v>
      </c>
      <c r="C42" s="35" t="s">
        <v>337</v>
      </c>
      <c r="D42" s="34">
        <f>F11</f>
        <v>1.3171767158042882</v>
      </c>
      <c r="E42" s="34">
        <v>0</v>
      </c>
      <c r="F42" s="41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s="33" customFormat="1" ht="11.25" x14ac:dyDescent="0.2">
      <c r="A43" s="35"/>
      <c r="B43" s="37">
        <v>22</v>
      </c>
      <c r="C43" s="35" t="s">
        <v>331</v>
      </c>
      <c r="D43" s="34">
        <f>D40-D42</f>
        <v>7.4338232841957108</v>
      </c>
      <c r="E43" s="41">
        <f>E40-E42</f>
        <v>5.5140000000000002</v>
      </c>
      <c r="F43" s="41"/>
      <c r="G43" s="35"/>
      <c r="H43" s="35"/>
      <c r="I43" s="240" t="s">
        <v>338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s="33" customFormat="1" ht="11.25" x14ac:dyDescent="0.2">
      <c r="A44" s="35"/>
      <c r="B44" s="37">
        <v>23</v>
      </c>
      <c r="C44" s="240" t="s">
        <v>308</v>
      </c>
      <c r="D44" s="34">
        <f>D39/$G$39*D43</f>
        <v>6.5553997215129733</v>
      </c>
      <c r="E44" s="34">
        <f>E39/$G$39*E43</f>
        <v>0.65156613756613768</v>
      </c>
      <c r="F44" s="34"/>
      <c r="G44" s="241">
        <f>SUM(D44:E44)</f>
        <v>7.2069658590791112</v>
      </c>
      <c r="H44" s="35"/>
      <c r="I44" s="240" t="s">
        <v>339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s="33" customFormat="1" ht="12" thickBot="1" x14ac:dyDescent="0.25">
      <c r="A45" s="35"/>
      <c r="B45" s="37">
        <v>24</v>
      </c>
      <c r="C45" s="240" t="s">
        <v>310</v>
      </c>
      <c r="D45" s="34">
        <f>D39/$G$39*D42</f>
        <v>1.1615314954182436</v>
      </c>
      <c r="E45" s="34">
        <f>E39/$G$39*E42</f>
        <v>0</v>
      </c>
      <c r="F45" s="34"/>
      <c r="G45" s="241">
        <f>SUM(D45:E45)</f>
        <v>1.1615314954182436</v>
      </c>
      <c r="H45" s="35"/>
      <c r="I45" s="240" t="s">
        <v>340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s="33" customFormat="1" ht="12" thickBot="1" x14ac:dyDescent="0.25">
      <c r="A46" s="35"/>
      <c r="B46" s="37">
        <v>25</v>
      </c>
      <c r="C46" s="247" t="s">
        <v>341</v>
      </c>
      <c r="D46" s="35"/>
      <c r="E46" s="35"/>
      <c r="F46" s="35"/>
      <c r="G46" s="42">
        <f>ROUND(G44+G45,3)</f>
        <v>8.3680000000000003</v>
      </c>
      <c r="H46" s="35"/>
      <c r="I46" s="240" t="s">
        <v>342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21" x14ac:dyDescent="0.2">
      <c r="A48" s="71"/>
      <c r="B48" s="71"/>
      <c r="C48" s="248" t="s">
        <v>343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 x14ac:dyDescent="0.2">
      <c r="A49" s="71"/>
      <c r="B49" s="71"/>
      <c r="C49" s="248" t="s">
        <v>344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1:21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:2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:2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1:2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1:2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1:2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1:2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1:21" x14ac:dyDescent="0.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1:2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1:2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1:2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1:2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:2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1:2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1:2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1:2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1:2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1:21" x14ac:dyDescent="0.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1:21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1:21" x14ac:dyDescent="0.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1:21" x14ac:dyDescent="0.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1:21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1:2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1:2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1:2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1:2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1:21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1:21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1:21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1:21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x14ac:dyDescent="0.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x14ac:dyDescent="0.2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x14ac:dyDescent="0.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x14ac:dyDescent="0.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x14ac:dyDescent="0.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x14ac:dyDescent="0.2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x14ac:dyDescent="0.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x14ac:dyDescent="0.2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x14ac:dyDescent="0.2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x14ac:dyDescent="0.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x14ac:dyDescent="0.2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x14ac:dyDescent="0.2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x14ac:dyDescent="0.2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x14ac:dyDescent="0.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x14ac:dyDescent="0.2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x14ac:dyDescent="0.2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x14ac:dyDescent="0.2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x14ac:dyDescent="0.2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x14ac:dyDescent="0.2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x14ac:dyDescent="0.2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x14ac:dyDescent="0.2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x14ac:dyDescent="0.2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x14ac:dyDescent="0.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x14ac:dyDescent="0.2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x14ac:dyDescent="0.2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x14ac:dyDescent="0.2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x14ac:dyDescent="0.2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x14ac:dyDescent="0.2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x14ac:dyDescent="0.2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x14ac:dyDescent="0.2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x14ac:dyDescent="0.2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x14ac:dyDescent="0.2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x14ac:dyDescent="0.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x14ac:dyDescent="0.2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x14ac:dyDescent="0.2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x14ac:dyDescent="0.2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x14ac:dyDescent="0.2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x14ac:dyDescent="0.2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x14ac:dyDescent="0.2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x14ac:dyDescent="0.2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x14ac:dyDescent="0.2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x14ac:dyDescent="0.2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x14ac:dyDescent="0.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x14ac:dyDescent="0.2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x14ac:dyDescent="0.2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x14ac:dyDescent="0.2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x14ac:dyDescent="0.2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x14ac:dyDescent="0.2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x14ac:dyDescent="0.2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x14ac:dyDescent="0.2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x14ac:dyDescent="0.2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x14ac:dyDescent="0.2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x14ac:dyDescent="0.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x14ac:dyDescent="0.2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x14ac:dyDescent="0.2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x14ac:dyDescent="0.2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x14ac:dyDescent="0.2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x14ac:dyDescent="0.2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x14ac:dyDescent="0.2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x14ac:dyDescent="0.2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x14ac:dyDescent="0.2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x14ac:dyDescent="0.2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x14ac:dyDescent="0.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x14ac:dyDescent="0.2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x14ac:dyDescent="0.2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x14ac:dyDescent="0.2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x14ac:dyDescent="0.2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x14ac:dyDescent="0.2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x14ac:dyDescent="0.2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x14ac:dyDescent="0.2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x14ac:dyDescent="0.2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x14ac:dyDescent="0.2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x14ac:dyDescent="0.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x14ac:dyDescent="0.2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x14ac:dyDescent="0.2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21" x14ac:dyDescent="0.2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</row>
    <row r="176" spans="1:21" x14ac:dyDescent="0.2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</row>
    <row r="177" spans="1:21" x14ac:dyDescent="0.2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</row>
    <row r="178" spans="1:21" x14ac:dyDescent="0.2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</row>
    <row r="179" spans="1:21" x14ac:dyDescent="0.2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</row>
    <row r="180" spans="1:21" x14ac:dyDescent="0.2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</row>
    <row r="181" spans="1:21" x14ac:dyDescent="0.2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</row>
    <row r="182" spans="1:21" x14ac:dyDescent="0.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</row>
    <row r="183" spans="1:21" x14ac:dyDescent="0.2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</row>
    <row r="184" spans="1:21" x14ac:dyDescent="0.2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</row>
    <row r="185" spans="1:21" x14ac:dyDescent="0.2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</row>
    <row r="186" spans="1:21" x14ac:dyDescent="0.2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</row>
    <row r="187" spans="1:21" x14ac:dyDescent="0.2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</row>
    <row r="188" spans="1:21" x14ac:dyDescent="0.2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</row>
    <row r="189" spans="1:21" x14ac:dyDescent="0.2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</row>
    <row r="190" spans="1:21" x14ac:dyDescent="0.2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</row>
    <row r="191" spans="1:21" x14ac:dyDescent="0.2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</row>
    <row r="192" spans="1:21" x14ac:dyDescent="0.2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</row>
    <row r="193" spans="1:21" x14ac:dyDescent="0.2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</row>
    <row r="194" spans="1:21" x14ac:dyDescent="0.2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</row>
    <row r="195" spans="1:21" x14ac:dyDescent="0.2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</row>
    <row r="196" spans="1:21" x14ac:dyDescent="0.2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</row>
    <row r="197" spans="1:21" x14ac:dyDescent="0.2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</row>
    <row r="198" spans="1:21" x14ac:dyDescent="0.2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</row>
    <row r="199" spans="1:21" x14ac:dyDescent="0.2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</row>
    <row r="200" spans="1:21" x14ac:dyDescent="0.2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</row>
    <row r="201" spans="1:21" x14ac:dyDescent="0.2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</row>
    <row r="202" spans="1:21" x14ac:dyDescent="0.2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</row>
    <row r="203" spans="1:21" x14ac:dyDescent="0.2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</row>
    <row r="204" spans="1:21" x14ac:dyDescent="0.2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</row>
    <row r="205" spans="1:21" x14ac:dyDescent="0.2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</row>
    <row r="206" spans="1:21" x14ac:dyDescent="0.2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</row>
    <row r="207" spans="1:21" x14ac:dyDescent="0.2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</row>
    <row r="208" spans="1:21" x14ac:dyDescent="0.2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</row>
  </sheetData>
  <printOptions horizontalCentered="1"/>
  <pageMargins left="0.5" right="0.5" top="0.5" bottom="0.5" header="0.5" footer="0.5"/>
  <pageSetup scale="93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AJ286"/>
  <sheetViews>
    <sheetView zoomScale="80" zoomScaleNormal="80" workbookViewId="0">
      <pane ySplit="3" topLeftCell="A4" activePane="bottomLeft" state="frozen"/>
      <selection activeCell="M404" sqref="M404"/>
      <selection pane="bottomLeft" activeCell="A40" sqref="A40"/>
    </sheetView>
  </sheetViews>
  <sheetFormatPr defaultRowHeight="12.75" x14ac:dyDescent="0.2"/>
  <cols>
    <col min="1" max="1" width="9.5703125" style="1" customWidth="1"/>
    <col min="2" max="2" width="27.85546875" customWidth="1"/>
    <col min="3" max="3" width="14.140625" customWidth="1"/>
    <col min="4" max="4" width="14.85546875" customWidth="1"/>
    <col min="5" max="5" width="12.7109375" customWidth="1"/>
    <col min="6" max="7" width="13.42578125" customWidth="1"/>
    <col min="8" max="8" width="12.7109375" customWidth="1"/>
    <col min="9" max="9" width="11.85546875" customWidth="1"/>
    <col min="10" max="10" width="12.5703125" customWidth="1"/>
    <col min="11" max="11" width="10.7109375" customWidth="1"/>
    <col min="12" max="12" width="11.7109375" customWidth="1"/>
    <col min="13" max="14" width="9.42578125" customWidth="1"/>
    <col min="15" max="15" width="11.7109375" customWidth="1"/>
    <col min="16" max="17" width="9.42578125" customWidth="1"/>
    <col min="18" max="18" width="11.5703125" customWidth="1"/>
    <col min="19" max="19" width="8.7109375" customWidth="1"/>
    <col min="20" max="20" width="12.7109375" customWidth="1"/>
    <col min="21" max="21" width="10.140625" customWidth="1"/>
    <col min="22" max="26" width="8.7109375" customWidth="1"/>
    <col min="27" max="27" width="18.42578125" customWidth="1"/>
    <col min="28" max="28" width="19.28515625" customWidth="1"/>
    <col min="29" max="29" width="21" customWidth="1"/>
    <col min="30" max="37" width="9.42578125" customWidth="1"/>
  </cols>
  <sheetData>
    <row r="1" spans="1:22" x14ac:dyDescent="0.2">
      <c r="A1" s="237" t="s">
        <v>293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x14ac:dyDescent="0.2">
      <c r="A2" s="13" t="str">
        <f>'BGS Cost &amp; Bid Factors'!M1 &amp;" BGS Auction"</f>
        <v>2020 BGS Auction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x14ac:dyDescent="0.2">
      <c r="A3" s="13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x14ac:dyDescent="0.2">
      <c r="A4" s="1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x14ac:dyDescent="0.2">
      <c r="A5" s="115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x14ac:dyDescent="0.2">
      <c r="A6" s="214" t="s">
        <v>345</v>
      </c>
      <c r="B6" s="18" t="s">
        <v>180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x14ac:dyDescent="0.2">
      <c r="A7" s="156"/>
      <c r="B7" s="87" t="s">
        <v>346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x14ac:dyDescent="0.2">
      <c r="A8" s="6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x14ac:dyDescent="0.2">
      <c r="A9" s="6"/>
      <c r="B9" s="13" t="s">
        <v>161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x14ac:dyDescent="0.2">
      <c r="A10" s="6"/>
      <c r="B10" s="7" t="s">
        <v>347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2" x14ac:dyDescent="0.2">
      <c r="A11" s="6"/>
      <c r="B11" s="13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x14ac:dyDescent="0.2">
      <c r="A12" s="6"/>
      <c r="B12" s="71"/>
      <c r="C12" s="22" t="str">
        <f>'BGS Cost &amp; Bid Factors'!C$6</f>
        <v>SC1/SC5</v>
      </c>
      <c r="D12" s="22" t="str">
        <f>'BGS Cost &amp; Bid Factors'!D$6</f>
        <v>SC3</v>
      </c>
      <c r="E12" s="22" t="str">
        <f>'BGS Cost &amp; Bid Factors'!E$6</f>
        <v>SC2 ND</v>
      </c>
      <c r="F12" s="22" t="str">
        <f>'BGS Cost &amp; Bid Factors'!F$6</f>
        <v>SC4</v>
      </c>
      <c r="G12" s="22" t="str">
        <f>'BGS Cost &amp; Bid Factors'!G$6</f>
        <v>SC6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22" x14ac:dyDescent="0.2">
      <c r="A13" s="6"/>
      <c r="B13" s="71"/>
      <c r="C13" s="26"/>
      <c r="D13" s="26"/>
      <c r="E13" s="26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22" x14ac:dyDescent="0.2">
      <c r="A14" s="6"/>
      <c r="B14" s="98" t="s">
        <v>63</v>
      </c>
      <c r="C14" s="14">
        <f>'BGS Cost &amp; Bid Factors'!C327</f>
        <v>1.0109999999999999</v>
      </c>
      <c r="D14" s="196"/>
      <c r="E14" s="14">
        <f>'BGS Cost &amp; Bid Factors'!E327</f>
        <v>0.86799999999999999</v>
      </c>
      <c r="F14" s="14">
        <f>'BGS Cost &amp; Bid Factors'!F327</f>
        <v>0.625</v>
      </c>
      <c r="G14" s="14">
        <f>'BGS Cost &amp; Bid Factors'!G327</f>
        <v>0.624</v>
      </c>
      <c r="H14" s="103"/>
      <c r="I14" s="103"/>
      <c r="J14" s="103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2" x14ac:dyDescent="0.2">
      <c r="A15" s="6"/>
      <c r="B15" s="99" t="s">
        <v>78</v>
      </c>
      <c r="C15" s="196"/>
      <c r="D15" s="14">
        <f>'BGS Cost &amp; Bid Factors'!D328</f>
        <v>1.5980000000000001</v>
      </c>
      <c r="E15" s="196"/>
      <c r="F15" s="196"/>
      <c r="G15" s="196"/>
      <c r="H15" s="103"/>
      <c r="I15" s="103"/>
      <c r="J15" s="103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2" x14ac:dyDescent="0.2">
      <c r="A16" s="6"/>
      <c r="B16" s="99" t="s">
        <v>79</v>
      </c>
      <c r="C16" s="196"/>
      <c r="D16" s="14">
        <f>'BGS Cost &amp; Bid Factors'!D329</f>
        <v>0.61099999999999999</v>
      </c>
      <c r="E16" s="196"/>
      <c r="F16" s="196"/>
      <c r="G16" s="196"/>
      <c r="H16" s="103"/>
      <c r="I16" s="103"/>
      <c r="J16" s="103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x14ac:dyDescent="0.2">
      <c r="A17" s="6"/>
      <c r="B17" s="71"/>
      <c r="C17" s="196"/>
      <c r="D17" s="196"/>
      <c r="E17" s="196"/>
      <c r="F17" s="196"/>
      <c r="G17" s="196"/>
      <c r="H17" s="103"/>
      <c r="I17" s="103"/>
      <c r="J17" s="103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x14ac:dyDescent="0.2">
      <c r="A18" s="6"/>
      <c r="B18" s="15"/>
      <c r="C18" s="71"/>
      <c r="D18" s="196"/>
      <c r="E18" s="196"/>
      <c r="F18" s="196"/>
      <c r="G18" s="196"/>
      <c r="H18" s="103"/>
      <c r="I18" s="103"/>
      <c r="J18" s="103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2" x14ac:dyDescent="0.2">
      <c r="A19" s="6"/>
      <c r="B19" s="16" t="s">
        <v>164</v>
      </c>
      <c r="C19" s="43">
        <f>'BGS Cost &amp; Bid Factors'!C332</f>
        <v>-19.460190000000004</v>
      </c>
      <c r="D19" s="196"/>
      <c r="E19" s="196"/>
      <c r="F19" s="196"/>
      <c r="G19" s="196"/>
      <c r="H19" s="103"/>
      <c r="I19" s="103"/>
      <c r="J19" s="103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x14ac:dyDescent="0.2">
      <c r="A20" s="6"/>
      <c r="B20" s="16" t="s">
        <v>165</v>
      </c>
      <c r="C20" s="17">
        <f>'BGS Cost &amp; Bid Factors'!C333</f>
        <v>14.149810000000002</v>
      </c>
      <c r="D20" s="196"/>
      <c r="E20" s="196"/>
      <c r="F20" s="196"/>
      <c r="G20" s="196"/>
      <c r="H20" s="103"/>
      <c r="I20" s="103"/>
      <c r="J20" s="103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 x14ac:dyDescent="0.2">
      <c r="A21" s="6"/>
      <c r="B21" s="196"/>
      <c r="C21" s="196"/>
      <c r="D21" s="196"/>
      <c r="E21" s="196"/>
      <c r="F21" s="196"/>
      <c r="G21" s="196"/>
      <c r="H21" s="103"/>
      <c r="I21" s="103"/>
      <c r="J21" s="103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 x14ac:dyDescent="0.2">
      <c r="A22" s="6"/>
      <c r="B22" s="71"/>
      <c r="C22" s="196"/>
      <c r="D22" s="196"/>
      <c r="E22" s="196"/>
      <c r="F22" s="196"/>
      <c r="G22" s="196"/>
      <c r="H22" s="103"/>
      <c r="I22" s="103"/>
      <c r="J22" s="103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spans="1:22" x14ac:dyDescent="0.2">
      <c r="A23" s="6"/>
      <c r="B23" s="98" t="s">
        <v>69</v>
      </c>
      <c r="C23" s="14">
        <f>'BGS Cost &amp; Bid Factors'!C336</f>
        <v>1.216</v>
      </c>
      <c r="D23" s="196"/>
      <c r="E23" s="14">
        <f>'BGS Cost &amp; Bid Factors'!E336</f>
        <v>0.93400000000000005</v>
      </c>
      <c r="F23" s="14">
        <f>'BGS Cost &amp; Bid Factors'!F336</f>
        <v>0.746</v>
      </c>
      <c r="G23" s="14">
        <f>'BGS Cost &amp; Bid Factors'!G336</f>
        <v>0.74099999999999999</v>
      </c>
      <c r="H23" s="103"/>
      <c r="I23" s="103"/>
      <c r="J23" s="103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22" x14ac:dyDescent="0.2">
      <c r="A24" s="6"/>
      <c r="B24" s="99" t="s">
        <v>78</v>
      </c>
      <c r="C24" s="196"/>
      <c r="D24" s="14">
        <f>'BGS Cost &amp; Bid Factors'!D337</f>
        <v>1.5169999999999999</v>
      </c>
      <c r="E24" s="196"/>
      <c r="F24" s="196"/>
      <c r="G24" s="196"/>
      <c r="H24" s="103"/>
      <c r="I24" s="103"/>
      <c r="J24" s="103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</row>
    <row r="25" spans="1:22" x14ac:dyDescent="0.2">
      <c r="A25" s="6"/>
      <c r="B25" s="99" t="s">
        <v>79</v>
      </c>
      <c r="C25" s="196"/>
      <c r="D25" s="14">
        <f>'BGS Cost &amp; Bid Factors'!D338</f>
        <v>0.752</v>
      </c>
      <c r="E25" s="196"/>
      <c r="F25" s="196"/>
      <c r="G25" s="196"/>
      <c r="H25" s="103"/>
      <c r="I25" s="103"/>
      <c r="J25" s="103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</row>
    <row r="26" spans="1:22" x14ac:dyDescent="0.2">
      <c r="A26" s="6"/>
      <c r="B26" s="71"/>
      <c r="C26" s="103"/>
      <c r="D26" s="103"/>
      <c r="E26" s="103"/>
      <c r="F26" s="103"/>
      <c r="G26" s="103"/>
      <c r="H26" s="103"/>
      <c r="I26" s="103"/>
      <c r="J26" s="103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pans="1:22" x14ac:dyDescent="0.2">
      <c r="A27" s="6"/>
      <c r="B27" s="71" t="s">
        <v>166</v>
      </c>
      <c r="C27" s="198">
        <f>'BGS Cost &amp; Bid Factors'!C340</f>
        <v>1.127</v>
      </c>
      <c r="D27" s="198">
        <f>'BGS Cost &amp; Bid Factors'!D340</f>
        <v>1.016</v>
      </c>
      <c r="E27" s="198">
        <f>'BGS Cost &amp; Bid Factors'!E340</f>
        <v>0.91358512211625864</v>
      </c>
      <c r="F27" s="198">
        <f>'BGS Cost &amp; Bid Factors'!F340</f>
        <v>0.71199999999999997</v>
      </c>
      <c r="G27" s="198">
        <f>'BGS Cost &amp; Bid Factors'!G340</f>
        <v>0.70699999999999996</v>
      </c>
      <c r="H27" s="103"/>
      <c r="I27" s="103"/>
      <c r="J27" s="103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1:22" x14ac:dyDescent="0.2">
      <c r="A28" s="6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</row>
    <row r="29" spans="1:22" x14ac:dyDescent="0.2">
      <c r="A29" s="6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</row>
    <row r="30" spans="1:22" x14ac:dyDescent="0.2">
      <c r="A30" s="6"/>
      <c r="B30" s="13" t="s">
        <v>167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</row>
    <row r="31" spans="1:22" x14ac:dyDescent="0.2">
      <c r="A31" s="6"/>
      <c r="B31" s="7" t="s">
        <v>181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22" x14ac:dyDescent="0.2">
      <c r="A32" s="6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x14ac:dyDescent="0.2">
      <c r="A33" s="6"/>
      <c r="B33" s="71"/>
      <c r="C33" s="15" t="str">
        <f>'BGS Cost &amp; Bid Factors'!H6</f>
        <v>SC2 Dem</v>
      </c>
      <c r="D33" s="15" t="str">
        <f>+C33</f>
        <v>SC2 Dem</v>
      </c>
      <c r="E33" s="26"/>
      <c r="F33" s="26"/>
      <c r="G33" s="200" t="s">
        <v>131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x14ac:dyDescent="0.2">
      <c r="A34" s="6"/>
      <c r="B34" s="71"/>
      <c r="C34" s="22" t="s">
        <v>169</v>
      </c>
      <c r="D34" s="207" t="s">
        <v>170</v>
      </c>
      <c r="E34" s="26"/>
      <c r="F34" s="26"/>
      <c r="G34" s="147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x14ac:dyDescent="0.2">
      <c r="A35" s="6"/>
      <c r="B35" s="98" t="s">
        <v>63</v>
      </c>
      <c r="C35" s="14">
        <f>'BGS Cost &amp; Bid Factors'!C348</f>
        <v>0.93899999999999995</v>
      </c>
      <c r="D35" s="14">
        <f>'BGS Cost &amp; Bid Factors'!D348</f>
        <v>-17.004220233930447</v>
      </c>
      <c r="E35" s="71"/>
      <c r="F35" s="109"/>
      <c r="G35" s="175" t="s">
        <v>132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x14ac:dyDescent="0.2">
      <c r="A36" s="6"/>
      <c r="B36" s="99"/>
      <c r="C36" s="198"/>
      <c r="D36" s="208"/>
      <c r="E36" s="197"/>
      <c r="F36" s="203"/>
      <c r="G36" s="147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x14ac:dyDescent="0.2">
      <c r="A37" s="6"/>
      <c r="B37" s="99"/>
      <c r="C37" s="198"/>
      <c r="D37" s="208"/>
      <c r="E37" s="197"/>
      <c r="F37" s="203"/>
      <c r="G37" s="147"/>
      <c r="H37" s="22">
        <f>'BGS Cost &amp; Bid Factors'!G212</f>
        <v>0</v>
      </c>
      <c r="I37" s="22" t="str">
        <f>'BGS Cost &amp; Bid Factors'!H212</f>
        <v>&lt; 5 kW</v>
      </c>
      <c r="J37" s="22" t="str">
        <f>'BGS Cost &amp; Bid Factors'!I212</f>
        <v>&gt; 5 kW</v>
      </c>
      <c r="K37" s="22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22" x14ac:dyDescent="0.2">
      <c r="A38" s="6"/>
      <c r="B38" s="71"/>
      <c r="C38" s="198"/>
      <c r="D38" s="208"/>
      <c r="E38" s="196"/>
      <c r="F38" s="203"/>
      <c r="G38" s="147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1:22" x14ac:dyDescent="0.2">
      <c r="A39" s="6"/>
      <c r="B39" s="98" t="s">
        <v>69</v>
      </c>
      <c r="C39" s="14">
        <f>'BGS Cost &amp; Bid Factors'!C352</f>
        <v>1.0249999999999999</v>
      </c>
      <c r="D39" s="14">
        <f>'BGS Cost &amp; Bid Factors'!D352</f>
        <v>-16.823805250567432</v>
      </c>
      <c r="E39" s="197"/>
      <c r="F39" s="203"/>
      <c r="G39" s="204" t="s">
        <v>97</v>
      </c>
      <c r="H39" s="100">
        <f>'BGS Cost &amp; Bid Factors'!H352</f>
        <v>0</v>
      </c>
      <c r="I39" s="100">
        <f>'BGS Cost &amp; Bid Factors'!I352</f>
        <v>1.3560000000000001</v>
      </c>
      <c r="J39" s="100">
        <f>'BGS Cost &amp; Bid Factors'!J352</f>
        <v>4.6970000000000001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1:22" x14ac:dyDescent="0.2">
      <c r="A40" s="6"/>
      <c r="B40" s="99"/>
      <c r="C40" s="198"/>
      <c r="D40" s="209"/>
      <c r="E40" s="197"/>
      <c r="F40" s="203"/>
      <c r="G40" s="204" t="s">
        <v>103</v>
      </c>
      <c r="H40" s="100">
        <f>'BGS Cost &amp; Bid Factors'!H353</f>
        <v>0</v>
      </c>
      <c r="I40" s="100">
        <f>'BGS Cost &amp; Bid Factors'!I353</f>
        <v>1.339</v>
      </c>
      <c r="J40" s="100">
        <f>'BGS Cost &amp; Bid Factors'!J353</f>
        <v>4.7329999999999997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</row>
    <row r="41" spans="1:22" x14ac:dyDescent="0.2">
      <c r="A41" s="6"/>
      <c r="B41" s="99"/>
      <c r="C41" s="198"/>
      <c r="D41" s="209"/>
      <c r="E41" s="197"/>
      <c r="F41" s="203"/>
      <c r="G41" s="204"/>
      <c r="H41" s="81"/>
      <c r="I41" s="95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1:22" x14ac:dyDescent="0.2">
      <c r="A42" s="6"/>
      <c r="B42" s="71"/>
      <c r="C42" s="199"/>
      <c r="D42" s="209"/>
      <c r="E42" s="103"/>
      <c r="F42" s="71"/>
      <c r="G42" s="205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1:22" x14ac:dyDescent="0.2">
      <c r="A43" s="6"/>
      <c r="B43" s="71" t="s">
        <v>150</v>
      </c>
      <c r="C43" s="14">
        <f>'BGS Cost &amp; Bid Factors'!C356</f>
        <v>0.99399999999999999</v>
      </c>
      <c r="D43" s="209"/>
      <c r="E43" s="103"/>
      <c r="F43" s="71"/>
      <c r="G43" s="204"/>
      <c r="H43" s="81"/>
      <c r="I43" s="95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</row>
    <row r="44" spans="1:22" x14ac:dyDescent="0.2">
      <c r="A44" s="6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x14ac:dyDescent="0.2">
      <c r="A45" s="115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</row>
    <row r="46" spans="1:22" x14ac:dyDescent="0.2">
      <c r="A46" s="214" t="s">
        <v>348</v>
      </c>
      <c r="B46" s="18" t="s">
        <v>349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x14ac:dyDescent="0.2">
      <c r="A47" s="115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 x14ac:dyDescent="0.2">
      <c r="A48" s="115"/>
      <c r="B48" s="115" t="s">
        <v>350</v>
      </c>
      <c r="C48" s="71"/>
      <c r="D48" s="250">
        <f>'Weighted Avg Price Calc'!G46*10</f>
        <v>83.68</v>
      </c>
      <c r="E48" s="87" t="s">
        <v>351</v>
      </c>
      <c r="F48" s="87" t="s">
        <v>259</v>
      </c>
      <c r="G48" s="71"/>
      <c r="H48" s="71"/>
      <c r="I48" s="71"/>
      <c r="J48" s="71"/>
      <c r="K48" s="35" t="s">
        <v>232</v>
      </c>
      <c r="L48" s="251">
        <f>'BGS Cost &amp; Bid Factors'!M464</f>
        <v>53.6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x14ac:dyDescent="0.2">
      <c r="A49" s="115"/>
      <c r="B49" s="115" t="s">
        <v>260</v>
      </c>
      <c r="C49" s="71"/>
      <c r="D49" s="232">
        <f>-L54</f>
        <v>-11.611767158042882</v>
      </c>
      <c r="E49" s="87" t="s">
        <v>352</v>
      </c>
      <c r="F49" s="71" t="s">
        <v>261</v>
      </c>
      <c r="G49" s="71"/>
      <c r="H49" s="71"/>
      <c r="I49" s="71"/>
      <c r="J49" s="71"/>
      <c r="K49" s="35" t="s">
        <v>234</v>
      </c>
      <c r="L49" s="251">
        <f>'BGS Cost &amp; Bid Factors'!M465</f>
        <v>100</v>
      </c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 x14ac:dyDescent="0.2">
      <c r="A50" s="115"/>
      <c r="B50" s="115" t="s">
        <v>262</v>
      </c>
      <c r="C50" s="71"/>
      <c r="D50" s="109">
        <f>D48+D49</f>
        <v>72.068232841957126</v>
      </c>
      <c r="E50" s="87" t="s">
        <v>116</v>
      </c>
      <c r="F50" s="71" t="str">
        <f>"** RECO average transmission rate of "&amp;TEXT(L52,"0.00")&amp;" minus"</f>
        <v>** RECO average transmission rate of 13.17 minus</v>
      </c>
      <c r="G50" s="71"/>
      <c r="H50" s="71"/>
      <c r="I50" s="71"/>
      <c r="J50" s="71"/>
      <c r="K50" s="35" t="s">
        <v>236</v>
      </c>
      <c r="L50" s="71">
        <f>ROUND(L48/L49,3)</f>
        <v>0.53600000000000003</v>
      </c>
      <c r="M50" s="71"/>
      <c r="N50" s="71"/>
      <c r="O50" s="71"/>
      <c r="P50" s="71"/>
      <c r="Q50" s="71"/>
      <c r="R50" s="71"/>
      <c r="S50" s="71"/>
      <c r="T50" s="71"/>
      <c r="U50" s="71"/>
      <c r="V50" s="71"/>
    </row>
    <row r="51" spans="1:22" x14ac:dyDescent="0.2">
      <c r="A51" s="115"/>
      <c r="B51" s="71"/>
      <c r="C51" s="71"/>
      <c r="D51" s="71"/>
      <c r="E51" s="71"/>
      <c r="F51" s="71" t="s">
        <v>263</v>
      </c>
      <c r="G51" s="71"/>
      <c r="H51" s="71"/>
      <c r="I51" s="71"/>
      <c r="J51" s="71"/>
      <c r="K51" s="71"/>
      <c r="L51" s="114"/>
      <c r="M51" s="71"/>
      <c r="N51" s="71"/>
      <c r="O51" s="71"/>
      <c r="P51" s="71"/>
      <c r="Q51" s="71"/>
      <c r="R51" s="71"/>
      <c r="S51" s="71"/>
      <c r="T51" s="71"/>
      <c r="U51" s="71"/>
      <c r="V51" s="71"/>
    </row>
    <row r="52" spans="1:22" x14ac:dyDescent="0.2">
      <c r="A52" s="115"/>
      <c r="B52" s="71"/>
      <c r="C52" s="71"/>
      <c r="D52" s="233"/>
      <c r="E52" s="71"/>
      <c r="F52" s="71" t="str">
        <f>"average rate "&amp;TEXT(L50,"0.000")&amp;"/"&amp;TEXT(4+L50,"0.000")&amp;" *$"&amp;TEXT(L52,"0.00")&amp;" per MWh)."</f>
        <v>average rate 0.536/4.536 *$13.17 per MWh).</v>
      </c>
      <c r="G52" s="71"/>
      <c r="H52" s="71"/>
      <c r="I52" s="258">
        <f>ROUND(L50/(4+L50)*L52,2)</f>
        <v>1.56</v>
      </c>
      <c r="J52" s="71"/>
      <c r="K52" s="35" t="s">
        <v>240</v>
      </c>
      <c r="L52" s="114">
        <f>'BGS Cost &amp; Bid Factors'!D223-'BGS Cost &amp; Bid Factors'!D318</f>
        <v>13.171767158042883</v>
      </c>
      <c r="M52" s="71" t="s">
        <v>241</v>
      </c>
      <c r="N52" s="71"/>
      <c r="O52" s="71"/>
      <c r="P52" s="71"/>
      <c r="Q52" s="71"/>
      <c r="R52" s="71"/>
      <c r="S52" s="71"/>
      <c r="T52" s="71"/>
      <c r="U52" s="71"/>
      <c r="V52" s="71"/>
    </row>
    <row r="53" spans="1:22" x14ac:dyDescent="0.2">
      <c r="A53" s="115"/>
      <c r="B53" s="25" t="s">
        <v>264</v>
      </c>
      <c r="C53" s="71"/>
      <c r="D53" s="71"/>
      <c r="E53" s="71"/>
      <c r="F53" s="71"/>
      <c r="G53" s="71"/>
      <c r="H53" s="71"/>
      <c r="I53" s="71"/>
      <c r="J53" s="71"/>
      <c r="K53" s="35" t="s">
        <v>243</v>
      </c>
      <c r="L53" s="114">
        <f>I52</f>
        <v>1.56</v>
      </c>
      <c r="M53" s="71" t="s">
        <v>241</v>
      </c>
      <c r="N53" s="71"/>
      <c r="O53" s="71"/>
      <c r="P53" s="71"/>
      <c r="Q53" s="71"/>
      <c r="R53" s="71"/>
      <c r="S53" s="71"/>
      <c r="T53" s="71"/>
      <c r="U53" s="71"/>
      <c r="V53" s="71"/>
    </row>
    <row r="54" spans="1:22" x14ac:dyDescent="0.2">
      <c r="A54" s="115"/>
      <c r="B54" s="71"/>
      <c r="C54" s="71"/>
      <c r="D54" s="71"/>
      <c r="E54" s="71"/>
      <c r="F54" s="71"/>
      <c r="G54" s="71"/>
      <c r="H54" s="71"/>
      <c r="I54" s="71"/>
      <c r="J54" s="71"/>
      <c r="K54" s="35" t="s">
        <v>245</v>
      </c>
      <c r="L54" s="251">
        <f>L52-L53</f>
        <v>11.611767158042882</v>
      </c>
      <c r="M54" s="71" t="s">
        <v>241</v>
      </c>
      <c r="N54" s="71"/>
      <c r="O54" s="71"/>
      <c r="P54" s="71"/>
      <c r="Q54" s="71"/>
      <c r="R54" s="71"/>
      <c r="S54" s="71"/>
      <c r="T54" s="71"/>
      <c r="U54" s="71"/>
      <c r="V54" s="71"/>
    </row>
    <row r="55" spans="1:22" x14ac:dyDescent="0.2">
      <c r="A55" s="115"/>
      <c r="B55" s="71"/>
      <c r="C55" s="22" t="str">
        <f>'BGS Cost &amp; Bid Factors'!C$6</f>
        <v>SC1/SC5</v>
      </c>
      <c r="D55" s="22" t="str">
        <f>'BGS Cost &amp; Bid Factors'!D$6</f>
        <v>SC3</v>
      </c>
      <c r="E55" s="22" t="str">
        <f>'BGS Cost &amp; Bid Factors'!E$6</f>
        <v>SC2 ND</v>
      </c>
      <c r="F55" s="22" t="str">
        <f>'BGS Cost &amp; Bid Factors'!F$6</f>
        <v>SC4</v>
      </c>
      <c r="G55" s="22" t="str">
        <f>'BGS Cost &amp; Bid Factors'!G$6</f>
        <v>SC6</v>
      </c>
      <c r="H55" s="22" t="str">
        <f>'BGS Cost &amp; Bid Factors'!H$6</f>
        <v>SC2 Dem</v>
      </c>
      <c r="I55" s="26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</row>
    <row r="56" spans="1:22" x14ac:dyDescent="0.2">
      <c r="A56" s="115"/>
      <c r="B56" s="27" t="s">
        <v>68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</row>
    <row r="57" spans="1:22" x14ac:dyDescent="0.2">
      <c r="A57" s="115"/>
      <c r="B57" s="78" t="s">
        <v>265</v>
      </c>
      <c r="C57" s="112">
        <f>ROUND(($D$50*C14)/10,3)</f>
        <v>7.2859999999999996</v>
      </c>
      <c r="D57" s="92"/>
      <c r="E57" s="92">
        <f>ROUND(E14*$D$50/10,3)</f>
        <v>6.2560000000000002</v>
      </c>
      <c r="F57" s="92">
        <f>ROUND(F14*$D$50/10,3)</f>
        <v>4.5039999999999996</v>
      </c>
      <c r="G57" s="92">
        <f>ROUND(G14*$D$50/10,3)</f>
        <v>4.4969999999999999</v>
      </c>
      <c r="H57" s="92">
        <f>ROUND((C35*$D$50+D35)/10,3)</f>
        <v>5.0670000000000002</v>
      </c>
      <c r="I57" s="92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</row>
    <row r="58" spans="1:22" x14ac:dyDescent="0.2">
      <c r="A58" s="115"/>
      <c r="B58" s="78" t="s">
        <v>266</v>
      </c>
      <c r="C58" s="92"/>
      <c r="D58" s="92">
        <f>ROUND(D15*$D$50/10,3)</f>
        <v>11.516999999999999</v>
      </c>
      <c r="E58" s="92"/>
      <c r="F58" s="92"/>
      <c r="G58" s="92"/>
      <c r="H58" s="92"/>
      <c r="I58" s="92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x14ac:dyDescent="0.2">
      <c r="A59" s="115"/>
      <c r="B59" s="78" t="s">
        <v>267</v>
      </c>
      <c r="C59" s="92"/>
      <c r="D59" s="92">
        <f>ROUND(D16*$D$50/10,3)</f>
        <v>4.4029999999999996</v>
      </c>
      <c r="E59" s="92"/>
      <c r="F59" s="92"/>
      <c r="G59" s="92"/>
      <c r="H59" s="92"/>
      <c r="I59" s="92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x14ac:dyDescent="0.2">
      <c r="A60" s="115"/>
      <c r="B60" s="76" t="s">
        <v>40</v>
      </c>
      <c r="C60" s="112">
        <f>ROUND(($D$50*C14+C19)/10,3)</f>
        <v>5.34</v>
      </c>
      <c r="D60" s="92"/>
      <c r="E60" s="92"/>
      <c r="F60" s="92"/>
      <c r="G60" s="92"/>
      <c r="H60" s="92"/>
      <c r="I60" s="92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1:22" x14ac:dyDescent="0.2">
      <c r="A61" s="115"/>
      <c r="B61" s="78" t="s">
        <v>41</v>
      </c>
      <c r="C61" s="92">
        <f>ROUND(($D$50*C14+C20)/10,3)</f>
        <v>8.7010000000000005</v>
      </c>
      <c r="D61" s="92"/>
      <c r="E61" s="92"/>
      <c r="F61" s="92"/>
      <c r="G61" s="92"/>
      <c r="H61" s="92"/>
      <c r="I61" s="92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</row>
    <row r="62" spans="1:22" x14ac:dyDescent="0.2">
      <c r="A62" s="115"/>
      <c r="B62" s="92"/>
      <c r="C62" s="92"/>
      <c r="D62" s="92"/>
      <c r="E62" s="92"/>
      <c r="F62" s="92"/>
      <c r="G62" s="92"/>
      <c r="H62" s="92"/>
      <c r="I62" s="92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  <row r="63" spans="1:22" x14ac:dyDescent="0.2">
      <c r="A63" s="115"/>
      <c r="B63" s="71"/>
      <c r="C63" s="92"/>
      <c r="D63" s="92"/>
      <c r="E63" s="92"/>
      <c r="F63" s="92"/>
      <c r="G63" s="92"/>
      <c r="H63" s="92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</row>
    <row r="64" spans="1:22" x14ac:dyDescent="0.2">
      <c r="A64" s="115"/>
      <c r="B64" s="76" t="s">
        <v>268</v>
      </c>
      <c r="C64" s="92"/>
      <c r="D64" s="92"/>
      <c r="E64" s="92"/>
      <c r="F64" s="92"/>
      <c r="G64" s="92"/>
      <c r="H64" s="92">
        <f>'BGS Cost &amp; Bid Factors'!H213</f>
        <v>1.3560000000000001</v>
      </c>
      <c r="I64" s="163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</row>
    <row r="65" spans="1:22" x14ac:dyDescent="0.2">
      <c r="A65" s="115"/>
      <c r="B65" s="76" t="s">
        <v>353</v>
      </c>
      <c r="C65" s="92"/>
      <c r="D65" s="92"/>
      <c r="E65" s="92"/>
      <c r="F65" s="92"/>
      <c r="G65" s="92"/>
      <c r="H65" s="92">
        <f>'BGS Cost &amp; Bid Factors'!I213</f>
        <v>4.6970000000000001</v>
      </c>
      <c r="I65" s="163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1:22" x14ac:dyDescent="0.2">
      <c r="A66" s="115"/>
      <c r="B66" s="71"/>
      <c r="C66" s="92"/>
      <c r="D66" s="92"/>
      <c r="E66" s="92"/>
      <c r="F66" s="92"/>
      <c r="G66" s="92"/>
      <c r="H66" s="92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</row>
    <row r="67" spans="1:22" x14ac:dyDescent="0.2">
      <c r="A67" s="115"/>
      <c r="B67" s="27" t="s">
        <v>61</v>
      </c>
      <c r="C67" s="92"/>
      <c r="D67" s="92"/>
      <c r="E67" s="92"/>
      <c r="F67" s="92"/>
      <c r="G67" s="92"/>
      <c r="H67" s="92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</row>
    <row r="68" spans="1:22" x14ac:dyDescent="0.2">
      <c r="A68" s="115"/>
      <c r="B68" s="78" t="s">
        <v>265</v>
      </c>
      <c r="C68" s="92">
        <f>ROUND(C23*$D$50/10,3)</f>
        <v>8.7629999999999999</v>
      </c>
      <c r="D68" s="92"/>
      <c r="E68" s="92">
        <f>ROUND(E23*$D$50/10,3)</f>
        <v>6.7309999999999999</v>
      </c>
      <c r="F68" s="92">
        <f>ROUND(F23*$D$50/10,3)</f>
        <v>5.3760000000000003</v>
      </c>
      <c r="G68" s="92">
        <f>ROUND(G23*$D$50/10,3)</f>
        <v>5.34</v>
      </c>
      <c r="H68" s="92">
        <f>ROUND((C39*$D$50+D39)/10,3)</f>
        <v>5.7050000000000001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</row>
    <row r="69" spans="1:22" x14ac:dyDescent="0.2">
      <c r="A69" s="115"/>
      <c r="B69" s="78" t="s">
        <v>266</v>
      </c>
      <c r="C69" s="92"/>
      <c r="D69" s="92">
        <f>ROUND(D24*$D$50/10,3)</f>
        <v>10.933</v>
      </c>
      <c r="E69" s="92"/>
      <c r="F69" s="92"/>
      <c r="G69" s="92"/>
      <c r="H69" s="92"/>
      <c r="I69" s="92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</row>
    <row r="70" spans="1:22" x14ac:dyDescent="0.2">
      <c r="A70" s="115"/>
      <c r="B70" s="78" t="s">
        <v>267</v>
      </c>
      <c r="C70" s="92"/>
      <c r="D70" s="92">
        <f>ROUND(D25*$D$50/10,3)</f>
        <v>5.42</v>
      </c>
      <c r="E70" s="92"/>
      <c r="F70" s="92"/>
      <c r="G70" s="92"/>
      <c r="H70" s="92"/>
      <c r="I70" s="9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</row>
    <row r="71" spans="1:22" x14ac:dyDescent="0.2">
      <c r="A71" s="115"/>
      <c r="B71" s="71"/>
      <c r="C71" s="92"/>
      <c r="D71" s="92"/>
      <c r="E71" s="92"/>
      <c r="F71" s="92"/>
      <c r="G71" s="92"/>
      <c r="H71" s="92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</row>
    <row r="72" spans="1:22" x14ac:dyDescent="0.2">
      <c r="A72" s="115"/>
      <c r="B72" s="76" t="s">
        <v>268</v>
      </c>
      <c r="C72" s="92"/>
      <c r="D72" s="92"/>
      <c r="E72" s="92"/>
      <c r="F72" s="92"/>
      <c r="G72" s="92"/>
      <c r="H72" s="92">
        <f>'BGS Cost &amp; Bid Factors'!H214</f>
        <v>1.339</v>
      </c>
      <c r="I72" s="163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</row>
    <row r="73" spans="1:22" x14ac:dyDescent="0.2">
      <c r="A73" s="115"/>
      <c r="B73" s="76" t="s">
        <v>269</v>
      </c>
      <c r="C73" s="92"/>
      <c r="D73" s="92"/>
      <c r="E73" s="92"/>
      <c r="F73" s="92"/>
      <c r="G73" s="92"/>
      <c r="H73" s="92">
        <f>'BGS Cost &amp; Bid Factors'!I214</f>
        <v>4.7329999999999997</v>
      </c>
      <c r="I73" s="163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</row>
    <row r="74" spans="1:22" x14ac:dyDescent="0.2">
      <c r="A74" s="115"/>
      <c r="B74" s="76"/>
      <c r="C74" s="92"/>
      <c r="D74" s="92"/>
      <c r="E74" s="92"/>
      <c r="F74" s="92"/>
      <c r="G74" s="92"/>
      <c r="H74" s="92"/>
      <c r="I74" s="163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</row>
    <row r="75" spans="1:22" x14ac:dyDescent="0.2">
      <c r="A75" s="115"/>
      <c r="B75" s="76"/>
      <c r="C75" s="71"/>
      <c r="D75" s="71"/>
      <c r="E75" s="71"/>
      <c r="F75" s="71"/>
      <c r="G75" s="71"/>
      <c r="H75" s="163"/>
      <c r="I75" s="163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</row>
    <row r="76" spans="1:22" x14ac:dyDescent="0.2">
      <c r="A76" s="214" t="s">
        <v>354</v>
      </c>
      <c r="B76" s="18" t="s">
        <v>355</v>
      </c>
      <c r="C76" s="71"/>
      <c r="D76" s="71"/>
      <c r="E76" s="71"/>
      <c r="F76" s="71"/>
      <c r="G76" s="71"/>
      <c r="H76" s="163"/>
      <c r="I76" s="163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</row>
    <row r="77" spans="1:22" ht="13.5" thickBot="1" x14ac:dyDescent="0.25">
      <c r="A77" s="115"/>
      <c r="B77" s="76"/>
      <c r="C77" s="71"/>
      <c r="D77" s="71"/>
      <c r="E77" s="71"/>
      <c r="F77" s="71"/>
      <c r="G77" s="71"/>
      <c r="H77" s="163"/>
      <c r="I77" s="163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</row>
    <row r="78" spans="1:22" x14ac:dyDescent="0.2">
      <c r="A78" s="115"/>
      <c r="B78" s="71"/>
      <c r="C78" s="22" t="str">
        <f>'BGS Cost &amp; Bid Factors'!C$6</f>
        <v>SC1/SC5</v>
      </c>
      <c r="D78" s="22" t="str">
        <f>'BGS Cost &amp; Bid Factors'!D$6</f>
        <v>SC3</v>
      </c>
      <c r="E78" s="22" t="str">
        <f>'BGS Cost &amp; Bid Factors'!E$6</f>
        <v>SC2 ND</v>
      </c>
      <c r="F78" s="22" t="str">
        <f>'BGS Cost &amp; Bid Factors'!F$6</f>
        <v>SC4</v>
      </c>
      <c r="G78" s="22" t="str">
        <f>'BGS Cost &amp; Bid Factors'!G$6</f>
        <v>SC6</v>
      </c>
      <c r="H78" s="22" t="str">
        <f>'BGS Cost &amp; Bid Factors'!H$6</f>
        <v>SC2 Dem</v>
      </c>
      <c r="I78" s="22"/>
      <c r="J78" s="163"/>
      <c r="K78" s="189" t="s">
        <v>153</v>
      </c>
      <c r="L78" s="190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x14ac:dyDescent="0.2">
      <c r="A79" s="115"/>
      <c r="B79" s="87" t="s">
        <v>288</v>
      </c>
      <c r="C79" s="71"/>
      <c r="D79" s="71"/>
      <c r="E79" s="71"/>
      <c r="F79" s="71"/>
      <c r="G79" s="71"/>
      <c r="H79" s="71"/>
      <c r="I79" s="71"/>
      <c r="J79" s="163"/>
      <c r="K79" s="191"/>
      <c r="L79" s="192" t="s">
        <v>156</v>
      </c>
      <c r="M79" s="71"/>
      <c r="N79" s="71"/>
      <c r="O79" s="71"/>
      <c r="P79" s="71"/>
      <c r="Q79" s="71"/>
      <c r="R79" s="71"/>
      <c r="S79" s="71"/>
      <c r="T79" s="71"/>
      <c r="U79" s="71"/>
      <c r="V79" s="71"/>
    </row>
    <row r="80" spans="1:22" x14ac:dyDescent="0.2">
      <c r="A80" s="115"/>
      <c r="B80" s="157" t="s">
        <v>68</v>
      </c>
      <c r="C80" s="19">
        <f>ROUND((C57*'BGS Cost &amp; Bid Factors'!L$48)/100,0)</f>
        <v>20777</v>
      </c>
      <c r="D80" s="82">
        <f>ROUND((D58*'BGS Cost &amp; Bid Factors'!M$49+D59*'BGS Cost &amp; Bid Factors'!M$50)/100,0)</f>
        <v>6</v>
      </c>
      <c r="E80" s="19">
        <f>ROUND((E57*'BGS Cost &amp; Bid Factors'!N$48)/100,0)</f>
        <v>438</v>
      </c>
      <c r="F80" s="19">
        <f>ROUND((F57*'BGS Cost &amp; Bid Factors'!O$48)/100,0)</f>
        <v>61</v>
      </c>
      <c r="G80" s="19">
        <f>ROUND((G57*'BGS Cost &amp; Bid Factors'!P$48)/100,0)</f>
        <v>66</v>
      </c>
      <c r="H80" s="82">
        <f>ROUND(H57*'BGS Cost &amp; Bid Factors'!Q$48/100+(H64*($L$80/4*'BGS Cost &amp; Bid Factors'!H$144)+H65*($L$80/4*'BGS Cost &amp; Bid Factors'!H$144))/1000,0)</f>
        <v>8225</v>
      </c>
      <c r="I80" s="82"/>
      <c r="J80" s="163"/>
      <c r="K80" s="191" t="s">
        <v>68</v>
      </c>
      <c r="L80" s="193">
        <v>341438.25299470645</v>
      </c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22" ht="13.5" thickBot="1" x14ac:dyDescent="0.25">
      <c r="A81" s="115"/>
      <c r="B81" s="157" t="s">
        <v>61</v>
      </c>
      <c r="C81" s="28">
        <f>ROUND(C68*'BGS Cost &amp; Bid Factors'!L$44/100,0)</f>
        <v>33006</v>
      </c>
      <c r="D81" s="236">
        <f>ROUND((D69*'BGS Cost &amp; Bid Factors'!M$45+D70*'BGS Cost &amp; Bid Factors'!M$46)/100,0)</f>
        <v>15</v>
      </c>
      <c r="E81" s="28">
        <f>ROUND(E68*'BGS Cost &amp; Bid Factors'!N$44/100,0)</f>
        <v>1047</v>
      </c>
      <c r="F81" s="28">
        <f>ROUND(F68*'BGS Cost &amp; Bid Factors'!O$44/100,0)</f>
        <v>183</v>
      </c>
      <c r="G81" s="28">
        <f>ROUND(G68*'BGS Cost &amp; Bid Factors'!P$44/100,0)</f>
        <v>196</v>
      </c>
      <c r="H81" s="236">
        <f>ROUND(H68*'BGS Cost &amp; Bid Factors'!Q$44/100+(H72*($L$81/8*'BGS Cost &amp; Bid Factors'!H$145)++H73*($L$81/8*'BGS Cost &amp; Bid Factors'!H$145))/1000,0)</f>
        <v>16167</v>
      </c>
      <c r="I81" s="236"/>
      <c r="J81" s="163"/>
      <c r="K81" s="194" t="s">
        <v>61</v>
      </c>
      <c r="L81" s="195">
        <v>606342.76965902583</v>
      </c>
      <c r="M81" s="71"/>
      <c r="N81" s="71"/>
      <c r="O81" s="71"/>
      <c r="P81" s="71"/>
      <c r="Q81" s="71"/>
      <c r="R81" s="71"/>
      <c r="S81" s="71"/>
      <c r="T81" s="71"/>
      <c r="U81" s="71"/>
      <c r="V81" s="71"/>
    </row>
    <row r="82" spans="1:22" x14ac:dyDescent="0.2">
      <c r="A82" s="115"/>
      <c r="B82" s="157" t="s">
        <v>35</v>
      </c>
      <c r="C82" s="96">
        <f t="shared" ref="C82:H82" si="0">+C81+C80</f>
        <v>53783</v>
      </c>
      <c r="D82" s="96">
        <f t="shared" si="0"/>
        <v>21</v>
      </c>
      <c r="E82" s="96">
        <f t="shared" si="0"/>
        <v>1485</v>
      </c>
      <c r="F82" s="96">
        <f t="shared" si="0"/>
        <v>244</v>
      </c>
      <c r="G82" s="96">
        <f t="shared" si="0"/>
        <v>262</v>
      </c>
      <c r="H82" s="96">
        <f t="shared" si="0"/>
        <v>24392</v>
      </c>
      <c r="I82" s="96"/>
      <c r="J82" s="163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1:22" x14ac:dyDescent="0.2">
      <c r="A83" s="115"/>
      <c r="B83" s="157"/>
      <c r="C83" s="96"/>
      <c r="D83" s="96"/>
      <c r="E83" s="96"/>
      <c r="F83" s="96"/>
      <c r="G83" s="96"/>
      <c r="H83" s="96"/>
      <c r="I83" s="163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</row>
    <row r="84" spans="1:22" x14ac:dyDescent="0.2">
      <c r="A84" s="115"/>
      <c r="B84" s="157" t="s">
        <v>35</v>
      </c>
      <c r="C84" s="96"/>
      <c r="D84" s="96"/>
      <c r="E84" s="96"/>
      <c r="F84" s="96"/>
      <c r="G84" s="96"/>
      <c r="H84" s="96"/>
      <c r="I84" s="163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</row>
    <row r="85" spans="1:22" x14ac:dyDescent="0.2">
      <c r="A85" s="115"/>
      <c r="B85" s="157" t="s">
        <v>68</v>
      </c>
      <c r="C85" s="96">
        <f>SUM(C80:H80)</f>
        <v>29573</v>
      </c>
      <c r="D85" s="96"/>
      <c r="E85" s="96"/>
      <c r="F85" s="71"/>
      <c r="G85" s="96"/>
      <c r="H85" s="96"/>
      <c r="I85" s="163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</row>
    <row r="86" spans="1:22" x14ac:dyDescent="0.2">
      <c r="A86" s="115"/>
      <c r="B86" s="157" t="s">
        <v>61</v>
      </c>
      <c r="C86" s="29">
        <f>SUM(C81:H81)</f>
        <v>50614</v>
      </c>
      <c r="D86" s="103"/>
      <c r="E86" s="71"/>
      <c r="F86" s="71"/>
      <c r="G86" s="71"/>
      <c r="H86" s="71"/>
      <c r="I86" s="163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1:22" x14ac:dyDescent="0.2">
      <c r="A87" s="115"/>
      <c r="B87" s="157" t="s">
        <v>35</v>
      </c>
      <c r="C87" s="96">
        <f>+C86+C85</f>
        <v>80187</v>
      </c>
      <c r="D87" s="103"/>
      <c r="E87" s="71"/>
      <c r="F87" s="71"/>
      <c r="G87" s="71"/>
      <c r="H87" s="71"/>
      <c r="I87" s="163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</row>
    <row r="88" spans="1:22" x14ac:dyDescent="0.2">
      <c r="A88" s="115"/>
      <c r="B88" s="157"/>
      <c r="C88" s="96"/>
      <c r="D88" s="71"/>
      <c r="E88" s="103"/>
      <c r="F88" s="71"/>
      <c r="G88" s="71"/>
      <c r="H88" s="71"/>
      <c r="I88" s="71"/>
      <c r="J88" s="163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</row>
    <row r="89" spans="1:22" x14ac:dyDescent="0.2">
      <c r="A89" s="115"/>
      <c r="B89" s="71"/>
      <c r="C89" s="103"/>
      <c r="D89" s="103"/>
      <c r="E89" s="103"/>
      <c r="F89" s="103"/>
      <c r="G89" s="103"/>
      <c r="H89" s="103"/>
      <c r="I89" s="103"/>
      <c r="J89" s="163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</row>
    <row r="90" spans="1:22" x14ac:dyDescent="0.2">
      <c r="A90" s="115"/>
      <c r="B90" s="27" t="s">
        <v>356</v>
      </c>
      <c r="C90" s="103"/>
      <c r="D90" s="103"/>
      <c r="E90" s="103"/>
      <c r="F90" s="103"/>
      <c r="G90" s="103"/>
      <c r="H90" s="103"/>
      <c r="I90" s="103"/>
      <c r="J90" s="163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</row>
    <row r="91" spans="1:22" x14ac:dyDescent="0.2">
      <c r="A91" s="115"/>
      <c r="B91" s="71"/>
      <c r="C91" s="103"/>
      <c r="D91" s="103"/>
      <c r="E91" s="103"/>
      <c r="F91" s="103"/>
      <c r="G91" s="103"/>
      <c r="H91" s="103"/>
      <c r="I91" s="103"/>
      <c r="J91" s="163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</row>
    <row r="92" spans="1:22" ht="15" x14ac:dyDescent="0.35">
      <c r="A92" s="115"/>
      <c r="B92" s="71" t="s">
        <v>357</v>
      </c>
      <c r="C92" s="44" t="s">
        <v>35</v>
      </c>
      <c r="D92" s="44" t="s">
        <v>337</v>
      </c>
      <c r="E92" s="44" t="s">
        <v>358</v>
      </c>
      <c r="F92" s="103"/>
      <c r="G92" s="103"/>
      <c r="H92" s="103"/>
      <c r="I92" s="103"/>
      <c r="J92" s="163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</row>
    <row r="93" spans="1:22" x14ac:dyDescent="0.2">
      <c r="A93" s="115"/>
      <c r="B93" s="157" t="s">
        <v>68</v>
      </c>
      <c r="C93" s="96">
        <f>'Weighted Avg Price Calc'!G$27/1000</f>
        <v>34558.044999999998</v>
      </c>
      <c r="D93" s="102">
        <f>ROUND('BGS Cost &amp; Bid Factors'!$C$147*SUM('BGS Cost &amp; Bid Factors'!$C$141:$H$141)/12*'BGS Cost &amp; Bid Factors'!H$144/1000*'BGS Cost &amp; Bid Factors'!D447,0)</f>
        <v>4594</v>
      </c>
      <c r="E93" s="96">
        <f>C93-D93</f>
        <v>29964.044999999998</v>
      </c>
      <c r="F93" s="103"/>
      <c r="G93" s="103"/>
      <c r="H93" s="103"/>
      <c r="I93" s="103"/>
      <c r="J93" s="163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15" x14ac:dyDescent="0.35">
      <c r="A94" s="115"/>
      <c r="B94" s="157" t="s">
        <v>61</v>
      </c>
      <c r="C94" s="45">
        <f>'Weighted Avg Price Calc'!G$28/1000</f>
        <v>51290.699000000001</v>
      </c>
      <c r="D94" s="45">
        <f>ROUND('BGS Cost &amp; Bid Factors'!$C$147*SUM('BGS Cost &amp; Bid Factors'!$C$141:$H$141)/12*'BGS Cost &amp; Bid Factors'!H$145/1000*'BGS Cost &amp; Bid Factors'!F459,0)</f>
        <v>9188</v>
      </c>
      <c r="E94" s="45">
        <f>C94-D94</f>
        <v>42102.699000000001</v>
      </c>
      <c r="F94" s="103"/>
      <c r="G94" s="103"/>
      <c r="H94" s="103"/>
      <c r="I94" s="103"/>
      <c r="J94" s="163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</row>
    <row r="95" spans="1:22" x14ac:dyDescent="0.2">
      <c r="A95" s="115"/>
      <c r="B95" s="157" t="s">
        <v>35</v>
      </c>
      <c r="C95" s="96">
        <f>+C94+C93</f>
        <v>85848.744000000006</v>
      </c>
      <c r="D95" s="96">
        <f>D93+D94</f>
        <v>13782</v>
      </c>
      <c r="E95" s="96">
        <f>E93+E94</f>
        <v>72066.744000000006</v>
      </c>
      <c r="F95" s="103"/>
      <c r="G95" s="103"/>
      <c r="H95" s="103"/>
      <c r="I95" s="103"/>
      <c r="J95" s="163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</row>
    <row r="96" spans="1:22" x14ac:dyDescent="0.2">
      <c r="A96" s="115"/>
      <c r="B96" s="71"/>
      <c r="C96" s="103"/>
      <c r="D96" s="103"/>
      <c r="E96" s="103"/>
      <c r="F96" s="103"/>
      <c r="G96" s="103"/>
      <c r="H96" s="103"/>
      <c r="I96" s="103"/>
      <c r="J96" s="163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</row>
    <row r="97" spans="1:22" ht="15" x14ac:dyDescent="0.35">
      <c r="A97" s="115"/>
      <c r="B97" s="71" t="s">
        <v>359</v>
      </c>
      <c r="C97" s="44" t="s">
        <v>35</v>
      </c>
      <c r="D97" s="44" t="s">
        <v>337</v>
      </c>
      <c r="E97" s="44" t="s">
        <v>358</v>
      </c>
      <c r="F97" s="103"/>
      <c r="G97" s="103"/>
      <c r="H97" s="103"/>
      <c r="I97" s="103"/>
      <c r="J97" s="163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8" spans="1:22" x14ac:dyDescent="0.2">
      <c r="A98" s="115"/>
      <c r="B98" s="157" t="s">
        <v>68</v>
      </c>
      <c r="C98" s="96">
        <f>ROUND($E$251*1000*'Weighted Avg Price Calc'!E40/100/1000,0)</f>
        <v>2946</v>
      </c>
      <c r="D98" s="96">
        <v>0</v>
      </c>
      <c r="E98" s="96">
        <f>C98-D98</f>
        <v>2946</v>
      </c>
      <c r="F98" s="103"/>
      <c r="G98" s="103"/>
      <c r="H98" s="103"/>
      <c r="I98" s="103"/>
      <c r="J98" s="163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1:22" ht="15" x14ac:dyDescent="0.35">
      <c r="A99" s="115"/>
      <c r="B99" s="157" t="s">
        <v>61</v>
      </c>
      <c r="C99" s="45">
        <f>ROUND($E$252*1000*'Weighted Avg Price Calc'!E40/100/1000,0)</f>
        <v>4331</v>
      </c>
      <c r="D99" s="45">
        <v>0</v>
      </c>
      <c r="E99" s="45">
        <f>C99-D99</f>
        <v>4331</v>
      </c>
      <c r="F99" s="103"/>
      <c r="G99" s="103"/>
      <c r="H99" s="103"/>
      <c r="I99" s="103"/>
      <c r="J99" s="163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1:22" x14ac:dyDescent="0.2">
      <c r="A100" s="115"/>
      <c r="B100" s="157" t="s">
        <v>35</v>
      </c>
      <c r="C100" s="96">
        <f>+C99+C98</f>
        <v>7277</v>
      </c>
      <c r="D100" s="96">
        <f>D98+D99</f>
        <v>0</v>
      </c>
      <c r="E100" s="96">
        <f>E98+E99</f>
        <v>7277</v>
      </c>
      <c r="F100" s="103"/>
      <c r="G100" s="103"/>
      <c r="H100" s="103"/>
      <c r="I100" s="103"/>
      <c r="J100" s="163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1:22" x14ac:dyDescent="0.2">
      <c r="A101" s="115"/>
      <c r="B101" s="71"/>
      <c r="C101" s="103"/>
      <c r="D101" s="103"/>
      <c r="E101" s="103"/>
      <c r="F101" s="103"/>
      <c r="G101" s="103"/>
      <c r="H101" s="103"/>
      <c r="I101" s="103"/>
      <c r="J101" s="163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1:22" ht="15" x14ac:dyDescent="0.35">
      <c r="A102" s="115"/>
      <c r="B102" s="71" t="s">
        <v>360</v>
      </c>
      <c r="C102" s="44" t="s">
        <v>35</v>
      </c>
      <c r="D102" s="44" t="s">
        <v>337</v>
      </c>
      <c r="E102" s="44" t="s">
        <v>358</v>
      </c>
      <c r="F102" s="103"/>
      <c r="G102" s="103"/>
      <c r="H102" s="103"/>
      <c r="I102" s="103"/>
      <c r="J102" s="163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</row>
    <row r="103" spans="1:22" x14ac:dyDescent="0.2">
      <c r="A103" s="115"/>
      <c r="B103" s="157" t="s">
        <v>68</v>
      </c>
      <c r="C103" s="96">
        <f>C93+C98</f>
        <v>37504.044999999998</v>
      </c>
      <c r="D103" s="96">
        <f>D93+D98</f>
        <v>4594</v>
      </c>
      <c r="E103" s="96">
        <f>C103-D103</f>
        <v>32910.044999999998</v>
      </c>
      <c r="F103" s="71"/>
      <c r="G103" s="71"/>
      <c r="H103" s="71"/>
      <c r="I103" s="71"/>
      <c r="J103" s="163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</row>
    <row r="104" spans="1:22" ht="15" x14ac:dyDescent="0.35">
      <c r="A104" s="115"/>
      <c r="B104" s="157" t="s">
        <v>61</v>
      </c>
      <c r="C104" s="45">
        <f>C94+C99</f>
        <v>55621.699000000001</v>
      </c>
      <c r="D104" s="45">
        <f>D94+D99</f>
        <v>9188</v>
      </c>
      <c r="E104" s="45">
        <f>C104-D104</f>
        <v>46433.699000000001</v>
      </c>
      <c r="F104" s="71"/>
      <c r="G104" s="71"/>
      <c r="H104" s="71"/>
      <c r="I104" s="71"/>
      <c r="J104" s="163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</row>
    <row r="105" spans="1:22" x14ac:dyDescent="0.2">
      <c r="A105" s="115"/>
      <c r="B105" s="157" t="s">
        <v>35</v>
      </c>
      <c r="C105" s="96">
        <f>+C104+C103</f>
        <v>93125.744000000006</v>
      </c>
      <c r="D105" s="96">
        <f>+D104+D103</f>
        <v>13782</v>
      </c>
      <c r="E105" s="96">
        <f>E103+E104</f>
        <v>79343.744000000006</v>
      </c>
      <c r="F105" s="71"/>
      <c r="G105" s="71"/>
      <c r="H105" s="71"/>
      <c r="I105" s="71"/>
      <c r="J105" s="163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</row>
    <row r="106" spans="1:22" x14ac:dyDescent="0.2">
      <c r="A106" s="115"/>
      <c r="B106" s="71"/>
      <c r="C106" s="103"/>
      <c r="D106" s="31"/>
      <c r="E106" s="103"/>
      <c r="F106" s="233"/>
      <c r="G106" s="76" t="s">
        <v>361</v>
      </c>
      <c r="H106" s="71"/>
      <c r="I106" s="71"/>
      <c r="J106" s="163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</row>
    <row r="107" spans="1:22" x14ac:dyDescent="0.2">
      <c r="A107" s="115"/>
      <c r="B107" s="71" t="s">
        <v>292</v>
      </c>
      <c r="C107" s="76" t="s">
        <v>331</v>
      </c>
      <c r="D107" s="76" t="s">
        <v>331</v>
      </c>
      <c r="E107" s="76"/>
      <c r="F107" s="71"/>
      <c r="G107" s="76" t="s">
        <v>362</v>
      </c>
      <c r="H107" s="71"/>
      <c r="I107" s="71"/>
      <c r="J107" s="163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</row>
    <row r="108" spans="1:22" x14ac:dyDescent="0.2">
      <c r="A108" s="115"/>
      <c r="B108" s="76"/>
      <c r="C108" s="219" t="s">
        <v>363</v>
      </c>
      <c r="D108" s="219" t="s">
        <v>364</v>
      </c>
      <c r="E108" s="219" t="s">
        <v>365</v>
      </c>
      <c r="F108" s="71"/>
      <c r="G108" s="219" t="s">
        <v>366</v>
      </c>
      <c r="H108" s="71"/>
      <c r="I108" s="163"/>
      <c r="J108" s="163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</row>
    <row r="109" spans="1:22" x14ac:dyDescent="0.2">
      <c r="A109" s="115"/>
      <c r="B109" s="157" t="s">
        <v>68</v>
      </c>
      <c r="C109" s="96">
        <f>C85</f>
        <v>29573</v>
      </c>
      <c r="D109" s="96">
        <f>E103</f>
        <v>32910.044999999998</v>
      </c>
      <c r="E109" s="96">
        <f>D109-C109</f>
        <v>3337.0449999999983</v>
      </c>
      <c r="F109" s="71"/>
      <c r="G109" s="13">
        <f>ROUND(1+E109/C85,5)</f>
        <v>1.1128400000000001</v>
      </c>
      <c r="H109" s="71"/>
      <c r="I109" s="163"/>
      <c r="J109" s="163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</row>
    <row r="110" spans="1:22" x14ac:dyDescent="0.2">
      <c r="A110" s="115"/>
      <c r="B110" s="157" t="s">
        <v>61</v>
      </c>
      <c r="C110" s="29">
        <f>C86</f>
        <v>50614</v>
      </c>
      <c r="D110" s="29">
        <f>E104</f>
        <v>46433.699000000001</v>
      </c>
      <c r="E110" s="29">
        <f>D110-C110</f>
        <v>-4180.3009999999995</v>
      </c>
      <c r="F110" s="71"/>
      <c r="G110" s="13">
        <f>ROUND(1+E110/C86,5)</f>
        <v>0.91740999999999995</v>
      </c>
      <c r="H110" s="71"/>
      <c r="I110" s="163"/>
      <c r="J110" s="163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</row>
    <row r="111" spans="1:22" x14ac:dyDescent="0.2">
      <c r="A111" s="115"/>
      <c r="B111" s="157" t="s">
        <v>35</v>
      </c>
      <c r="C111" s="96">
        <f>+C110+C109</f>
        <v>80187</v>
      </c>
      <c r="D111" s="96">
        <f>+D110+D109</f>
        <v>79343.744000000006</v>
      </c>
      <c r="E111" s="96">
        <f>+E110+E109</f>
        <v>-843.25600000000122</v>
      </c>
      <c r="F111" s="71"/>
      <c r="G111" s="71"/>
      <c r="H111" s="71"/>
      <c r="I111" s="163"/>
      <c r="J111" s="163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</row>
    <row r="112" spans="1:22" x14ac:dyDescent="0.2">
      <c r="A112" s="115"/>
      <c r="B112" s="76"/>
      <c r="C112" s="71"/>
      <c r="D112" s="71"/>
      <c r="E112" s="71"/>
      <c r="F112" s="71"/>
      <c r="G112" s="71"/>
      <c r="H112" s="71"/>
      <c r="I112" s="163"/>
      <c r="J112" s="163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</row>
    <row r="113" spans="1:36" x14ac:dyDescent="0.2">
      <c r="A113" s="214" t="s">
        <v>367</v>
      </c>
      <c r="B113" s="18" t="s">
        <v>368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</row>
    <row r="114" spans="1:36" x14ac:dyDescent="0.2">
      <c r="A114" s="214"/>
      <c r="B114" s="18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</row>
    <row r="115" spans="1:36" x14ac:dyDescent="0.2">
      <c r="A115" s="214"/>
      <c r="B115" s="18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1:36" x14ac:dyDescent="0.2">
      <c r="A116" s="115"/>
      <c r="B116" s="237" t="s">
        <v>369</v>
      </c>
      <c r="C116" s="71"/>
      <c r="D116" s="71"/>
      <c r="E116" s="71"/>
      <c r="F116" s="71"/>
      <c r="G116" s="71"/>
      <c r="H116" s="71"/>
      <c r="I116" s="71"/>
      <c r="J116" s="71"/>
      <c r="K116" s="237" t="s">
        <v>370</v>
      </c>
      <c r="L116" s="71"/>
      <c r="M116" s="71"/>
      <c r="N116" s="71"/>
      <c r="O116" s="71"/>
      <c r="P116" s="71"/>
      <c r="Q116" s="71"/>
      <c r="R116" s="71"/>
      <c r="S116" s="71"/>
      <c r="T116" s="237" t="s">
        <v>365</v>
      </c>
      <c r="U116" s="71"/>
      <c r="V116" s="71"/>
      <c r="W116" s="46"/>
      <c r="X116" s="46"/>
      <c r="Y116" s="46"/>
      <c r="Z116" s="46"/>
      <c r="AA116" s="46"/>
      <c r="AB116" s="46"/>
      <c r="AC116" s="47" t="s">
        <v>365</v>
      </c>
      <c r="AD116" s="46"/>
      <c r="AE116" s="46"/>
      <c r="AF116" s="46"/>
      <c r="AG116" s="46"/>
      <c r="AH116" s="46"/>
      <c r="AI116" s="46"/>
      <c r="AJ116" s="46"/>
    </row>
    <row r="117" spans="1:36" x14ac:dyDescent="0.2">
      <c r="A117" s="115"/>
      <c r="B117" s="13"/>
      <c r="C117" s="71"/>
      <c r="D117" s="71"/>
      <c r="E117" s="71"/>
      <c r="F117" s="71"/>
      <c r="G117" s="71"/>
      <c r="H117" s="71"/>
      <c r="I117" s="71"/>
      <c r="J117" s="71"/>
      <c r="K117" s="13"/>
      <c r="L117" s="71"/>
      <c r="M117" s="71"/>
      <c r="N117" s="71"/>
      <c r="O117" s="71"/>
      <c r="P117" s="71"/>
      <c r="Q117" s="71"/>
      <c r="R117" s="71"/>
      <c r="S117" s="71"/>
      <c r="T117" s="13"/>
      <c r="U117" s="71"/>
      <c r="V117" s="71"/>
      <c r="W117" s="46"/>
      <c r="X117" s="46"/>
      <c r="Y117" s="46"/>
      <c r="Z117" s="46"/>
      <c r="AA117" s="46"/>
      <c r="AB117" s="46"/>
      <c r="AC117" s="48"/>
      <c r="AD117" s="46"/>
      <c r="AE117" s="46"/>
      <c r="AF117" s="46"/>
      <c r="AG117" s="46"/>
      <c r="AH117" s="46"/>
      <c r="AI117" s="46"/>
      <c r="AJ117" s="46"/>
    </row>
    <row r="118" spans="1:36" x14ac:dyDescent="0.2">
      <c r="A118" s="115"/>
      <c r="B118" s="71"/>
      <c r="C118" s="22" t="str">
        <f>'BGS Cost &amp; Bid Factors'!C$6</f>
        <v>SC1/SC5</v>
      </c>
      <c r="D118" s="22" t="str">
        <f>'BGS Cost &amp; Bid Factors'!D$6</f>
        <v>SC3</v>
      </c>
      <c r="E118" s="22" t="str">
        <f>'BGS Cost &amp; Bid Factors'!E$6</f>
        <v>SC2 ND</v>
      </c>
      <c r="F118" s="22" t="str">
        <f>'BGS Cost &amp; Bid Factors'!F$6</f>
        <v>SC4</v>
      </c>
      <c r="G118" s="22" t="str">
        <f>'BGS Cost &amp; Bid Factors'!G$6</f>
        <v>SC6</v>
      </c>
      <c r="H118" s="22" t="str">
        <f>'BGS Cost &amp; Bid Factors'!H$6</f>
        <v>SC2 Dem</v>
      </c>
      <c r="I118" s="22"/>
      <c r="J118" s="26"/>
      <c r="K118" s="71"/>
      <c r="L118" s="22" t="s">
        <v>272</v>
      </c>
      <c r="M118" s="22" t="s">
        <v>8</v>
      </c>
      <c r="N118" s="22" t="s">
        <v>9</v>
      </c>
      <c r="O118" s="22" t="s">
        <v>10</v>
      </c>
      <c r="P118" s="22" t="s">
        <v>11</v>
      </c>
      <c r="Q118" s="22" t="s">
        <v>12</v>
      </c>
      <c r="R118" s="71"/>
      <c r="S118" s="71"/>
      <c r="T118" s="22" t="s">
        <v>272</v>
      </c>
      <c r="U118" s="22" t="s">
        <v>8</v>
      </c>
      <c r="V118" s="22" t="s">
        <v>9</v>
      </c>
      <c r="W118" s="49" t="s">
        <v>10</v>
      </c>
      <c r="X118" s="49" t="s">
        <v>11</v>
      </c>
      <c r="Y118" s="49" t="s">
        <v>12</v>
      </c>
      <c r="Z118" s="46"/>
      <c r="AA118" s="46"/>
      <c r="AB118" s="49" t="s">
        <v>272</v>
      </c>
      <c r="AC118" s="49"/>
      <c r="AD118" s="49" t="s">
        <v>8</v>
      </c>
      <c r="AE118" s="49" t="s">
        <v>9</v>
      </c>
      <c r="AF118" s="49" t="s">
        <v>10</v>
      </c>
      <c r="AG118" s="49" t="s">
        <v>11</v>
      </c>
      <c r="AH118" s="49" t="s">
        <v>12</v>
      </c>
      <c r="AI118" s="49"/>
      <c r="AJ118" s="49"/>
    </row>
    <row r="119" spans="1:36" x14ac:dyDescent="0.2">
      <c r="A119" s="115"/>
      <c r="B119" s="71"/>
      <c r="C119" s="26"/>
      <c r="D119" s="26"/>
      <c r="E119" s="26"/>
      <c r="F119" s="26"/>
      <c r="G119" s="26"/>
      <c r="H119" s="26"/>
      <c r="I119" s="26"/>
      <c r="J119" s="26"/>
      <c r="K119" s="71"/>
      <c r="L119" s="26"/>
      <c r="M119" s="26"/>
      <c r="N119" s="26"/>
      <c r="O119" s="26"/>
      <c r="P119" s="26"/>
      <c r="Q119" s="26"/>
      <c r="R119" s="71"/>
      <c r="S119" s="71"/>
      <c r="T119" s="26"/>
      <c r="U119" s="26"/>
      <c r="V119" s="26"/>
      <c r="W119" s="50"/>
      <c r="X119" s="50"/>
      <c r="Y119" s="50"/>
      <c r="Z119" s="46"/>
      <c r="AA119" s="46"/>
      <c r="AB119" s="50"/>
      <c r="AC119" s="50"/>
      <c r="AD119" s="50"/>
      <c r="AE119" s="50"/>
      <c r="AF119" s="50"/>
      <c r="AG119" s="50"/>
      <c r="AH119" s="50"/>
      <c r="AI119" s="50"/>
      <c r="AJ119" s="50"/>
    </row>
    <row r="120" spans="1:36" x14ac:dyDescent="0.2">
      <c r="A120" s="115"/>
      <c r="B120" s="27" t="s">
        <v>68</v>
      </c>
      <c r="C120" s="71"/>
      <c r="D120" s="71"/>
      <c r="E120" s="71"/>
      <c r="F120" s="71"/>
      <c r="G120" s="71"/>
      <c r="H120" s="71"/>
      <c r="I120" s="71"/>
      <c r="J120" s="71"/>
      <c r="K120" s="27" t="s">
        <v>68</v>
      </c>
      <c r="L120" s="71"/>
      <c r="M120" s="71"/>
      <c r="N120" s="71"/>
      <c r="O120" s="71"/>
      <c r="P120" s="71"/>
      <c r="Q120" s="71"/>
      <c r="R120" s="71"/>
      <c r="S120" s="27" t="s">
        <v>68</v>
      </c>
      <c r="T120" s="71"/>
      <c r="U120" s="71"/>
      <c r="V120" s="71"/>
      <c r="W120" s="46"/>
      <c r="X120" s="46"/>
      <c r="Y120" s="46"/>
      <c r="Z120" s="46"/>
      <c r="AA120" s="51" t="s">
        <v>68</v>
      </c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1:36" x14ac:dyDescent="0.2">
      <c r="A121" s="115"/>
      <c r="B121" s="78" t="s">
        <v>265</v>
      </c>
      <c r="C121" s="252">
        <f>ROUND(C57*$G$109,3)</f>
        <v>8.1080000000000005</v>
      </c>
      <c r="D121" s="259"/>
      <c r="E121" s="252">
        <f>ROUND(E57*$G$109,3)</f>
        <v>6.9619999999999997</v>
      </c>
      <c r="F121" s="252">
        <f>ROUND(F57*$G$109,3)</f>
        <v>5.0119999999999996</v>
      </c>
      <c r="G121" s="252">
        <f>ROUND(G57*$G$109,3)</f>
        <v>5.0039999999999996</v>
      </c>
      <c r="H121" s="252">
        <f>ROUND(H57*$G$109,3)</f>
        <v>5.6390000000000002</v>
      </c>
      <c r="I121" s="252"/>
      <c r="J121" s="92"/>
      <c r="K121" s="87" t="s">
        <v>265</v>
      </c>
      <c r="L121" s="252">
        <v>9.5500000000000007</v>
      </c>
      <c r="M121" s="259"/>
      <c r="N121" s="252">
        <v>9.7089999999999996</v>
      </c>
      <c r="O121" s="252">
        <v>5.8860000000000001</v>
      </c>
      <c r="P121" s="252">
        <v>5.8860000000000001</v>
      </c>
      <c r="Q121" s="252">
        <v>7.4980000000000002</v>
      </c>
      <c r="R121" s="71"/>
      <c r="S121" s="87" t="s">
        <v>265</v>
      </c>
      <c r="T121" s="252">
        <f>C121-L121</f>
        <v>-1.4420000000000002</v>
      </c>
      <c r="U121" s="259"/>
      <c r="V121" s="252">
        <f>E121-N121</f>
        <v>-2.7469999999999999</v>
      </c>
      <c r="W121" s="53">
        <f>F121-O121</f>
        <v>-0.87400000000000055</v>
      </c>
      <c r="X121" s="53">
        <f>G121-P121</f>
        <v>-0.88200000000000056</v>
      </c>
      <c r="Y121" s="53">
        <f>H121-Q121</f>
        <v>-1.859</v>
      </c>
      <c r="Z121" s="46"/>
      <c r="AA121" s="52" t="s">
        <v>265</v>
      </c>
      <c r="AB121" s="55">
        <f>T121/L121</f>
        <v>-0.15099476439790577</v>
      </c>
      <c r="AC121" s="54"/>
      <c r="AD121" s="55">
        <f>V121/N121</f>
        <v>-0.2829333607992584</v>
      </c>
      <c r="AE121" s="55">
        <f>W121/O121</f>
        <v>-0.14848793747876327</v>
      </c>
      <c r="AF121" s="55">
        <f>X121/P121</f>
        <v>-0.14984709480122332</v>
      </c>
      <c r="AG121" s="55">
        <f>Y121/Q121</f>
        <v>-0.24793278207522004</v>
      </c>
      <c r="AH121" s="55"/>
      <c r="AI121" s="55"/>
      <c r="AJ121" s="55"/>
    </row>
    <row r="122" spans="1:36" x14ac:dyDescent="0.2">
      <c r="A122" s="115"/>
      <c r="B122" s="78" t="s">
        <v>266</v>
      </c>
      <c r="C122" s="259"/>
      <c r="D122" s="252">
        <f>ROUND(D58*$G$109,3)</f>
        <v>12.817</v>
      </c>
      <c r="E122" s="259"/>
      <c r="F122" s="259"/>
      <c r="G122" s="259"/>
      <c r="H122" s="259"/>
      <c r="I122" s="259"/>
      <c r="J122" s="92"/>
      <c r="K122" s="87" t="s">
        <v>266</v>
      </c>
      <c r="L122" s="259"/>
      <c r="M122" s="252">
        <v>14.58</v>
      </c>
      <c r="N122" s="259"/>
      <c r="O122" s="259"/>
      <c r="P122" s="259"/>
      <c r="Q122" s="259"/>
      <c r="R122" s="71"/>
      <c r="S122" s="87" t="s">
        <v>266</v>
      </c>
      <c r="T122" s="259"/>
      <c r="U122" s="252">
        <f>D122-M122</f>
        <v>-1.7629999999999999</v>
      </c>
      <c r="V122" s="259"/>
      <c r="W122" s="54"/>
      <c r="X122" s="54"/>
      <c r="Y122" s="54"/>
      <c r="Z122" s="46"/>
      <c r="AA122" s="52" t="s">
        <v>266</v>
      </c>
      <c r="AB122" s="54"/>
      <c r="AC122" s="55">
        <f>U122/M122</f>
        <v>-0.12091906721536351</v>
      </c>
      <c r="AD122" s="54"/>
      <c r="AE122" s="54"/>
      <c r="AF122" s="54"/>
      <c r="AG122" s="54"/>
      <c r="AH122" s="54"/>
      <c r="AI122" s="54"/>
      <c r="AJ122" s="54"/>
    </row>
    <row r="123" spans="1:36" x14ac:dyDescent="0.2">
      <c r="A123" s="115"/>
      <c r="B123" s="78" t="s">
        <v>267</v>
      </c>
      <c r="C123" s="259"/>
      <c r="D123" s="252">
        <f>ROUND(D59*$G$109,3)</f>
        <v>4.9000000000000004</v>
      </c>
      <c r="E123" s="259"/>
      <c r="F123" s="259"/>
      <c r="G123" s="259"/>
      <c r="H123" s="259"/>
      <c r="I123" s="259"/>
      <c r="J123" s="92"/>
      <c r="K123" s="87" t="s">
        <v>267</v>
      </c>
      <c r="L123" s="259"/>
      <c r="M123" s="252">
        <v>5.7709999999999999</v>
      </c>
      <c r="N123" s="259"/>
      <c r="O123" s="259"/>
      <c r="P123" s="259"/>
      <c r="Q123" s="259"/>
      <c r="R123" s="71"/>
      <c r="S123" s="87" t="s">
        <v>267</v>
      </c>
      <c r="T123" s="259"/>
      <c r="U123" s="252">
        <f>D123-M123</f>
        <v>-0.87099999999999955</v>
      </c>
      <c r="V123" s="259"/>
      <c r="W123" s="54"/>
      <c r="X123" s="54"/>
      <c r="Y123" s="54"/>
      <c r="Z123" s="46"/>
      <c r="AA123" s="52" t="s">
        <v>267</v>
      </c>
      <c r="AB123" s="54"/>
      <c r="AC123" s="55">
        <f>U123/M123</f>
        <v>-0.15092704903829485</v>
      </c>
      <c r="AD123" s="54"/>
      <c r="AE123" s="54"/>
      <c r="AF123" s="54"/>
      <c r="AG123" s="54"/>
      <c r="AH123" s="54"/>
      <c r="AI123" s="54"/>
      <c r="AJ123" s="54"/>
    </row>
    <row r="124" spans="1:36" x14ac:dyDescent="0.2">
      <c r="A124" s="115"/>
      <c r="B124" s="76" t="s">
        <v>40</v>
      </c>
      <c r="C124" s="252">
        <f>ROUND(C60*$G$109,3)</f>
        <v>5.9429999999999996</v>
      </c>
      <c r="D124" s="259"/>
      <c r="E124" s="259"/>
      <c r="F124" s="259"/>
      <c r="G124" s="259"/>
      <c r="H124" s="259"/>
      <c r="I124" s="259"/>
      <c r="J124" s="92"/>
      <c r="K124" s="115" t="s">
        <v>40</v>
      </c>
      <c r="L124" s="252">
        <v>8.4120000000000008</v>
      </c>
      <c r="M124" s="259"/>
      <c r="N124" s="259"/>
      <c r="O124" s="259"/>
      <c r="P124" s="259"/>
      <c r="Q124" s="259"/>
      <c r="R124" s="71"/>
      <c r="S124" s="115" t="s">
        <v>40</v>
      </c>
      <c r="T124" s="252">
        <f>C124-L124</f>
        <v>-2.4690000000000012</v>
      </c>
      <c r="U124" s="259"/>
      <c r="V124" s="259"/>
      <c r="W124" s="54"/>
      <c r="X124" s="54"/>
      <c r="Y124" s="54"/>
      <c r="Z124" s="46"/>
      <c r="AA124" s="56" t="s">
        <v>40</v>
      </c>
      <c r="AB124" s="55">
        <f>T124/L124</f>
        <v>-0.29350927246790309</v>
      </c>
      <c r="AC124" s="57"/>
      <c r="AD124" s="54"/>
      <c r="AE124" s="54"/>
      <c r="AF124" s="54"/>
      <c r="AG124" s="54"/>
      <c r="AH124" s="54"/>
      <c r="AI124" s="54"/>
      <c r="AJ124" s="54"/>
    </row>
    <row r="125" spans="1:36" x14ac:dyDescent="0.2">
      <c r="A125" s="115"/>
      <c r="B125" s="78" t="s">
        <v>41</v>
      </c>
      <c r="C125" s="252">
        <f>ROUND(C61*$G$109,3)</f>
        <v>9.6829999999999998</v>
      </c>
      <c r="D125" s="259"/>
      <c r="E125" s="259"/>
      <c r="F125" s="259"/>
      <c r="G125" s="259"/>
      <c r="H125" s="259"/>
      <c r="I125" s="259"/>
      <c r="J125" s="92"/>
      <c r="K125" s="87" t="s">
        <v>41</v>
      </c>
      <c r="L125" s="252">
        <v>9.8390000000000004</v>
      </c>
      <c r="M125" s="259"/>
      <c r="N125" s="259"/>
      <c r="O125" s="259"/>
      <c r="P125" s="259"/>
      <c r="Q125" s="259"/>
      <c r="R125" s="71"/>
      <c r="S125" s="87" t="s">
        <v>41</v>
      </c>
      <c r="T125" s="252">
        <f>C125-L125</f>
        <v>-0.15600000000000058</v>
      </c>
      <c r="U125" s="259"/>
      <c r="V125" s="259"/>
      <c r="W125" s="54"/>
      <c r="X125" s="54"/>
      <c r="Y125" s="54"/>
      <c r="Z125" s="46"/>
      <c r="AA125" s="58" t="s">
        <v>41</v>
      </c>
      <c r="AB125" s="55">
        <f>T125/L125</f>
        <v>-1.585526984449645E-2</v>
      </c>
      <c r="AC125" s="57"/>
      <c r="AD125" s="54"/>
      <c r="AE125" s="54"/>
      <c r="AF125" s="54"/>
      <c r="AG125" s="54"/>
      <c r="AH125" s="54"/>
      <c r="AI125" s="54"/>
      <c r="AJ125" s="54"/>
    </row>
    <row r="126" spans="1:36" x14ac:dyDescent="0.2">
      <c r="A126" s="115"/>
      <c r="B126" s="259"/>
      <c r="C126" s="259"/>
      <c r="D126" s="259"/>
      <c r="E126" s="259"/>
      <c r="F126" s="259"/>
      <c r="G126" s="259"/>
      <c r="H126" s="259"/>
      <c r="I126" s="259"/>
      <c r="J126" s="92"/>
      <c r="K126" s="87" t="s">
        <v>42</v>
      </c>
      <c r="L126" s="260" t="s">
        <v>371</v>
      </c>
      <c r="M126" s="259"/>
      <c r="N126" s="259"/>
      <c r="O126" s="259"/>
      <c r="P126" s="259"/>
      <c r="Q126" s="259"/>
      <c r="R126" s="71"/>
      <c r="S126" s="87" t="s">
        <v>42</v>
      </c>
      <c r="T126" s="260" t="s">
        <v>371</v>
      </c>
      <c r="U126" s="259"/>
      <c r="V126" s="259"/>
      <c r="W126" s="54"/>
      <c r="X126" s="54"/>
      <c r="Y126" s="54"/>
      <c r="Z126" s="46"/>
      <c r="AA126" s="58" t="s">
        <v>42</v>
      </c>
      <c r="AB126" s="59" t="s">
        <v>371</v>
      </c>
      <c r="AC126" s="57"/>
      <c r="AD126" s="54"/>
      <c r="AE126" s="54"/>
      <c r="AF126" s="54"/>
      <c r="AG126" s="54"/>
      <c r="AH126" s="54"/>
      <c r="AI126" s="54"/>
      <c r="AJ126" s="54"/>
    </row>
    <row r="127" spans="1:36" x14ac:dyDescent="0.2">
      <c r="A127" s="115"/>
      <c r="B127" s="71"/>
      <c r="C127" s="259"/>
      <c r="D127" s="259"/>
      <c r="E127" s="259"/>
      <c r="F127" s="259"/>
      <c r="G127" s="259"/>
      <c r="H127" s="259"/>
      <c r="I127" s="259"/>
      <c r="J127" s="71"/>
      <c r="K127" s="71"/>
      <c r="L127" s="259"/>
      <c r="M127" s="259"/>
      <c r="N127" s="259"/>
      <c r="O127" s="259"/>
      <c r="P127" s="259"/>
      <c r="Q127" s="259"/>
      <c r="R127" s="71"/>
      <c r="S127" s="71"/>
      <c r="T127" s="259"/>
      <c r="U127" s="259"/>
      <c r="V127" s="259"/>
      <c r="W127" s="54"/>
      <c r="X127" s="54"/>
      <c r="Y127" s="54"/>
      <c r="Z127" s="46"/>
      <c r="AA127" s="60"/>
      <c r="AB127" s="54"/>
      <c r="AC127" s="54"/>
      <c r="AD127" s="54"/>
      <c r="AE127" s="54"/>
      <c r="AF127" s="54"/>
      <c r="AG127" s="54"/>
      <c r="AH127" s="54"/>
      <c r="AI127" s="54"/>
      <c r="AJ127" s="54"/>
    </row>
    <row r="128" spans="1:36" x14ac:dyDescent="0.2">
      <c r="A128" s="115"/>
      <c r="B128" s="76" t="s">
        <v>268</v>
      </c>
      <c r="C128" s="259"/>
      <c r="D128" s="259"/>
      <c r="E128" s="259"/>
      <c r="F128" s="259"/>
      <c r="G128" s="259"/>
      <c r="H128" s="252">
        <f>ROUND(H64*$G$109,3)</f>
        <v>1.5089999999999999</v>
      </c>
      <c r="I128" s="252"/>
      <c r="J128" s="163"/>
      <c r="K128" s="115" t="s">
        <v>280</v>
      </c>
      <c r="L128" s="259"/>
      <c r="M128" s="259"/>
      <c r="N128" s="259"/>
      <c r="O128" s="259"/>
      <c r="P128" s="259"/>
      <c r="Q128" s="252">
        <v>5.4420000000000002</v>
      </c>
      <c r="R128" s="71"/>
      <c r="S128" s="115" t="s">
        <v>280</v>
      </c>
      <c r="T128" s="259"/>
      <c r="U128" s="259"/>
      <c r="V128" s="259"/>
      <c r="W128" s="54"/>
      <c r="X128" s="54"/>
      <c r="Y128" s="53">
        <f>H128-Q128</f>
        <v>-3.9330000000000003</v>
      </c>
      <c r="Z128" s="46"/>
      <c r="AA128" s="60" t="s">
        <v>280</v>
      </c>
      <c r="AB128" s="54"/>
      <c r="AC128" s="54"/>
      <c r="AD128" s="54"/>
      <c r="AE128" s="54"/>
      <c r="AF128" s="54"/>
      <c r="AG128" s="55">
        <f>Y128/Q128</f>
        <v>-0.72271223814773988</v>
      </c>
      <c r="AH128" s="55"/>
      <c r="AI128" s="55"/>
      <c r="AJ128" s="55"/>
    </row>
    <row r="129" spans="1:36" x14ac:dyDescent="0.2">
      <c r="A129" s="115"/>
      <c r="B129" s="76" t="s">
        <v>269</v>
      </c>
      <c r="C129" s="259"/>
      <c r="D129" s="259"/>
      <c r="E129" s="259"/>
      <c r="F129" s="259"/>
      <c r="G129" s="259"/>
      <c r="H129" s="252">
        <f>ROUND(H65*$G$109,3)</f>
        <v>5.2270000000000003</v>
      </c>
      <c r="I129" s="252"/>
      <c r="J129" s="163"/>
      <c r="K129" s="71"/>
      <c r="L129" s="259"/>
      <c r="M129" s="259"/>
      <c r="N129" s="259"/>
      <c r="O129" s="259"/>
      <c r="P129" s="259"/>
      <c r="Q129" s="259"/>
      <c r="R129" s="71"/>
      <c r="S129" s="71"/>
      <c r="T129" s="259"/>
      <c r="U129" s="259"/>
      <c r="V129" s="259"/>
      <c r="W129" s="54"/>
      <c r="X129" s="54"/>
      <c r="Y129" s="54"/>
      <c r="Z129" s="46"/>
      <c r="AA129" s="60"/>
      <c r="AB129" s="54"/>
      <c r="AC129" s="54"/>
      <c r="AD129" s="54"/>
      <c r="AE129" s="54"/>
      <c r="AF129" s="54"/>
      <c r="AG129" s="54"/>
      <c r="AH129" s="54"/>
      <c r="AI129" s="54"/>
      <c r="AJ129" s="54"/>
    </row>
    <row r="130" spans="1:36" x14ac:dyDescent="0.2">
      <c r="A130" s="115"/>
      <c r="B130" s="71"/>
      <c r="C130" s="259"/>
      <c r="D130" s="259"/>
      <c r="E130" s="259"/>
      <c r="F130" s="259"/>
      <c r="G130" s="259"/>
      <c r="H130" s="259"/>
      <c r="I130" s="259"/>
      <c r="J130" s="71"/>
      <c r="K130" s="27" t="s">
        <v>61</v>
      </c>
      <c r="L130" s="259"/>
      <c r="M130" s="259"/>
      <c r="N130" s="259"/>
      <c r="O130" s="259"/>
      <c r="P130" s="259"/>
      <c r="Q130" s="259"/>
      <c r="R130" s="71"/>
      <c r="S130" s="27" t="s">
        <v>61</v>
      </c>
      <c r="T130" s="259"/>
      <c r="U130" s="259"/>
      <c r="V130" s="259"/>
      <c r="W130" s="54"/>
      <c r="X130" s="54"/>
      <c r="Y130" s="54"/>
      <c r="Z130" s="46"/>
      <c r="AA130" s="61" t="s">
        <v>61</v>
      </c>
      <c r="AB130" s="54"/>
      <c r="AC130" s="54"/>
      <c r="AD130" s="54"/>
      <c r="AE130" s="54"/>
      <c r="AF130" s="54"/>
      <c r="AG130" s="54"/>
      <c r="AH130" s="54"/>
      <c r="AI130" s="54"/>
      <c r="AJ130" s="54"/>
    </row>
    <row r="131" spans="1:36" x14ac:dyDescent="0.2">
      <c r="A131" s="115"/>
      <c r="B131" s="27" t="s">
        <v>61</v>
      </c>
      <c r="C131" s="259"/>
      <c r="D131" s="259"/>
      <c r="E131" s="259"/>
      <c r="F131" s="259"/>
      <c r="G131" s="259"/>
      <c r="H131" s="259"/>
      <c r="I131" s="259"/>
      <c r="J131" s="71"/>
      <c r="K131" s="87" t="s">
        <v>265</v>
      </c>
      <c r="L131" s="252">
        <v>9.7379999999999995</v>
      </c>
      <c r="M131" s="259"/>
      <c r="N131" s="252">
        <v>8.1769999999999996</v>
      </c>
      <c r="O131" s="252">
        <v>5.8460000000000001</v>
      </c>
      <c r="P131" s="252">
        <v>5.8209999999999997</v>
      </c>
      <c r="Q131" s="252">
        <v>6.7539999999999996</v>
      </c>
      <c r="R131" s="71"/>
      <c r="S131" s="87" t="s">
        <v>265</v>
      </c>
      <c r="T131" s="252">
        <f>C132-L131</f>
        <v>-1.6989999999999998</v>
      </c>
      <c r="U131" s="259"/>
      <c r="V131" s="252">
        <f>E132-N131</f>
        <v>-2.0019999999999998</v>
      </c>
      <c r="W131" s="53">
        <f>F132-O131</f>
        <v>-0.9139999999999997</v>
      </c>
      <c r="X131" s="53">
        <f>G132-P131</f>
        <v>-0.92199999999999971</v>
      </c>
      <c r="Y131" s="53">
        <f>H132-Q131</f>
        <v>-1.5199999999999996</v>
      </c>
      <c r="Z131" s="46"/>
      <c r="AA131" s="52" t="s">
        <v>265</v>
      </c>
      <c r="AB131" s="55">
        <f>T131/L131</f>
        <v>-0.17447114397206817</v>
      </c>
      <c r="AC131" s="54"/>
      <c r="AD131" s="55">
        <f>V131/N131</f>
        <v>-0.24483306836248012</v>
      </c>
      <c r="AE131" s="55">
        <f>W131/O131</f>
        <v>-0.15634621963735881</v>
      </c>
      <c r="AF131" s="55">
        <f>X131/P131</f>
        <v>-0.15839202886102041</v>
      </c>
      <c r="AG131" s="55">
        <f>Y131/Q131</f>
        <v>-0.2250518211430263</v>
      </c>
      <c r="AH131" s="55"/>
      <c r="AI131" s="55"/>
      <c r="AJ131" s="55"/>
    </row>
    <row r="132" spans="1:36" x14ac:dyDescent="0.2">
      <c r="A132" s="115"/>
      <c r="B132" s="78" t="s">
        <v>265</v>
      </c>
      <c r="C132" s="252">
        <f>ROUND(C68*$G$110,3)</f>
        <v>8.0389999999999997</v>
      </c>
      <c r="D132" s="259"/>
      <c r="E132" s="252">
        <f>ROUND(E68*$G$110,3)</f>
        <v>6.1749999999999998</v>
      </c>
      <c r="F132" s="252">
        <f>ROUND(F68*$G$110,3)</f>
        <v>4.9320000000000004</v>
      </c>
      <c r="G132" s="252">
        <f>ROUND(G68*$G$110,3)</f>
        <v>4.899</v>
      </c>
      <c r="H132" s="252">
        <f>ROUND(H68*$G$110,3)</f>
        <v>5.234</v>
      </c>
      <c r="I132" s="252"/>
      <c r="J132" s="71"/>
      <c r="K132" s="87" t="s">
        <v>266</v>
      </c>
      <c r="L132" s="259"/>
      <c r="M132" s="252">
        <v>12.37</v>
      </c>
      <c r="N132" s="259"/>
      <c r="O132" s="259"/>
      <c r="P132" s="259"/>
      <c r="Q132" s="259"/>
      <c r="R132" s="71"/>
      <c r="S132" s="87" t="s">
        <v>266</v>
      </c>
      <c r="T132" s="259"/>
      <c r="U132" s="252">
        <f>D133-M132</f>
        <v>-2.34</v>
      </c>
      <c r="V132" s="259"/>
      <c r="W132" s="54"/>
      <c r="X132" s="54"/>
      <c r="Y132" s="54"/>
      <c r="Z132" s="46"/>
      <c r="AA132" s="52" t="s">
        <v>266</v>
      </c>
      <c r="AB132" s="54"/>
      <c r="AC132" s="55">
        <f>U132/M132</f>
        <v>-0.18916734033953111</v>
      </c>
      <c r="AD132" s="54"/>
      <c r="AE132" s="54"/>
      <c r="AF132" s="54"/>
      <c r="AG132" s="54"/>
      <c r="AH132" s="54"/>
      <c r="AI132" s="54"/>
      <c r="AJ132" s="54"/>
    </row>
    <row r="133" spans="1:36" x14ac:dyDescent="0.2">
      <c r="A133" s="115"/>
      <c r="B133" s="78" t="s">
        <v>266</v>
      </c>
      <c r="C133" s="259"/>
      <c r="D133" s="252">
        <f>ROUND(D69*$G$110,3)</f>
        <v>10.029999999999999</v>
      </c>
      <c r="E133" s="259"/>
      <c r="F133" s="259"/>
      <c r="G133" s="259"/>
      <c r="H133" s="259"/>
      <c r="I133" s="259"/>
      <c r="J133" s="92"/>
      <c r="K133" s="87" t="s">
        <v>267</v>
      </c>
      <c r="L133" s="259"/>
      <c r="M133" s="252">
        <v>5.6959999999999997</v>
      </c>
      <c r="N133" s="259"/>
      <c r="O133" s="259"/>
      <c r="P133" s="259"/>
      <c r="Q133" s="259"/>
      <c r="R133" s="71"/>
      <c r="S133" s="87" t="s">
        <v>267</v>
      </c>
      <c r="T133" s="259"/>
      <c r="U133" s="252">
        <f>D134-M133</f>
        <v>-0.72399999999999931</v>
      </c>
      <c r="V133" s="259"/>
      <c r="W133" s="54"/>
      <c r="X133" s="54"/>
      <c r="Y133" s="54"/>
      <c r="Z133" s="46"/>
      <c r="AA133" s="52" t="s">
        <v>267</v>
      </c>
      <c r="AB133" s="54"/>
      <c r="AC133" s="55">
        <f>U133/M133</f>
        <v>-0.12710674157303359</v>
      </c>
      <c r="AD133" s="54"/>
      <c r="AE133" s="54"/>
      <c r="AF133" s="54"/>
      <c r="AG133" s="54"/>
      <c r="AH133" s="54"/>
      <c r="AI133" s="54"/>
      <c r="AJ133" s="54"/>
    </row>
    <row r="134" spans="1:36" x14ac:dyDescent="0.2">
      <c r="A134" s="115"/>
      <c r="B134" s="78" t="s">
        <v>267</v>
      </c>
      <c r="C134" s="259"/>
      <c r="D134" s="252">
        <f>ROUND(D70*$G$110,3)</f>
        <v>4.9720000000000004</v>
      </c>
      <c r="E134" s="259"/>
      <c r="F134" s="259"/>
      <c r="G134" s="259"/>
      <c r="H134" s="259"/>
      <c r="I134" s="259"/>
      <c r="J134" s="92"/>
      <c r="K134" s="115"/>
      <c r="L134" s="259"/>
      <c r="M134" s="259"/>
      <c r="N134" s="259"/>
      <c r="O134" s="259"/>
      <c r="P134" s="259"/>
      <c r="Q134" s="259"/>
      <c r="R134" s="71"/>
      <c r="S134" s="115"/>
      <c r="T134" s="259"/>
      <c r="U134" s="259"/>
      <c r="V134" s="259"/>
      <c r="W134" s="54"/>
      <c r="X134" s="54"/>
      <c r="Y134" s="54"/>
      <c r="Z134" s="46"/>
      <c r="AA134" s="60"/>
      <c r="AB134" s="54"/>
      <c r="AC134" s="54"/>
      <c r="AD134" s="54"/>
      <c r="AE134" s="54"/>
      <c r="AF134" s="54"/>
      <c r="AG134" s="54"/>
      <c r="AH134" s="54"/>
      <c r="AI134" s="54"/>
      <c r="AJ134" s="54"/>
    </row>
    <row r="135" spans="1:36" x14ac:dyDescent="0.2">
      <c r="A135" s="115"/>
      <c r="B135" s="71"/>
      <c r="C135" s="259"/>
      <c r="D135" s="259"/>
      <c r="E135" s="259"/>
      <c r="F135" s="259"/>
      <c r="G135" s="259"/>
      <c r="H135" s="259"/>
      <c r="I135" s="259"/>
      <c r="J135" s="71"/>
      <c r="K135" s="115" t="s">
        <v>280</v>
      </c>
      <c r="L135" s="259"/>
      <c r="M135" s="259"/>
      <c r="N135" s="259"/>
      <c r="O135" s="259"/>
      <c r="P135" s="259"/>
      <c r="Q135" s="252">
        <v>5.4</v>
      </c>
      <c r="R135" s="71"/>
      <c r="S135" s="115" t="s">
        <v>280</v>
      </c>
      <c r="T135" s="259"/>
      <c r="U135" s="259"/>
      <c r="V135" s="259"/>
      <c r="W135" s="54"/>
      <c r="X135" s="54"/>
      <c r="Y135" s="53">
        <f>H136-Q135</f>
        <v>-4.1720000000000006</v>
      </c>
      <c r="Z135" s="46"/>
      <c r="AA135" s="60" t="s">
        <v>280</v>
      </c>
      <c r="AB135" s="54"/>
      <c r="AC135" s="54"/>
      <c r="AD135" s="54"/>
      <c r="AE135" s="54"/>
      <c r="AF135" s="54"/>
      <c r="AG135" s="55">
        <f>Y135/Q135</f>
        <v>-0.77259259259259261</v>
      </c>
      <c r="AH135" s="55"/>
      <c r="AI135" s="55"/>
      <c r="AJ135" s="55"/>
    </row>
    <row r="136" spans="1:36" x14ac:dyDescent="0.2">
      <c r="A136" s="115"/>
      <c r="B136" s="76" t="s">
        <v>268</v>
      </c>
      <c r="C136" s="259"/>
      <c r="D136" s="259"/>
      <c r="E136" s="259"/>
      <c r="F136" s="259"/>
      <c r="G136" s="259"/>
      <c r="H136" s="252">
        <f>ROUND(H72*$G$110,3)</f>
        <v>1.228</v>
      </c>
      <c r="I136" s="252"/>
      <c r="J136" s="163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1:36" x14ac:dyDescent="0.2">
      <c r="A137" s="115"/>
      <c r="B137" s="76" t="s">
        <v>269</v>
      </c>
      <c r="C137" s="259"/>
      <c r="D137" s="259"/>
      <c r="E137" s="259"/>
      <c r="F137" s="259"/>
      <c r="G137" s="259"/>
      <c r="H137" s="252">
        <f>ROUND(H73*$G$110,3)</f>
        <v>4.3419999999999996</v>
      </c>
      <c r="I137" s="252"/>
      <c r="J137" s="163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1:36" x14ac:dyDescent="0.2">
      <c r="A138" s="115"/>
      <c r="B138" s="76"/>
      <c r="C138" s="71"/>
      <c r="D138" s="71"/>
      <c r="E138" s="71"/>
      <c r="F138" s="71"/>
      <c r="G138" s="71"/>
      <c r="H138" s="71"/>
      <c r="I138" s="112"/>
      <c r="J138" s="163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</row>
    <row r="139" spans="1:36" x14ac:dyDescent="0.2">
      <c r="A139" s="115"/>
      <c r="B139" s="237" t="s">
        <v>372</v>
      </c>
      <c r="C139" s="71"/>
      <c r="D139" s="71" t="s">
        <v>271</v>
      </c>
      <c r="E139" s="111">
        <v>6.6250000000000003E-2</v>
      </c>
      <c r="F139" s="71"/>
      <c r="G139" s="71"/>
      <c r="H139" s="71"/>
      <c r="I139" s="71"/>
      <c r="J139" s="163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</row>
    <row r="140" spans="1:36" x14ac:dyDescent="0.2">
      <c r="A140" s="115"/>
      <c r="B140" s="71"/>
      <c r="C140" s="71"/>
      <c r="D140" s="71"/>
      <c r="E140" s="71"/>
      <c r="F140" s="71"/>
      <c r="G140" s="71"/>
      <c r="H140" s="71"/>
      <c r="I140" s="71"/>
      <c r="J140" s="163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</row>
    <row r="141" spans="1:36" x14ac:dyDescent="0.2">
      <c r="A141" s="115"/>
      <c r="B141" s="71"/>
      <c r="C141" s="22" t="s">
        <v>272</v>
      </c>
      <c r="D141" s="22" t="s">
        <v>8</v>
      </c>
      <c r="E141" s="22" t="s">
        <v>9</v>
      </c>
      <c r="F141" s="22" t="s">
        <v>10</v>
      </c>
      <c r="G141" s="22" t="s">
        <v>11</v>
      </c>
      <c r="H141" s="22" t="s">
        <v>12</v>
      </c>
      <c r="I141" s="163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</row>
    <row r="142" spans="1:36" x14ac:dyDescent="0.2">
      <c r="A142" s="115"/>
      <c r="B142" s="27" t="s">
        <v>68</v>
      </c>
      <c r="C142" s="71"/>
      <c r="D142" s="71"/>
      <c r="E142" s="71"/>
      <c r="F142" s="71"/>
      <c r="G142" s="71"/>
      <c r="H142" s="71"/>
      <c r="I142" s="163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</row>
    <row r="143" spans="1:36" x14ac:dyDescent="0.2">
      <c r="A143" s="115"/>
      <c r="B143" s="78" t="s">
        <v>265</v>
      </c>
      <c r="C143" s="78"/>
      <c r="D143" s="71"/>
      <c r="E143" s="112">
        <f>ROUND(E121*(1+$E$139),3)</f>
        <v>7.423</v>
      </c>
      <c r="F143" s="112">
        <f>ROUND(F121*(1+$E$139),3)</f>
        <v>5.3440000000000003</v>
      </c>
      <c r="G143" s="112">
        <f>ROUND(G121*(1+$E$139),3)</f>
        <v>5.3360000000000003</v>
      </c>
      <c r="H143" s="112">
        <f>ROUND(H121*(1+$E$139),3)</f>
        <v>6.0129999999999999</v>
      </c>
      <c r="I143" s="163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</row>
    <row r="144" spans="1:36" x14ac:dyDescent="0.2">
      <c r="A144" s="115"/>
      <c r="B144" s="78" t="s">
        <v>266</v>
      </c>
      <c r="C144" s="71"/>
      <c r="D144" s="112">
        <f>ROUND(D122*(1+$E$139),3)</f>
        <v>13.666</v>
      </c>
      <c r="E144" s="71"/>
      <c r="F144" s="71"/>
      <c r="G144" s="71"/>
      <c r="H144" s="71"/>
      <c r="I144" s="163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</row>
    <row r="145" spans="1:22" x14ac:dyDescent="0.2">
      <c r="A145" s="115"/>
      <c r="B145" s="78" t="s">
        <v>267</v>
      </c>
      <c r="C145" s="71"/>
      <c r="D145" s="112">
        <f>ROUND(D123*(1+$E$139),3)</f>
        <v>5.2249999999999996</v>
      </c>
      <c r="E145" s="71"/>
      <c r="F145" s="71"/>
      <c r="G145" s="71"/>
      <c r="H145" s="71"/>
      <c r="I145" s="163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</row>
    <row r="146" spans="1:22" x14ac:dyDescent="0.2">
      <c r="A146" s="115"/>
      <c r="B146" s="76" t="s">
        <v>40</v>
      </c>
      <c r="C146" s="112">
        <f>ROUND(C124*(1+$E$139),3)</f>
        <v>6.3369999999999997</v>
      </c>
      <c r="D146" s="92"/>
      <c r="E146" s="71"/>
      <c r="F146" s="71"/>
      <c r="G146" s="71"/>
      <c r="H146" s="71"/>
      <c r="I146" s="163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</row>
    <row r="147" spans="1:22" x14ac:dyDescent="0.2">
      <c r="A147" s="115"/>
      <c r="B147" s="78" t="s">
        <v>41</v>
      </c>
      <c r="C147" s="112">
        <f>ROUND(C125*(1+$E$139),3)</f>
        <v>10.324</v>
      </c>
      <c r="D147" s="92"/>
      <c r="E147" s="71"/>
      <c r="F147" s="71"/>
      <c r="G147" s="71"/>
      <c r="H147" s="71"/>
      <c r="I147" s="163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</row>
    <row r="148" spans="1:22" x14ac:dyDescent="0.2">
      <c r="A148" s="115"/>
      <c r="B148" s="92"/>
      <c r="C148" s="92"/>
      <c r="D148" s="92"/>
      <c r="E148" s="71"/>
      <c r="F148" s="71"/>
      <c r="G148" s="71"/>
      <c r="H148" s="71"/>
      <c r="I148" s="163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</row>
    <row r="149" spans="1:22" x14ac:dyDescent="0.2">
      <c r="A149" s="115"/>
      <c r="B149" s="71"/>
      <c r="C149" s="71"/>
      <c r="D149" s="71"/>
      <c r="E149" s="71"/>
      <c r="F149" s="71"/>
      <c r="G149" s="71"/>
      <c r="H149" s="71"/>
      <c r="I149" s="163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</row>
    <row r="150" spans="1:22" x14ac:dyDescent="0.2">
      <c r="A150" s="115"/>
      <c r="B150" s="76" t="s">
        <v>268</v>
      </c>
      <c r="C150" s="71"/>
      <c r="D150" s="71"/>
      <c r="E150" s="71"/>
      <c r="F150" s="71"/>
      <c r="G150" s="71"/>
      <c r="H150" s="253">
        <f>ROUND(H128*(1+$E$139),2)</f>
        <v>1.61</v>
      </c>
      <c r="I150" s="163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</row>
    <row r="151" spans="1:22" x14ac:dyDescent="0.2">
      <c r="A151" s="115"/>
      <c r="B151" s="76" t="s">
        <v>353</v>
      </c>
      <c r="C151" s="71"/>
      <c r="D151" s="71"/>
      <c r="E151" s="71"/>
      <c r="F151" s="71"/>
      <c r="G151" s="71"/>
      <c r="H151" s="253">
        <f>ROUND(H129*(1+$E$139),2)</f>
        <v>5.57</v>
      </c>
      <c r="I151" s="163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</row>
    <row r="152" spans="1:22" x14ac:dyDescent="0.2">
      <c r="A152" s="115"/>
      <c r="B152" s="71"/>
      <c r="C152" s="71"/>
      <c r="D152" s="71"/>
      <c r="E152" s="71"/>
      <c r="F152" s="71"/>
      <c r="G152" s="71"/>
      <c r="H152" s="71"/>
      <c r="I152" s="163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</row>
    <row r="153" spans="1:22" x14ac:dyDescent="0.2">
      <c r="A153" s="115"/>
      <c r="B153" s="27" t="s">
        <v>61</v>
      </c>
      <c r="C153" s="71"/>
      <c r="D153" s="71"/>
      <c r="E153" s="71"/>
      <c r="F153" s="71"/>
      <c r="G153" s="71"/>
      <c r="H153" s="71"/>
      <c r="I153" s="163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</row>
    <row r="154" spans="1:22" x14ac:dyDescent="0.2">
      <c r="A154" s="115"/>
      <c r="B154" s="78" t="s">
        <v>265</v>
      </c>
      <c r="C154" s="112">
        <f>ROUND(C132*(1+$E$139),3)</f>
        <v>8.5719999999999992</v>
      </c>
      <c r="D154" s="71"/>
      <c r="E154" s="112">
        <f>ROUND(E132*(1+$E$139),3)</f>
        <v>6.5839999999999996</v>
      </c>
      <c r="F154" s="112">
        <f>ROUND(F132*(1+$E$139),3)</f>
        <v>5.2590000000000003</v>
      </c>
      <c r="G154" s="112">
        <f>ROUND(G132*(1+$E$139),3)</f>
        <v>5.2240000000000002</v>
      </c>
      <c r="H154" s="112">
        <f>ROUND(H132*(1+$E$139),3)</f>
        <v>5.5810000000000004</v>
      </c>
      <c r="I154" s="163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</row>
    <row r="155" spans="1:22" x14ac:dyDescent="0.2">
      <c r="A155" s="115"/>
      <c r="B155" s="78" t="s">
        <v>266</v>
      </c>
      <c r="C155" s="71"/>
      <c r="D155" s="112">
        <f>ROUND(D133*(1+$E$139),3)</f>
        <v>10.694000000000001</v>
      </c>
      <c r="E155" s="71"/>
      <c r="F155" s="71"/>
      <c r="G155" s="71"/>
      <c r="H155" s="71"/>
      <c r="I155" s="163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</row>
    <row r="156" spans="1:22" x14ac:dyDescent="0.2">
      <c r="A156" s="115"/>
      <c r="B156" s="78" t="s">
        <v>267</v>
      </c>
      <c r="C156" s="71"/>
      <c r="D156" s="112">
        <f>ROUND(D134*(1+$E$139),3)</f>
        <v>5.3010000000000002</v>
      </c>
      <c r="E156" s="71"/>
      <c r="F156" s="71"/>
      <c r="G156" s="71"/>
      <c r="H156" s="71"/>
      <c r="I156" s="163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</row>
    <row r="157" spans="1:22" x14ac:dyDescent="0.2">
      <c r="A157" s="115"/>
      <c r="B157" s="71"/>
      <c r="C157" s="71"/>
      <c r="D157" s="71"/>
      <c r="E157" s="71"/>
      <c r="F157" s="71"/>
      <c r="G157" s="71"/>
      <c r="H157" s="71"/>
      <c r="I157" s="163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</row>
    <row r="158" spans="1:22" x14ac:dyDescent="0.2">
      <c r="A158" s="115"/>
      <c r="B158" s="76" t="s">
        <v>268</v>
      </c>
      <c r="C158" s="71"/>
      <c r="D158" s="71"/>
      <c r="E158" s="71"/>
      <c r="F158" s="71"/>
      <c r="G158" s="71"/>
      <c r="H158" s="253">
        <f>ROUND(H136*(1+$E$139),2)</f>
        <v>1.31</v>
      </c>
      <c r="I158" s="163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</row>
    <row r="159" spans="1:22" x14ac:dyDescent="0.2">
      <c r="A159" s="115"/>
      <c r="B159" s="76" t="s">
        <v>269</v>
      </c>
      <c r="C159" s="71"/>
      <c r="D159" s="71"/>
      <c r="E159" s="71"/>
      <c r="F159" s="71"/>
      <c r="G159" s="71"/>
      <c r="H159" s="253">
        <f>ROUND(H137*(1+$E$139),2)</f>
        <v>4.63</v>
      </c>
      <c r="I159" s="163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</row>
    <row r="160" spans="1:22" x14ac:dyDescent="0.2">
      <c r="A160" s="115"/>
      <c r="B160" s="76"/>
      <c r="C160" s="71"/>
      <c r="D160" s="71"/>
      <c r="E160" s="71"/>
      <c r="F160" s="71"/>
      <c r="G160" s="71"/>
      <c r="H160" s="112"/>
      <c r="I160" s="163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</row>
    <row r="161" spans="1:22" x14ac:dyDescent="0.2">
      <c r="A161" s="115"/>
      <c r="B161" s="76"/>
      <c r="C161" s="71"/>
      <c r="D161" s="71"/>
      <c r="E161" s="71"/>
      <c r="F161" s="71"/>
      <c r="G161" s="71"/>
      <c r="H161" s="163"/>
      <c r="I161" s="163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</row>
    <row r="162" spans="1:22" x14ac:dyDescent="0.2">
      <c r="A162" s="214" t="s">
        <v>373</v>
      </c>
      <c r="B162" s="214" t="s">
        <v>374</v>
      </c>
      <c r="C162" s="71"/>
      <c r="D162" s="71"/>
      <c r="E162" s="71"/>
      <c r="F162" s="71"/>
      <c r="G162" s="71"/>
      <c r="H162" s="163"/>
      <c r="I162" s="163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</row>
    <row r="163" spans="1:22" x14ac:dyDescent="0.2">
      <c r="A163" s="115"/>
      <c r="B163" s="214"/>
      <c r="C163" s="71"/>
      <c r="D163" s="71"/>
      <c r="E163" s="71"/>
      <c r="F163" s="71"/>
      <c r="G163" s="71"/>
      <c r="H163" s="163"/>
      <c r="I163" s="163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</row>
    <row r="164" spans="1:22" x14ac:dyDescent="0.2">
      <c r="A164" s="115"/>
      <c r="B164" s="214"/>
      <c r="C164" s="71"/>
      <c r="D164" s="71"/>
      <c r="E164" s="71"/>
      <c r="F164" s="71"/>
      <c r="G164" s="71"/>
      <c r="H164" s="163"/>
      <c r="I164" s="163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</row>
    <row r="165" spans="1:22" x14ac:dyDescent="0.2">
      <c r="A165" s="115"/>
      <c r="B165" s="25" t="s">
        <v>288</v>
      </c>
      <c r="C165" s="71"/>
      <c r="D165" s="71"/>
      <c r="E165" s="71"/>
      <c r="F165" s="71"/>
      <c r="G165" s="71"/>
      <c r="H165" s="163"/>
      <c r="I165" s="163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</row>
    <row r="166" spans="1:22" ht="13.5" thickBot="1" x14ac:dyDescent="0.25">
      <c r="A166" s="115"/>
      <c r="B166" s="25"/>
      <c r="C166" s="71"/>
      <c r="D166" s="71"/>
      <c r="E166" s="71"/>
      <c r="F166" s="71"/>
      <c r="G166" s="71"/>
      <c r="H166" s="163"/>
      <c r="I166" s="163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</row>
    <row r="167" spans="1:22" x14ac:dyDescent="0.2">
      <c r="A167" s="115"/>
      <c r="B167" s="71"/>
      <c r="C167" s="22" t="str">
        <f>'BGS Cost &amp; Bid Factors'!C$6</f>
        <v>SC1/SC5</v>
      </c>
      <c r="D167" s="22" t="str">
        <f>'BGS Cost &amp; Bid Factors'!D$6</f>
        <v>SC3</v>
      </c>
      <c r="E167" s="22" t="str">
        <f>'BGS Cost &amp; Bid Factors'!E$6</f>
        <v>SC2 ND</v>
      </c>
      <c r="F167" s="22" t="str">
        <f>'BGS Cost &amp; Bid Factors'!F$6</f>
        <v>SC4</v>
      </c>
      <c r="G167" s="22" t="str">
        <f>'BGS Cost &amp; Bid Factors'!G$6</f>
        <v>SC6</v>
      </c>
      <c r="H167" s="22" t="str">
        <f>'BGS Cost &amp; Bid Factors'!H$6</f>
        <v>SC2 Dem</v>
      </c>
      <c r="I167" s="22"/>
      <c r="J167" s="163"/>
      <c r="K167" s="189" t="s">
        <v>153</v>
      </c>
      <c r="L167" s="190"/>
      <c r="M167" s="71"/>
      <c r="N167" s="71"/>
      <c r="O167" s="71"/>
      <c r="P167" s="71"/>
      <c r="Q167" s="71"/>
      <c r="R167" s="71"/>
      <c r="S167" s="71"/>
      <c r="T167" s="71"/>
      <c r="U167" s="71"/>
      <c r="V167" s="71"/>
    </row>
    <row r="168" spans="1:22" x14ac:dyDescent="0.2">
      <c r="A168" s="115"/>
      <c r="B168" s="25"/>
      <c r="C168" s="71"/>
      <c r="D168" s="71"/>
      <c r="E168" s="71"/>
      <c r="F168" s="71"/>
      <c r="G168" s="71"/>
      <c r="H168" s="71"/>
      <c r="I168" s="71"/>
      <c r="J168" s="163"/>
      <c r="K168" s="191"/>
      <c r="L168" s="192" t="s">
        <v>156</v>
      </c>
      <c r="M168" s="71"/>
      <c r="N168" s="71"/>
      <c r="O168" s="71"/>
      <c r="P168" s="71"/>
      <c r="Q168" s="71"/>
      <c r="R168" s="71"/>
      <c r="S168" s="71"/>
      <c r="T168" s="71"/>
      <c r="U168" s="71"/>
      <c r="V168" s="71"/>
    </row>
    <row r="169" spans="1:22" x14ac:dyDescent="0.2">
      <c r="A169" s="115"/>
      <c r="B169" s="157" t="s">
        <v>68</v>
      </c>
      <c r="C169" s="19">
        <f>ROUND((C121*'BGS Cost &amp; Bid Factors'!L$48)/100,0)</f>
        <v>23121</v>
      </c>
      <c r="D169" s="82">
        <f>ROUND((D122*'BGS Cost &amp; Bid Factors'!M$49+D123*'BGS Cost &amp; Bid Factors'!M$50)/100,0)</f>
        <v>7</v>
      </c>
      <c r="E169" s="19">
        <f>ROUND((E121*'BGS Cost &amp; Bid Factors'!N$48)/100,0)</f>
        <v>488</v>
      </c>
      <c r="F169" s="19">
        <f>ROUND((F121*'BGS Cost &amp; Bid Factors'!O$48)/100,0)</f>
        <v>67</v>
      </c>
      <c r="G169" s="19">
        <f>ROUND((G121*'BGS Cost &amp; Bid Factors'!P$48)/100,0)</f>
        <v>74</v>
      </c>
      <c r="H169" s="82">
        <f>ROUND(H121*'BGS Cost &amp; Bid Factors'!Q$48/100+(H128*($L$169/4*'BGS Cost &amp; Bid Factors'!H$144)+H129*($L$169/4*'BGS Cost &amp; Bid Factors'!H$144))/1000,0)</f>
        <v>9154</v>
      </c>
      <c r="I169" s="82"/>
      <c r="J169" s="163"/>
      <c r="K169" s="191" t="s">
        <v>68</v>
      </c>
      <c r="L169" s="193">
        <v>341438.25299470645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</row>
    <row r="170" spans="1:22" ht="13.5" thickBot="1" x14ac:dyDescent="0.25">
      <c r="A170" s="115"/>
      <c r="B170" s="157" t="s">
        <v>61</v>
      </c>
      <c r="C170" s="28">
        <f>ROUND(C132*'BGS Cost &amp; Bid Factors'!L$44/100,0)</f>
        <v>30279</v>
      </c>
      <c r="D170" s="236">
        <f>ROUND((D133*'BGS Cost &amp; Bid Factors'!M$45+D134*'BGS Cost &amp; Bid Factors'!M$46)/100,0)</f>
        <v>14</v>
      </c>
      <c r="E170" s="28">
        <f>ROUND(E132*'BGS Cost &amp; Bid Factors'!N$44/100,0)</f>
        <v>961</v>
      </c>
      <c r="F170" s="28">
        <f>ROUND(F132*'BGS Cost &amp; Bid Factors'!O$44/100,0)</f>
        <v>168</v>
      </c>
      <c r="G170" s="28">
        <f>ROUND(G132*'BGS Cost &amp; Bid Factors'!P$44/100,0)</f>
        <v>180</v>
      </c>
      <c r="H170" s="236">
        <f>ROUND(H132*'BGS Cost &amp; Bid Factors'!Q$44/100+(H136*($L$170/8*'BGS Cost &amp; Bid Factors'!H$145)+H137*($L$170/8*'BGS Cost &amp; Bid Factors'!H$145))/1000,0)</f>
        <v>14831</v>
      </c>
      <c r="I170" s="236"/>
      <c r="J170" s="163"/>
      <c r="K170" s="194" t="s">
        <v>61</v>
      </c>
      <c r="L170" s="195">
        <v>606342.76965902583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</row>
    <row r="171" spans="1:22" x14ac:dyDescent="0.2">
      <c r="A171" s="115"/>
      <c r="B171" s="157" t="s">
        <v>35</v>
      </c>
      <c r="C171" s="96">
        <f t="shared" ref="C171:H171" si="1">+C170+C169</f>
        <v>53400</v>
      </c>
      <c r="D171" s="96">
        <f t="shared" si="1"/>
        <v>21</v>
      </c>
      <c r="E171" s="96">
        <f t="shared" si="1"/>
        <v>1449</v>
      </c>
      <c r="F171" s="96">
        <f t="shared" si="1"/>
        <v>235</v>
      </c>
      <c r="G171" s="96">
        <f t="shared" si="1"/>
        <v>254</v>
      </c>
      <c r="H171" s="96">
        <f t="shared" si="1"/>
        <v>23985</v>
      </c>
      <c r="I171" s="163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</row>
    <row r="172" spans="1:22" x14ac:dyDescent="0.2">
      <c r="A172" s="115"/>
      <c r="B172" s="157"/>
      <c r="C172" s="96"/>
      <c r="D172" s="96"/>
      <c r="E172" s="96"/>
      <c r="F172" s="96"/>
      <c r="G172" s="96"/>
      <c r="H172" s="96"/>
      <c r="I172" s="163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</row>
    <row r="173" spans="1:22" x14ac:dyDescent="0.2">
      <c r="A173" s="115"/>
      <c r="B173" s="157" t="s">
        <v>35</v>
      </c>
      <c r="C173" s="96"/>
      <c r="D173" s="96"/>
      <c r="E173" s="96"/>
      <c r="F173" s="96"/>
      <c r="G173" s="96"/>
      <c r="H173" s="96"/>
      <c r="I173" s="163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</row>
    <row r="174" spans="1:22" x14ac:dyDescent="0.2">
      <c r="A174" s="115"/>
      <c r="B174" s="157" t="s">
        <v>68</v>
      </c>
      <c r="C174" s="96">
        <f>SUM(C169:H169)</f>
        <v>32911</v>
      </c>
      <c r="D174" s="96"/>
      <c r="E174" s="96"/>
      <c r="F174" s="96"/>
      <c r="G174" s="96"/>
      <c r="H174" s="96"/>
      <c r="I174" s="163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</row>
    <row r="175" spans="1:22" x14ac:dyDescent="0.2">
      <c r="A175" s="115"/>
      <c r="B175" s="157" t="s">
        <v>61</v>
      </c>
      <c r="C175" s="29">
        <f>SUM(C170:H170)</f>
        <v>46433</v>
      </c>
      <c r="D175" s="103"/>
      <c r="E175" s="71"/>
      <c r="F175" s="71"/>
      <c r="G175" s="71"/>
      <c r="H175" s="71"/>
      <c r="I175" s="163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</row>
    <row r="176" spans="1:22" x14ac:dyDescent="0.2">
      <c r="A176" s="115"/>
      <c r="B176" s="157" t="s">
        <v>35</v>
      </c>
      <c r="C176" s="96">
        <f>+C175+C174</f>
        <v>79344</v>
      </c>
      <c r="D176" s="103"/>
      <c r="E176" s="71"/>
      <c r="F176" s="71"/>
      <c r="G176" s="71"/>
      <c r="H176" s="82"/>
      <c r="I176" s="163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</row>
    <row r="177" spans="1:22" x14ac:dyDescent="0.2">
      <c r="A177" s="115"/>
      <c r="B177" s="157"/>
      <c r="C177" s="96"/>
      <c r="D177" s="71"/>
      <c r="E177" s="103"/>
      <c r="F177" s="71"/>
      <c r="G177" s="71"/>
      <c r="H177" s="71"/>
      <c r="I177" s="236"/>
      <c r="J177" s="163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</row>
    <row r="178" spans="1:22" x14ac:dyDescent="0.2">
      <c r="A178" s="115"/>
      <c r="B178" s="27" t="s">
        <v>375</v>
      </c>
      <c r="C178" s="26"/>
      <c r="D178" s="26"/>
      <c r="E178" s="26"/>
      <c r="F178" s="26"/>
      <c r="G178" s="26"/>
      <c r="H178" s="26"/>
      <c r="I178" s="96"/>
      <c r="J178" s="163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</row>
    <row r="179" spans="1:22" x14ac:dyDescent="0.2">
      <c r="A179" s="115"/>
      <c r="B179" s="71"/>
      <c r="C179" s="26"/>
      <c r="D179" s="26"/>
      <c r="E179" s="26"/>
      <c r="F179" s="26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</row>
    <row r="180" spans="1:22" x14ac:dyDescent="0.2">
      <c r="A180" s="115"/>
      <c r="B180" s="71" t="s">
        <v>357</v>
      </c>
      <c r="C180" s="103"/>
      <c r="D180" s="103"/>
      <c r="E180" s="103"/>
      <c r="F180" s="26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</row>
    <row r="181" spans="1:22" ht="15" x14ac:dyDescent="0.35">
      <c r="A181" s="115"/>
      <c r="B181" s="71"/>
      <c r="C181" s="44" t="s">
        <v>35</v>
      </c>
      <c r="D181" s="44" t="s">
        <v>337</v>
      </c>
      <c r="E181" s="44" t="s">
        <v>358</v>
      </c>
      <c r="F181" s="26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</row>
    <row r="182" spans="1:22" x14ac:dyDescent="0.2">
      <c r="A182" s="115"/>
      <c r="B182" s="157" t="s">
        <v>68</v>
      </c>
      <c r="C182" s="96">
        <f>'Weighted Avg Price Calc'!G$27/1000</f>
        <v>34558.044999999998</v>
      </c>
      <c r="D182" s="102">
        <f>ROUND('BGS Cost &amp; Bid Factors'!$C$147*SUM('BGS Cost &amp; Bid Factors'!$C$141:$H$141)/12*'BGS Cost &amp; Bid Factors'!H$144/1000*'BGS Cost &amp; Bid Factors'!D447,0)</f>
        <v>4594</v>
      </c>
      <c r="E182" s="96">
        <f>C182-D182</f>
        <v>29964.044999999998</v>
      </c>
      <c r="F182" s="26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</row>
    <row r="183" spans="1:22" ht="15" x14ac:dyDescent="0.35">
      <c r="A183" s="115"/>
      <c r="B183" s="157" t="s">
        <v>61</v>
      </c>
      <c r="C183" s="45">
        <f>'Weighted Avg Price Calc'!G$28/1000</f>
        <v>51290.699000000001</v>
      </c>
      <c r="D183" s="45">
        <f>ROUND('BGS Cost &amp; Bid Factors'!$C$147*SUM('BGS Cost &amp; Bid Factors'!$C$141:$H$141)/12*'BGS Cost &amp; Bid Factors'!H$145/1000*'BGS Cost &amp; Bid Factors'!D447,0)</f>
        <v>9188</v>
      </c>
      <c r="E183" s="45">
        <f>C183-D183</f>
        <v>42102.699000000001</v>
      </c>
      <c r="F183" s="26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</row>
    <row r="184" spans="1:22" x14ac:dyDescent="0.2">
      <c r="A184" s="115"/>
      <c r="B184" s="157" t="s">
        <v>35</v>
      </c>
      <c r="C184" s="96">
        <f>+C183+C182</f>
        <v>85848.744000000006</v>
      </c>
      <c r="D184" s="96">
        <f>D182+D183</f>
        <v>13782</v>
      </c>
      <c r="E184" s="96">
        <f>E182+E183</f>
        <v>72066.744000000006</v>
      </c>
      <c r="F184" s="26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</row>
    <row r="185" spans="1:22" x14ac:dyDescent="0.2">
      <c r="A185" s="115"/>
      <c r="B185" s="71"/>
      <c r="C185" s="103"/>
      <c r="D185" s="103"/>
      <c r="E185" s="103"/>
      <c r="F185" s="26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</row>
    <row r="186" spans="1:22" x14ac:dyDescent="0.2">
      <c r="A186" s="115"/>
      <c r="B186" s="71" t="s">
        <v>359</v>
      </c>
      <c r="C186" s="103"/>
      <c r="D186" s="103"/>
      <c r="E186" s="103"/>
      <c r="F186" s="26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</row>
    <row r="187" spans="1:22" ht="15" x14ac:dyDescent="0.35">
      <c r="A187" s="115"/>
      <c r="B187" s="71"/>
      <c r="C187" s="44" t="s">
        <v>35</v>
      </c>
      <c r="D187" s="44" t="s">
        <v>337</v>
      </c>
      <c r="E187" s="44" t="s">
        <v>358</v>
      </c>
      <c r="F187" s="26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</row>
    <row r="188" spans="1:22" x14ac:dyDescent="0.2">
      <c r="A188" s="115"/>
      <c r="B188" s="157" t="s">
        <v>68</v>
      </c>
      <c r="C188" s="96">
        <f>ROUND($E$251*1000*'Weighted Avg Price Calc'!E40/100/1000,0)</f>
        <v>2946</v>
      </c>
      <c r="D188" s="96">
        <v>0</v>
      </c>
      <c r="E188" s="96">
        <f>C188-D188</f>
        <v>2946</v>
      </c>
      <c r="F188" s="26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</row>
    <row r="189" spans="1:22" ht="15" x14ac:dyDescent="0.35">
      <c r="A189" s="115"/>
      <c r="B189" s="157" t="s">
        <v>61</v>
      </c>
      <c r="C189" s="45">
        <f>ROUND($E$252*1000*'Weighted Avg Price Calc'!E40/100/1000,0)</f>
        <v>4331</v>
      </c>
      <c r="D189" s="45">
        <v>0</v>
      </c>
      <c r="E189" s="45">
        <f>C189-D189</f>
        <v>4331</v>
      </c>
      <c r="F189" s="26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</row>
    <row r="190" spans="1:22" x14ac:dyDescent="0.2">
      <c r="A190" s="115"/>
      <c r="B190" s="157" t="s">
        <v>35</v>
      </c>
      <c r="C190" s="96">
        <f>+C189+C188</f>
        <v>7277</v>
      </c>
      <c r="D190" s="96">
        <f>D188+D189</f>
        <v>0</v>
      </c>
      <c r="E190" s="96">
        <f>E188+E189</f>
        <v>7277</v>
      </c>
      <c r="F190" s="26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</row>
    <row r="191" spans="1:22" x14ac:dyDescent="0.2">
      <c r="A191" s="115"/>
      <c r="B191" s="71"/>
      <c r="C191" s="103"/>
      <c r="D191" s="103"/>
      <c r="E191" s="103"/>
      <c r="F191" s="26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</row>
    <row r="192" spans="1:22" x14ac:dyDescent="0.2">
      <c r="A192" s="115"/>
      <c r="B192" s="71" t="s">
        <v>360</v>
      </c>
      <c r="C192" s="26"/>
      <c r="D192" s="26"/>
      <c r="E192" s="26"/>
      <c r="F192" s="26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</row>
    <row r="193" spans="1:22" ht="15" x14ac:dyDescent="0.35">
      <c r="A193" s="115"/>
      <c r="B193" s="71"/>
      <c r="C193" s="44" t="s">
        <v>35</v>
      </c>
      <c r="D193" s="44" t="s">
        <v>337</v>
      </c>
      <c r="E193" s="44" t="s">
        <v>358</v>
      </c>
      <c r="F193" s="103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</row>
    <row r="194" spans="1:22" x14ac:dyDescent="0.2">
      <c r="A194" s="115"/>
      <c r="B194" s="157" t="s">
        <v>68</v>
      </c>
      <c r="C194" s="96">
        <f>C182+C188</f>
        <v>37504.044999999998</v>
      </c>
      <c r="D194" s="96">
        <f>D182+D188</f>
        <v>4594</v>
      </c>
      <c r="E194" s="96">
        <f>C194-D194</f>
        <v>32910.044999999998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</row>
    <row r="195" spans="1:22" ht="15" x14ac:dyDescent="0.35">
      <c r="A195" s="115"/>
      <c r="B195" s="157" t="s">
        <v>61</v>
      </c>
      <c r="C195" s="45">
        <f>C183+C189</f>
        <v>55621.699000000001</v>
      </c>
      <c r="D195" s="45">
        <f>D183+D189</f>
        <v>9188</v>
      </c>
      <c r="E195" s="45">
        <f>C195-D195</f>
        <v>46433.699000000001</v>
      </c>
      <c r="F195" s="71"/>
      <c r="G195" s="71"/>
      <c r="H195" s="71"/>
      <c r="I195" s="71"/>
      <c r="J195" s="163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</row>
    <row r="196" spans="1:22" x14ac:dyDescent="0.2">
      <c r="A196" s="115"/>
      <c r="B196" s="157" t="s">
        <v>35</v>
      </c>
      <c r="C196" s="96">
        <f>+C195+C194</f>
        <v>93125.744000000006</v>
      </c>
      <c r="D196" s="96">
        <f>D194+D195</f>
        <v>13782</v>
      </c>
      <c r="E196" s="96">
        <f>E194+E195</f>
        <v>79343.744000000006</v>
      </c>
      <c r="F196" s="71"/>
      <c r="G196" s="71"/>
      <c r="H196" s="71"/>
      <c r="I196" s="71"/>
      <c r="J196" s="163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</row>
    <row r="197" spans="1:22" x14ac:dyDescent="0.2">
      <c r="A197" s="115"/>
      <c r="B197" s="71"/>
      <c r="C197" s="103"/>
      <c r="D197" s="31"/>
      <c r="E197" s="103"/>
      <c r="F197" s="233"/>
      <c r="G197" s="71"/>
      <c r="H197" s="71"/>
      <c r="I197" s="71"/>
      <c r="J197" s="163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</row>
    <row r="198" spans="1:22" x14ac:dyDescent="0.2">
      <c r="A198" s="115"/>
      <c r="B198" s="71" t="s">
        <v>292</v>
      </c>
      <c r="C198" s="71"/>
      <c r="D198" s="71"/>
      <c r="E198" s="71"/>
      <c r="F198" s="71"/>
      <c r="G198" s="76"/>
      <c r="H198" s="71"/>
      <c r="I198" s="71"/>
      <c r="J198" s="163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</row>
    <row r="199" spans="1:22" x14ac:dyDescent="0.2">
      <c r="A199" s="115"/>
      <c r="B199" s="71"/>
      <c r="C199" s="76" t="s">
        <v>331</v>
      </c>
      <c r="D199" s="76" t="s">
        <v>331</v>
      </c>
      <c r="E199" s="76"/>
      <c r="F199" s="71"/>
      <c r="G199" s="76"/>
      <c r="H199" s="71"/>
      <c r="I199" s="71"/>
      <c r="J199" s="163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</row>
    <row r="200" spans="1:22" x14ac:dyDescent="0.2">
      <c r="A200" s="115"/>
      <c r="B200" s="76"/>
      <c r="C200" s="219" t="s">
        <v>363</v>
      </c>
      <c r="D200" s="219" t="s">
        <v>364</v>
      </c>
      <c r="E200" s="219" t="s">
        <v>365</v>
      </c>
      <c r="F200" s="71"/>
      <c r="G200" s="219"/>
      <c r="H200" s="71"/>
      <c r="I200" s="163"/>
      <c r="J200" s="163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</row>
    <row r="201" spans="1:22" x14ac:dyDescent="0.2">
      <c r="A201" s="115"/>
      <c r="B201" s="157" t="s">
        <v>68</v>
      </c>
      <c r="C201" s="96">
        <f>C174</f>
        <v>32911</v>
      </c>
      <c r="D201" s="96">
        <f>E194</f>
        <v>32910.044999999998</v>
      </c>
      <c r="E201" s="96">
        <f>D201-C201</f>
        <v>-0.95500000000174623</v>
      </c>
      <c r="F201" s="71"/>
      <c r="G201" s="71"/>
      <c r="H201" s="71"/>
      <c r="I201" s="163"/>
      <c r="J201" s="163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</row>
    <row r="202" spans="1:22" x14ac:dyDescent="0.2">
      <c r="A202" s="115"/>
      <c r="B202" s="157" t="s">
        <v>61</v>
      </c>
      <c r="C202" s="29">
        <f>C175</f>
        <v>46433</v>
      </c>
      <c r="D202" s="29">
        <f>E195</f>
        <v>46433.699000000001</v>
      </c>
      <c r="E202" s="29">
        <f>D202-C202</f>
        <v>0.69900000000052387</v>
      </c>
      <c r="F202" s="71"/>
      <c r="G202" s="71"/>
      <c r="H202" s="71"/>
      <c r="I202" s="163"/>
      <c r="J202" s="163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</row>
    <row r="203" spans="1:22" x14ac:dyDescent="0.2">
      <c r="A203" s="115"/>
      <c r="B203" s="157" t="s">
        <v>35</v>
      </c>
      <c r="C203" s="96">
        <f>+C202+C201</f>
        <v>79344</v>
      </c>
      <c r="D203" s="96">
        <f>+D202+D201</f>
        <v>79343.744000000006</v>
      </c>
      <c r="E203" s="96">
        <f>+E202+E201</f>
        <v>-0.25600000000122236</v>
      </c>
      <c r="F203" s="71"/>
      <c r="G203" s="71"/>
      <c r="H203" s="71"/>
      <c r="I203" s="163"/>
      <c r="J203" s="163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</row>
    <row r="204" spans="1:22" x14ac:dyDescent="0.2">
      <c r="A204" s="115"/>
      <c r="B204" s="76"/>
      <c r="C204" s="71"/>
      <c r="D204" s="71"/>
      <c r="E204" s="71"/>
      <c r="F204" s="71"/>
      <c r="G204" s="71"/>
      <c r="H204" s="71"/>
      <c r="I204" s="163"/>
      <c r="J204" s="163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</row>
    <row r="205" spans="1:22" x14ac:dyDescent="0.2">
      <c r="A205" s="156"/>
      <c r="B205" s="18" t="s">
        <v>274</v>
      </c>
      <c r="C205" s="71"/>
      <c r="D205" s="71"/>
      <c r="E205" s="71"/>
      <c r="F205" s="71"/>
      <c r="G205" s="71"/>
      <c r="H205" s="71"/>
      <c r="I205" s="71"/>
      <c r="J205" s="163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</row>
    <row r="206" spans="1:22" x14ac:dyDescent="0.2">
      <c r="A206" s="156"/>
      <c r="B206" s="18"/>
      <c r="C206" s="71"/>
      <c r="D206" s="71"/>
      <c r="E206" s="71"/>
      <c r="F206" s="71"/>
      <c r="G206" s="71"/>
      <c r="H206" s="71"/>
      <c r="I206" s="71"/>
      <c r="J206" s="163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</row>
    <row r="207" spans="1:22" x14ac:dyDescent="0.2">
      <c r="A207" s="156"/>
      <c r="B207" s="25" t="s">
        <v>275</v>
      </c>
      <c r="C207" s="71"/>
      <c r="D207" s="71"/>
      <c r="E207" s="71"/>
      <c r="F207" s="71"/>
      <c r="G207" s="71"/>
      <c r="H207" s="71"/>
      <c r="I207" s="71"/>
      <c r="J207" s="163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</row>
    <row r="208" spans="1:22" x14ac:dyDescent="0.2">
      <c r="A208" s="156"/>
      <c r="B208" s="115"/>
      <c r="C208" s="26" t="str">
        <f t="shared" ref="C208" si="2">C55</f>
        <v>SC1/SC5</v>
      </c>
      <c r="D208" s="26" t="str">
        <f>D55</f>
        <v>SC3</v>
      </c>
      <c r="E208" s="26" t="str">
        <f>E55</f>
        <v>SC2 ND</v>
      </c>
      <c r="F208" s="26" t="str">
        <f>F55</f>
        <v>SC4</v>
      </c>
      <c r="G208" s="26" t="str">
        <f>G55</f>
        <v>SC6</v>
      </c>
      <c r="H208" s="26" t="str">
        <f>H55</f>
        <v>SC2 Dem</v>
      </c>
      <c r="I208" s="163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</row>
    <row r="209" spans="1:22" x14ac:dyDescent="0.2">
      <c r="A209" s="156"/>
      <c r="B209" s="115" t="s">
        <v>276</v>
      </c>
      <c r="C209" s="83">
        <f>'BGS Cost &amp; Bid Factors'!C538</f>
        <v>1.421</v>
      </c>
      <c r="D209" s="83">
        <f>'BGS Cost &amp; Bid Factors'!D538</f>
        <v>1.421</v>
      </c>
      <c r="E209" s="83">
        <f>'BGS Cost &amp; Bid Factors'!E538</f>
        <v>0.52300000000000002</v>
      </c>
      <c r="F209" s="83">
        <f>'BGS Cost &amp; Bid Factors'!F538</f>
        <v>1.147</v>
      </c>
      <c r="G209" s="83">
        <f>'BGS Cost &amp; Bid Factors'!G538</f>
        <v>1.147</v>
      </c>
      <c r="H209" s="83">
        <f>'BGS Cost &amp; Bid Factors'!H538</f>
        <v>0.52300000000000002</v>
      </c>
      <c r="I209" s="163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</row>
    <row r="210" spans="1:22" x14ac:dyDescent="0.2">
      <c r="A210" s="156"/>
      <c r="B210" s="115" t="s">
        <v>376</v>
      </c>
      <c r="C210" s="71"/>
      <c r="D210" s="71"/>
      <c r="E210" s="71"/>
      <c r="F210" s="71"/>
      <c r="G210" s="71"/>
      <c r="H210" s="114">
        <f>'BGS Cost &amp; Bid Factors'!H539</f>
        <v>1.32</v>
      </c>
      <c r="I210" s="163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</row>
    <row r="211" spans="1:22" x14ac:dyDescent="0.2">
      <c r="A211" s="115"/>
      <c r="B211" s="71"/>
      <c r="C211" s="71"/>
      <c r="D211" s="71"/>
      <c r="E211" s="71"/>
      <c r="F211" s="71"/>
      <c r="G211" s="71"/>
      <c r="H211" s="114">
        <f>'BGS Cost &amp; Bid Factors'!H540</f>
        <v>1.1100000000000001</v>
      </c>
      <c r="I211" s="163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</row>
    <row r="212" spans="1:22" x14ac:dyDescent="0.2">
      <c r="A212" s="115"/>
      <c r="B212" s="71"/>
      <c r="C212" s="71"/>
      <c r="D212" s="71"/>
      <c r="E212" s="71"/>
      <c r="F212" s="71"/>
      <c r="G212" s="71"/>
      <c r="H212" s="71"/>
      <c r="I212" s="163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</row>
    <row r="213" spans="1:22" x14ac:dyDescent="0.2">
      <c r="A213" s="115"/>
      <c r="B213" s="71"/>
      <c r="C213" s="71"/>
      <c r="D213" s="71"/>
      <c r="E213" s="71"/>
      <c r="F213" s="71"/>
      <c r="G213" s="71"/>
      <c r="H213" s="71"/>
      <c r="I213" s="163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</row>
    <row r="214" spans="1:22" x14ac:dyDescent="0.2">
      <c r="A214" s="115"/>
      <c r="B214" s="25" t="s">
        <v>279</v>
      </c>
      <c r="C214" s="71"/>
      <c r="D214" s="71"/>
      <c r="E214" s="71"/>
      <c r="F214" s="71"/>
      <c r="G214" s="71"/>
      <c r="H214" s="71"/>
      <c r="I214" s="163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</row>
    <row r="215" spans="1:22" x14ac:dyDescent="0.2">
      <c r="A215" s="115"/>
      <c r="B215" s="71"/>
      <c r="C215" s="71"/>
      <c r="D215" s="71"/>
      <c r="E215" s="71"/>
      <c r="F215" s="71"/>
      <c r="G215" s="71"/>
      <c r="H215" s="71"/>
      <c r="I215" s="163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</row>
    <row r="216" spans="1:22" x14ac:dyDescent="0.2">
      <c r="A216" s="115"/>
      <c r="B216" s="71"/>
      <c r="C216" s="71"/>
      <c r="D216" s="71"/>
      <c r="E216" s="71"/>
      <c r="F216" s="71"/>
      <c r="G216" s="71"/>
      <c r="H216" s="71"/>
      <c r="I216" s="163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</row>
    <row r="217" spans="1:22" x14ac:dyDescent="0.2">
      <c r="A217" s="115"/>
      <c r="B217" s="27" t="s">
        <v>68</v>
      </c>
      <c r="C217" s="71"/>
      <c r="D217" s="71"/>
      <c r="E217" s="71"/>
      <c r="F217" s="71"/>
      <c r="G217" s="71"/>
      <c r="H217" s="71"/>
      <c r="I217" s="163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</row>
    <row r="218" spans="1:22" x14ac:dyDescent="0.2">
      <c r="A218" s="115"/>
      <c r="B218" s="78" t="s">
        <v>265</v>
      </c>
      <c r="C218" s="92">
        <f t="shared" ref="C218:H225" si="3">IF(C121&gt;0,C121+C$209,"")</f>
        <v>9.5289999999999999</v>
      </c>
      <c r="D218" s="92" t="str">
        <f t="shared" si="3"/>
        <v/>
      </c>
      <c r="E218" s="92">
        <f t="shared" si="3"/>
        <v>7.4849999999999994</v>
      </c>
      <c r="F218" s="92">
        <f t="shared" si="3"/>
        <v>6.1589999999999998</v>
      </c>
      <c r="G218" s="92">
        <f t="shared" si="3"/>
        <v>6.1509999999999998</v>
      </c>
      <c r="H218" s="92">
        <f t="shared" si="3"/>
        <v>6.1619999999999999</v>
      </c>
      <c r="I218" s="163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</row>
    <row r="219" spans="1:22" x14ac:dyDescent="0.2">
      <c r="A219" s="115"/>
      <c r="B219" s="78" t="s">
        <v>266</v>
      </c>
      <c r="C219" s="92" t="str">
        <f t="shared" si="3"/>
        <v/>
      </c>
      <c r="D219" s="92">
        <f t="shared" si="3"/>
        <v>14.238</v>
      </c>
      <c r="E219" s="92" t="str">
        <f t="shared" si="3"/>
        <v/>
      </c>
      <c r="F219" s="92" t="str">
        <f t="shared" si="3"/>
        <v/>
      </c>
      <c r="G219" s="92" t="str">
        <f t="shared" si="3"/>
        <v/>
      </c>
      <c r="H219" s="92" t="str">
        <f t="shared" si="3"/>
        <v/>
      </c>
      <c r="I219" s="163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</row>
    <row r="220" spans="1:22" x14ac:dyDescent="0.2">
      <c r="A220" s="115"/>
      <c r="B220" s="78" t="s">
        <v>267</v>
      </c>
      <c r="C220" s="92" t="str">
        <f t="shared" si="3"/>
        <v/>
      </c>
      <c r="D220" s="92">
        <f t="shared" si="3"/>
        <v>6.3210000000000006</v>
      </c>
      <c r="E220" s="92" t="str">
        <f t="shared" si="3"/>
        <v/>
      </c>
      <c r="F220" s="92" t="str">
        <f t="shared" si="3"/>
        <v/>
      </c>
      <c r="G220" s="92" t="str">
        <f t="shared" si="3"/>
        <v/>
      </c>
      <c r="H220" s="92" t="str">
        <f t="shared" si="3"/>
        <v/>
      </c>
      <c r="I220" s="163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</row>
    <row r="221" spans="1:22" x14ac:dyDescent="0.2">
      <c r="A221" s="115"/>
      <c r="B221" s="76" t="s">
        <v>40</v>
      </c>
      <c r="C221" s="92">
        <f t="shared" si="3"/>
        <v>7.3639999999999999</v>
      </c>
      <c r="D221" s="92" t="str">
        <f t="shared" si="3"/>
        <v/>
      </c>
      <c r="E221" s="92" t="str">
        <f t="shared" si="3"/>
        <v/>
      </c>
      <c r="F221" s="92" t="str">
        <f t="shared" si="3"/>
        <v/>
      </c>
      <c r="G221" s="92" t="str">
        <f t="shared" si="3"/>
        <v/>
      </c>
      <c r="H221" s="92" t="str">
        <f t="shared" si="3"/>
        <v/>
      </c>
      <c r="I221" s="163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</row>
    <row r="222" spans="1:22" x14ac:dyDescent="0.2">
      <c r="A222" s="115"/>
      <c r="B222" s="78" t="s">
        <v>41</v>
      </c>
      <c r="C222" s="92">
        <f t="shared" si="3"/>
        <v>11.103999999999999</v>
      </c>
      <c r="D222" s="92" t="str">
        <f t="shared" si="3"/>
        <v/>
      </c>
      <c r="E222" s="92" t="str">
        <f t="shared" si="3"/>
        <v/>
      </c>
      <c r="F222" s="92" t="str">
        <f t="shared" si="3"/>
        <v/>
      </c>
      <c r="G222" s="92" t="str">
        <f t="shared" si="3"/>
        <v/>
      </c>
      <c r="H222" s="92" t="str">
        <f t="shared" si="3"/>
        <v/>
      </c>
      <c r="I222" s="163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</row>
    <row r="223" spans="1:22" x14ac:dyDescent="0.2">
      <c r="A223" s="115"/>
      <c r="B223" s="92"/>
      <c r="C223" s="92"/>
      <c r="D223" s="92" t="str">
        <f t="shared" si="3"/>
        <v/>
      </c>
      <c r="E223" s="92" t="str">
        <f t="shared" si="3"/>
        <v/>
      </c>
      <c r="F223" s="92" t="str">
        <f t="shared" si="3"/>
        <v/>
      </c>
      <c r="G223" s="92" t="str">
        <f t="shared" si="3"/>
        <v/>
      </c>
      <c r="H223" s="92" t="str">
        <f t="shared" si="3"/>
        <v/>
      </c>
      <c r="I223" s="163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</row>
    <row r="224" spans="1:22" x14ac:dyDescent="0.2">
      <c r="A224" s="115"/>
      <c r="B224" s="71"/>
      <c r="C224" s="92" t="str">
        <f t="shared" si="3"/>
        <v/>
      </c>
      <c r="D224" s="92" t="str">
        <f t="shared" si="3"/>
        <v/>
      </c>
      <c r="E224" s="92" t="str">
        <f t="shared" si="3"/>
        <v/>
      </c>
      <c r="F224" s="92" t="str">
        <f t="shared" si="3"/>
        <v/>
      </c>
      <c r="G224" s="92" t="str">
        <f t="shared" si="3"/>
        <v/>
      </c>
      <c r="H224" s="92" t="str">
        <f t="shared" si="3"/>
        <v/>
      </c>
      <c r="I224" s="163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</row>
    <row r="225" spans="1:22" x14ac:dyDescent="0.2">
      <c r="A225" s="115"/>
      <c r="B225" s="76" t="s">
        <v>268</v>
      </c>
      <c r="C225" s="92" t="str">
        <f t="shared" si="3"/>
        <v/>
      </c>
      <c r="D225" s="92" t="str">
        <f>IF(D128&gt;0,D128+D$209,"")</f>
        <v/>
      </c>
      <c r="E225" s="92" t="str">
        <f>IF(E128&gt;0,E128+E$209,"")</f>
        <v/>
      </c>
      <c r="F225" s="92" t="str">
        <f>IF(F128&gt;0,F128+F$209,"")</f>
        <v/>
      </c>
      <c r="G225" s="92" t="str">
        <f>IF(G128&gt;0,G128+G$209,"")</f>
        <v/>
      </c>
      <c r="H225" s="92">
        <f>IF(H128&gt;0,H128+H$210,"")</f>
        <v>2.8289999999999997</v>
      </c>
      <c r="I225" s="163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</row>
    <row r="226" spans="1:22" x14ac:dyDescent="0.2">
      <c r="A226" s="115"/>
      <c r="B226" s="76" t="s">
        <v>269</v>
      </c>
      <c r="C226" s="71"/>
      <c r="D226" s="71"/>
      <c r="E226" s="71"/>
      <c r="F226" s="71"/>
      <c r="G226" s="71"/>
      <c r="H226" s="92">
        <f>IF(H129&gt;0,H129+H$210,"")</f>
        <v>6.5470000000000006</v>
      </c>
      <c r="I226" s="163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</row>
    <row r="227" spans="1:22" x14ac:dyDescent="0.2">
      <c r="A227" s="115"/>
      <c r="B227" s="76"/>
      <c r="C227" s="71"/>
      <c r="D227" s="71"/>
      <c r="E227" s="71"/>
      <c r="F227" s="71"/>
      <c r="G227" s="71"/>
      <c r="H227" s="71"/>
      <c r="I227" s="163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</row>
    <row r="228" spans="1:22" x14ac:dyDescent="0.2">
      <c r="A228" s="115"/>
      <c r="B228" s="27" t="s">
        <v>61</v>
      </c>
      <c r="C228" s="71"/>
      <c r="D228" s="71"/>
      <c r="E228" s="71"/>
      <c r="F228" s="71"/>
      <c r="G228" s="71"/>
      <c r="H228" s="71"/>
      <c r="I228" s="163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</row>
    <row r="229" spans="1:22" x14ac:dyDescent="0.2">
      <c r="A229" s="115"/>
      <c r="B229" s="78" t="s">
        <v>265</v>
      </c>
      <c r="C229" s="92">
        <f t="shared" ref="C229:H233" si="4">IF(C132&gt;0,C132+C$209,"")</f>
        <v>9.4599999999999991</v>
      </c>
      <c r="D229" s="92" t="str">
        <f t="shared" si="4"/>
        <v/>
      </c>
      <c r="E229" s="92">
        <f t="shared" si="4"/>
        <v>6.6979999999999995</v>
      </c>
      <c r="F229" s="92">
        <f t="shared" si="4"/>
        <v>6.0790000000000006</v>
      </c>
      <c r="G229" s="92">
        <f t="shared" si="4"/>
        <v>6.0460000000000003</v>
      </c>
      <c r="H229" s="92">
        <f t="shared" si="4"/>
        <v>5.7569999999999997</v>
      </c>
      <c r="I229" s="163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</row>
    <row r="230" spans="1:22" x14ac:dyDescent="0.2">
      <c r="A230" s="115"/>
      <c r="B230" s="78" t="s">
        <v>266</v>
      </c>
      <c r="C230" s="92" t="str">
        <f t="shared" si="4"/>
        <v/>
      </c>
      <c r="D230" s="92">
        <f t="shared" si="4"/>
        <v>11.450999999999999</v>
      </c>
      <c r="E230" s="92" t="str">
        <f t="shared" si="4"/>
        <v/>
      </c>
      <c r="F230" s="92" t="str">
        <f t="shared" si="4"/>
        <v/>
      </c>
      <c r="G230" s="92" t="str">
        <f t="shared" si="4"/>
        <v/>
      </c>
      <c r="H230" s="92" t="str">
        <f t="shared" si="4"/>
        <v/>
      </c>
      <c r="I230" s="163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</row>
    <row r="231" spans="1:22" x14ac:dyDescent="0.2">
      <c r="A231" s="115"/>
      <c r="B231" s="78" t="s">
        <v>267</v>
      </c>
      <c r="C231" s="92" t="str">
        <f t="shared" si="4"/>
        <v/>
      </c>
      <c r="D231" s="92">
        <f t="shared" si="4"/>
        <v>6.3930000000000007</v>
      </c>
      <c r="E231" s="92" t="str">
        <f t="shared" si="4"/>
        <v/>
      </c>
      <c r="F231" s="92" t="str">
        <f t="shared" si="4"/>
        <v/>
      </c>
      <c r="G231" s="92" t="str">
        <f t="shared" si="4"/>
        <v/>
      </c>
      <c r="H231" s="92" t="str">
        <f t="shared" si="4"/>
        <v/>
      </c>
      <c r="I231" s="163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</row>
    <row r="232" spans="1:22" x14ac:dyDescent="0.2">
      <c r="A232" s="115"/>
      <c r="B232" s="71"/>
      <c r="C232" s="92" t="str">
        <f t="shared" si="4"/>
        <v/>
      </c>
      <c r="D232" s="92" t="str">
        <f t="shared" si="4"/>
        <v/>
      </c>
      <c r="E232" s="92" t="str">
        <f t="shared" si="4"/>
        <v/>
      </c>
      <c r="F232" s="92" t="str">
        <f t="shared" si="4"/>
        <v/>
      </c>
      <c r="G232" s="92" t="str">
        <f t="shared" si="4"/>
        <v/>
      </c>
      <c r="H232" s="92" t="str">
        <f t="shared" si="4"/>
        <v/>
      </c>
      <c r="I232" s="163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</row>
    <row r="233" spans="1:22" x14ac:dyDescent="0.2">
      <c r="A233" s="115"/>
      <c r="B233" s="76" t="s">
        <v>268</v>
      </c>
      <c r="C233" s="92" t="str">
        <f t="shared" si="4"/>
        <v/>
      </c>
      <c r="D233" s="92" t="str">
        <f>IF(D136&gt;0,D136+D$209,"")</f>
        <v/>
      </c>
      <c r="E233" s="92" t="str">
        <f>IF(E136&gt;0,E136+E$209,"")</f>
        <v/>
      </c>
      <c r="F233" s="92" t="str">
        <f>IF(F136&gt;0,F136+F$209,"")</f>
        <v/>
      </c>
      <c r="G233" s="92" t="str">
        <f>IF(G136&gt;0,G136+G$209,"")</f>
        <v/>
      </c>
      <c r="H233" s="92">
        <f>IF(H136&gt;0,H136+H$211,"")</f>
        <v>2.3380000000000001</v>
      </c>
      <c r="I233" s="163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</row>
    <row r="234" spans="1:22" x14ac:dyDescent="0.2">
      <c r="A234" s="115"/>
      <c r="B234" s="76" t="s">
        <v>269</v>
      </c>
      <c r="C234" s="71"/>
      <c r="D234" s="71"/>
      <c r="E234" s="71"/>
      <c r="F234" s="71"/>
      <c r="G234" s="71"/>
      <c r="H234" s="92">
        <f>IF(H137&gt;0,H137+H$211,"")</f>
        <v>5.452</v>
      </c>
      <c r="I234" s="163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</row>
    <row r="235" spans="1:22" x14ac:dyDescent="0.2">
      <c r="A235" s="115"/>
      <c r="B235" s="76"/>
      <c r="C235" s="71"/>
      <c r="D235" s="71"/>
      <c r="E235" s="71"/>
      <c r="F235" s="71"/>
      <c r="G235" s="71"/>
      <c r="H235" s="71"/>
      <c r="I235" s="163"/>
      <c r="J235" s="163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</row>
    <row r="236" spans="1:22" ht="13.5" thickBot="1" x14ac:dyDescent="0.25">
      <c r="A236" s="115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</row>
    <row r="237" spans="1:22" ht="13.5" thickBot="1" x14ac:dyDescent="0.25">
      <c r="A237" s="261" t="s">
        <v>377</v>
      </c>
      <c r="B237" s="262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262"/>
      <c r="R237" s="262"/>
      <c r="S237" s="262"/>
      <c r="T237" s="262"/>
      <c r="U237" s="262"/>
      <c r="V237" s="263"/>
    </row>
    <row r="238" spans="1:22" ht="13.5" thickBot="1" x14ac:dyDescent="0.25">
      <c r="A238" s="115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</row>
    <row r="239" spans="1:22" x14ac:dyDescent="0.2">
      <c r="A239" s="115"/>
      <c r="B239" s="264" t="s">
        <v>378</v>
      </c>
      <c r="C239" s="265"/>
      <c r="D239" s="265"/>
      <c r="E239" s="266"/>
      <c r="F239" s="190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</row>
    <row r="240" spans="1:22" x14ac:dyDescent="0.2">
      <c r="A240" s="115"/>
      <c r="B240" s="267"/>
      <c r="C240" s="148"/>
      <c r="D240" s="148"/>
      <c r="E240" s="268"/>
      <c r="F240" s="192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</row>
    <row r="241" spans="1:22" x14ac:dyDescent="0.2">
      <c r="A241" s="115"/>
      <c r="B241" s="269" t="s">
        <v>379</v>
      </c>
      <c r="C241" s="148"/>
      <c r="D241" s="148"/>
      <c r="E241" s="268"/>
      <c r="F241" s="192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</row>
    <row r="242" spans="1:22" x14ac:dyDescent="0.2">
      <c r="A242" s="115"/>
      <c r="B242" s="267"/>
      <c r="C242" s="148"/>
      <c r="D242" s="149" t="s">
        <v>380</v>
      </c>
      <c r="E242" s="270" t="s">
        <v>381</v>
      </c>
      <c r="F242" s="271" t="s">
        <v>35</v>
      </c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</row>
    <row r="243" spans="1:22" x14ac:dyDescent="0.2">
      <c r="A243" s="115"/>
      <c r="B243" s="267"/>
      <c r="C243" s="148"/>
      <c r="D243" s="148"/>
      <c r="E243" s="268"/>
      <c r="F243" s="192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</row>
    <row r="244" spans="1:22" x14ac:dyDescent="0.2">
      <c r="A244" s="115"/>
      <c r="B244" s="267"/>
      <c r="C244" s="148" t="s">
        <v>68</v>
      </c>
      <c r="D244" s="272">
        <v>367385</v>
      </c>
      <c r="E244" s="272">
        <v>49230</v>
      </c>
      <c r="F244" s="273">
        <f>SUM(D244:E244)</f>
        <v>416615</v>
      </c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</row>
    <row r="245" spans="1:22" x14ac:dyDescent="0.2">
      <c r="A245" s="115"/>
      <c r="B245" s="267"/>
      <c r="C245" s="148" t="s">
        <v>61</v>
      </c>
      <c r="D245" s="272">
        <v>545278</v>
      </c>
      <c r="E245" s="272">
        <v>73068</v>
      </c>
      <c r="F245" s="273">
        <f>SUM(D245:E245)</f>
        <v>618346</v>
      </c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</row>
    <row r="246" spans="1:22" x14ac:dyDescent="0.2">
      <c r="A246" s="115"/>
      <c r="B246" s="267"/>
      <c r="C246" s="274" t="s">
        <v>35</v>
      </c>
      <c r="D246" s="275">
        <f>SUM(D244:D245)</f>
        <v>912663</v>
      </c>
      <c r="E246" s="275">
        <f t="shared" ref="E246:F246" si="5">SUM(E244:E245)</f>
        <v>122298</v>
      </c>
      <c r="F246" s="275">
        <f t="shared" si="5"/>
        <v>1034961</v>
      </c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</row>
    <row r="247" spans="1:22" x14ac:dyDescent="0.2">
      <c r="A247" s="115"/>
      <c r="B247" s="267"/>
      <c r="C247" s="148"/>
      <c r="D247" s="148"/>
      <c r="E247" s="268"/>
      <c r="F247" s="192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</row>
    <row r="248" spans="1:22" x14ac:dyDescent="0.2">
      <c r="A248" s="115"/>
      <c r="B248" s="269" t="s">
        <v>382</v>
      </c>
      <c r="C248" s="148"/>
      <c r="D248" s="148"/>
      <c r="E248" s="268"/>
      <c r="F248" s="192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</row>
    <row r="249" spans="1:22" x14ac:dyDescent="0.2">
      <c r="A249" s="115"/>
      <c r="B249" s="267"/>
      <c r="C249" s="148"/>
      <c r="D249" s="149" t="s">
        <v>380</v>
      </c>
      <c r="E249" s="270" t="s">
        <v>381</v>
      </c>
      <c r="F249" s="271" t="s">
        <v>35</v>
      </c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</row>
    <row r="250" spans="1:22" x14ac:dyDescent="0.2">
      <c r="A250" s="115"/>
      <c r="B250" s="267"/>
      <c r="C250" s="148"/>
      <c r="D250" s="148"/>
      <c r="E250" s="268"/>
      <c r="F250" s="192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</row>
    <row r="251" spans="1:22" x14ac:dyDescent="0.2">
      <c r="A251" s="115"/>
      <c r="B251" s="267"/>
      <c r="C251" s="148" t="s">
        <v>68</v>
      </c>
      <c r="D251" s="272">
        <v>394915.23045088351</v>
      </c>
      <c r="E251" s="272">
        <v>53425.313509613734</v>
      </c>
      <c r="F251" s="273">
        <f>SUM(D251:E251)</f>
        <v>448340.54396049725</v>
      </c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</row>
    <row r="252" spans="1:22" x14ac:dyDescent="0.2">
      <c r="A252" s="115"/>
      <c r="B252" s="267"/>
      <c r="C252" s="148" t="s">
        <v>61</v>
      </c>
      <c r="D252" s="272">
        <v>586129.18296993652</v>
      </c>
      <c r="E252" s="272">
        <v>78542.112215780144</v>
      </c>
      <c r="F252" s="273">
        <f>SUM(D252:E252)</f>
        <v>664671.29518571671</v>
      </c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</row>
    <row r="253" spans="1:22" x14ac:dyDescent="0.2">
      <c r="A253" s="115"/>
      <c r="B253" s="276"/>
      <c r="C253" s="274" t="s">
        <v>35</v>
      </c>
      <c r="D253" s="275">
        <f>SUM(D251:D252)</f>
        <v>981044.41342082003</v>
      </c>
      <c r="E253" s="275">
        <f t="shared" ref="E253:F253" si="6">SUM(E251:E252)</f>
        <v>131967.42572539387</v>
      </c>
      <c r="F253" s="275">
        <f t="shared" si="6"/>
        <v>1113011.8391462141</v>
      </c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</row>
    <row r="254" spans="1:22" ht="13.5" thickBot="1" x14ac:dyDescent="0.25">
      <c r="A254" s="115"/>
      <c r="B254" s="194"/>
      <c r="C254" s="277"/>
      <c r="D254" s="277"/>
      <c r="E254" s="278"/>
      <c r="F254" s="229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</row>
    <row r="255" spans="1:22" x14ac:dyDescent="0.2">
      <c r="A255" s="115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</row>
    <row r="256" spans="1:22" ht="13.5" thickBot="1" x14ac:dyDescent="0.25">
      <c r="A256" s="115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</row>
    <row r="257" spans="1:22" ht="16.5" thickBot="1" x14ac:dyDescent="0.3">
      <c r="A257" s="115"/>
      <c r="B257" s="279"/>
      <c r="C257" s="280"/>
      <c r="D257" s="281" t="s">
        <v>383</v>
      </c>
      <c r="E257" s="313" t="s">
        <v>384</v>
      </c>
      <c r="F257" s="313"/>
      <c r="G257" s="314"/>
      <c r="H257" s="313" t="s">
        <v>385</v>
      </c>
      <c r="I257" s="313"/>
      <c r="J257" s="313"/>
      <c r="K257" s="312" t="s">
        <v>386</v>
      </c>
      <c r="L257" s="313"/>
      <c r="M257" s="314"/>
      <c r="N257" s="313" t="s">
        <v>114</v>
      </c>
      <c r="O257" s="313"/>
      <c r="P257" s="312" t="s">
        <v>387</v>
      </c>
      <c r="Q257" s="313"/>
      <c r="R257" s="314"/>
      <c r="S257" s="312" t="s">
        <v>388</v>
      </c>
      <c r="T257" s="313"/>
      <c r="U257" s="314"/>
      <c r="V257" s="71"/>
    </row>
    <row r="258" spans="1:22" ht="29.25" customHeight="1" thickBot="1" x14ac:dyDescent="0.25">
      <c r="A258" s="115"/>
      <c r="B258" s="282"/>
      <c r="C258" s="283"/>
      <c r="D258" s="284" t="s">
        <v>389</v>
      </c>
      <c r="E258" s="285" t="s">
        <v>390</v>
      </c>
      <c r="F258" s="285" t="s">
        <v>391</v>
      </c>
      <c r="G258" s="286" t="s">
        <v>392</v>
      </c>
      <c r="H258" s="285" t="s">
        <v>389</v>
      </c>
      <c r="I258" s="285" t="s">
        <v>391</v>
      </c>
      <c r="J258" s="285" t="s">
        <v>392</v>
      </c>
      <c r="K258" s="287" t="s">
        <v>389</v>
      </c>
      <c r="L258" s="285" t="s">
        <v>393</v>
      </c>
      <c r="M258" s="286" t="s">
        <v>392</v>
      </c>
      <c r="N258" s="285" t="s">
        <v>394</v>
      </c>
      <c r="O258" s="285" t="s">
        <v>392</v>
      </c>
      <c r="P258" s="287" t="s">
        <v>395</v>
      </c>
      <c r="Q258" s="285" t="s">
        <v>396</v>
      </c>
      <c r="R258" s="286" t="s">
        <v>392</v>
      </c>
      <c r="S258" s="287" t="s">
        <v>395</v>
      </c>
      <c r="T258" s="285" t="s">
        <v>396</v>
      </c>
      <c r="U258" s="286" t="s">
        <v>392</v>
      </c>
      <c r="V258" s="71"/>
    </row>
    <row r="259" spans="1:22" x14ac:dyDescent="0.2">
      <c r="A259" s="115"/>
      <c r="B259" s="288"/>
      <c r="C259" s="289"/>
      <c r="D259" s="290"/>
      <c r="E259" s="254"/>
      <c r="F259" s="254"/>
      <c r="G259" s="254"/>
      <c r="H259" s="290"/>
      <c r="I259" s="290"/>
      <c r="J259" s="157"/>
      <c r="K259" s="291"/>
      <c r="L259" s="292"/>
      <c r="M259" s="293"/>
      <c r="N259" s="290"/>
      <c r="O259" s="157"/>
      <c r="P259" s="291"/>
      <c r="Q259" s="292"/>
      <c r="R259" s="192"/>
      <c r="S259" s="291"/>
      <c r="T259" s="292"/>
      <c r="U259" s="192"/>
      <c r="V259" s="71"/>
    </row>
    <row r="260" spans="1:22" x14ac:dyDescent="0.2">
      <c r="A260" s="115"/>
      <c r="B260" s="294">
        <v>43983</v>
      </c>
      <c r="C260" s="289"/>
      <c r="D260" s="295">
        <v>8166</v>
      </c>
      <c r="E260" s="255"/>
      <c r="F260" s="255"/>
      <c r="G260" s="255"/>
      <c r="H260" s="295">
        <v>7200</v>
      </c>
      <c r="I260" s="295">
        <v>34.81</v>
      </c>
      <c r="J260" s="256">
        <f t="shared" ref="J260:J271" si="7">H260*I260</f>
        <v>250632.00000000003</v>
      </c>
      <c r="K260" s="296">
        <f>D260-E260-H260</f>
        <v>966</v>
      </c>
      <c r="L260" s="295">
        <v>26.627777777777776</v>
      </c>
      <c r="M260" s="257">
        <f t="shared" ref="M260:M271" si="8">K260*L260</f>
        <v>25722.433333333331</v>
      </c>
      <c r="N260" s="295">
        <v>2.1120899999999998</v>
      </c>
      <c r="O260" s="256">
        <f t="shared" ref="O260:O271" si="9">N260*(K260+H260)</f>
        <v>17247.326939999999</v>
      </c>
      <c r="P260" s="295">
        <v>0</v>
      </c>
      <c r="Q260" s="295">
        <v>0</v>
      </c>
      <c r="R260" s="257">
        <f>P260*Q260*1000</f>
        <v>0</v>
      </c>
      <c r="S260" s="295">
        <v>44.172203995226482</v>
      </c>
      <c r="T260" s="295">
        <v>5.1100000000000003</v>
      </c>
      <c r="U260" s="257">
        <f>S260*T260*1000</f>
        <v>225719.96241560736</v>
      </c>
      <c r="V260" s="71"/>
    </row>
    <row r="261" spans="1:22" x14ac:dyDescent="0.2">
      <c r="A261" s="115"/>
      <c r="B261" s="294">
        <f>B260+31-DAY(B260+31)+1</f>
        <v>44013</v>
      </c>
      <c r="C261" s="289"/>
      <c r="D261" s="295">
        <v>11344</v>
      </c>
      <c r="E261" s="255"/>
      <c r="F261" s="255"/>
      <c r="G261" s="255"/>
      <c r="H261" s="295">
        <v>7440</v>
      </c>
      <c r="I261" s="295">
        <v>34.81</v>
      </c>
      <c r="J261" s="256">
        <f t="shared" si="7"/>
        <v>258986.40000000002</v>
      </c>
      <c r="K261" s="296">
        <f t="shared" ref="K261:K271" si="10">D261-E261-H261</f>
        <v>3904</v>
      </c>
      <c r="L261" s="295">
        <v>32.411290322580648</v>
      </c>
      <c r="M261" s="257">
        <f t="shared" si="8"/>
        <v>126533.67741935485</v>
      </c>
      <c r="N261" s="295">
        <v>1.7971299999999999</v>
      </c>
      <c r="O261" s="256">
        <f t="shared" si="9"/>
        <v>20386.64272</v>
      </c>
      <c r="P261" s="295">
        <v>0</v>
      </c>
      <c r="Q261" s="295">
        <v>0</v>
      </c>
      <c r="R261" s="257">
        <f t="shared" ref="R261:R271" si="11">P261*Q261*1000</f>
        <v>0</v>
      </c>
      <c r="S261" s="295">
        <v>44.172203995226482</v>
      </c>
      <c r="T261" s="295">
        <v>5.1100000000000003</v>
      </c>
      <c r="U261" s="257">
        <f t="shared" ref="U261:U271" si="12">S261*T261*1000</f>
        <v>225719.96241560736</v>
      </c>
      <c r="V261" s="71"/>
    </row>
    <row r="262" spans="1:22" x14ac:dyDescent="0.2">
      <c r="A262" s="115"/>
      <c r="B262" s="294">
        <f t="shared" ref="B262:B271" si="13">B261+31-DAY(B261+31)+1</f>
        <v>44044</v>
      </c>
      <c r="C262" s="289"/>
      <c r="D262" s="295">
        <v>10551</v>
      </c>
      <c r="E262" s="255"/>
      <c r="F262" s="255"/>
      <c r="G262" s="255"/>
      <c r="H262" s="295">
        <v>7440</v>
      </c>
      <c r="I262" s="295">
        <v>34.81</v>
      </c>
      <c r="J262" s="256">
        <f t="shared" si="7"/>
        <v>258986.40000000002</v>
      </c>
      <c r="K262" s="296">
        <f t="shared" si="10"/>
        <v>3111</v>
      </c>
      <c r="L262" s="295">
        <v>29.524193548387096</v>
      </c>
      <c r="M262" s="257">
        <f t="shared" si="8"/>
        <v>91849.766129032258</v>
      </c>
      <c r="N262" s="295">
        <v>1.84619</v>
      </c>
      <c r="O262" s="256">
        <f t="shared" si="9"/>
        <v>19479.150689999999</v>
      </c>
      <c r="P262" s="295">
        <v>0</v>
      </c>
      <c r="Q262" s="295">
        <v>0</v>
      </c>
      <c r="R262" s="257">
        <f t="shared" si="11"/>
        <v>0</v>
      </c>
      <c r="S262" s="295">
        <v>44.172203995226482</v>
      </c>
      <c r="T262" s="295">
        <v>5.23</v>
      </c>
      <c r="U262" s="257">
        <f t="shared" si="12"/>
        <v>231020.62689503451</v>
      </c>
      <c r="V262" s="71"/>
    </row>
    <row r="263" spans="1:22" x14ac:dyDescent="0.2">
      <c r="A263" s="115"/>
      <c r="B263" s="294">
        <f t="shared" si="13"/>
        <v>44075</v>
      </c>
      <c r="C263" s="289"/>
      <c r="D263" s="295">
        <v>7883</v>
      </c>
      <c r="E263" s="255"/>
      <c r="F263" s="255"/>
      <c r="G263" s="255"/>
      <c r="H263" s="295">
        <v>7200</v>
      </c>
      <c r="I263" s="295">
        <v>34.81</v>
      </c>
      <c r="J263" s="256">
        <f t="shared" si="7"/>
        <v>250632.00000000003</v>
      </c>
      <c r="K263" s="296">
        <f t="shared" si="10"/>
        <v>683</v>
      </c>
      <c r="L263" s="295">
        <v>26.133333333333333</v>
      </c>
      <c r="M263" s="257">
        <f t="shared" si="8"/>
        <v>17849.066666666666</v>
      </c>
      <c r="N263" s="295">
        <v>1.7984899999999999</v>
      </c>
      <c r="O263" s="256">
        <f t="shared" si="9"/>
        <v>14177.496669999999</v>
      </c>
      <c r="P263" s="295">
        <v>0</v>
      </c>
      <c r="Q263" s="295">
        <v>0</v>
      </c>
      <c r="R263" s="257">
        <f t="shared" si="11"/>
        <v>0</v>
      </c>
      <c r="S263" s="295">
        <v>44.172203995226482</v>
      </c>
      <c r="T263" s="295">
        <v>5.21</v>
      </c>
      <c r="U263" s="257">
        <f t="shared" si="12"/>
        <v>230137.18281512996</v>
      </c>
      <c r="V263" s="71"/>
    </row>
    <row r="264" spans="1:22" x14ac:dyDescent="0.2">
      <c r="A264" s="115"/>
      <c r="B264" s="294">
        <f t="shared" si="13"/>
        <v>44105</v>
      </c>
      <c r="C264" s="289"/>
      <c r="D264" s="295">
        <v>7163</v>
      </c>
      <c r="E264" s="255"/>
      <c r="F264" s="255"/>
      <c r="G264" s="255"/>
      <c r="H264" s="295">
        <v>7440</v>
      </c>
      <c r="I264" s="295">
        <v>34.81</v>
      </c>
      <c r="J264" s="256">
        <f t="shared" si="7"/>
        <v>258986.40000000002</v>
      </c>
      <c r="K264" s="296">
        <f t="shared" si="10"/>
        <v>-277</v>
      </c>
      <c r="L264" s="295">
        <v>25.626344086021504</v>
      </c>
      <c r="M264" s="257">
        <f t="shared" si="8"/>
        <v>-7098.4973118279568</v>
      </c>
      <c r="N264" s="295">
        <v>1.9926999999999999</v>
      </c>
      <c r="O264" s="256">
        <f t="shared" si="9"/>
        <v>14273.7101</v>
      </c>
      <c r="P264" s="295">
        <v>0</v>
      </c>
      <c r="Q264" s="295">
        <v>0</v>
      </c>
      <c r="R264" s="257">
        <f t="shared" si="11"/>
        <v>0</v>
      </c>
      <c r="S264" s="295">
        <v>44.172203995226482</v>
      </c>
      <c r="T264" s="295">
        <v>5.21</v>
      </c>
      <c r="U264" s="257">
        <f t="shared" si="12"/>
        <v>230137.18281512996</v>
      </c>
      <c r="V264" s="71"/>
    </row>
    <row r="265" spans="1:22" x14ac:dyDescent="0.2">
      <c r="A265" s="115"/>
      <c r="B265" s="294">
        <f t="shared" si="13"/>
        <v>44136</v>
      </c>
      <c r="C265" s="289"/>
      <c r="D265" s="295">
        <v>7294</v>
      </c>
      <c r="E265" s="255"/>
      <c r="F265" s="255"/>
      <c r="G265" s="255"/>
      <c r="H265" s="295">
        <v>7200</v>
      </c>
      <c r="I265" s="295">
        <v>34.81</v>
      </c>
      <c r="J265" s="256">
        <f t="shared" si="7"/>
        <v>250632.00000000003</v>
      </c>
      <c r="K265" s="296">
        <f t="shared" si="10"/>
        <v>94</v>
      </c>
      <c r="L265" s="295">
        <v>27.361111111111111</v>
      </c>
      <c r="M265" s="257">
        <f t="shared" si="8"/>
        <v>2571.9444444444443</v>
      </c>
      <c r="N265" s="295">
        <v>1.9083699999999999</v>
      </c>
      <c r="O265" s="256">
        <f t="shared" si="9"/>
        <v>13919.65078</v>
      </c>
      <c r="P265" s="295">
        <v>0</v>
      </c>
      <c r="Q265" s="295">
        <v>0</v>
      </c>
      <c r="R265" s="257">
        <f t="shared" si="11"/>
        <v>0</v>
      </c>
      <c r="S265" s="295">
        <v>44.172203995226482</v>
      </c>
      <c r="T265" s="295">
        <v>1.02</v>
      </c>
      <c r="U265" s="257">
        <f t="shared" si="12"/>
        <v>45055.648075131008</v>
      </c>
      <c r="V265" s="71"/>
    </row>
    <row r="266" spans="1:22" x14ac:dyDescent="0.2">
      <c r="A266" s="115"/>
      <c r="B266" s="294">
        <f t="shared" si="13"/>
        <v>44166</v>
      </c>
      <c r="C266" s="289"/>
      <c r="D266" s="295">
        <v>9292</v>
      </c>
      <c r="E266" s="255"/>
      <c r="F266" s="255"/>
      <c r="G266" s="255"/>
      <c r="H266" s="295">
        <v>7440</v>
      </c>
      <c r="I266" s="295">
        <v>34.81</v>
      </c>
      <c r="J266" s="256">
        <f t="shared" si="7"/>
        <v>258986.40000000002</v>
      </c>
      <c r="K266" s="296">
        <f t="shared" si="10"/>
        <v>1852</v>
      </c>
      <c r="L266" s="295">
        <v>40.666666666666664</v>
      </c>
      <c r="M266" s="257">
        <f t="shared" si="8"/>
        <v>75314.666666666657</v>
      </c>
      <c r="N266" s="295">
        <v>1.83406</v>
      </c>
      <c r="O266" s="256">
        <f t="shared" si="9"/>
        <v>17042.085520000001</v>
      </c>
      <c r="P266" s="295">
        <v>0</v>
      </c>
      <c r="Q266" s="295">
        <v>0</v>
      </c>
      <c r="R266" s="257">
        <f t="shared" si="11"/>
        <v>0</v>
      </c>
      <c r="S266" s="295">
        <v>44.172203995226482</v>
      </c>
      <c r="T266" s="295">
        <v>1.02</v>
      </c>
      <c r="U266" s="257">
        <f t="shared" si="12"/>
        <v>45055.648075131008</v>
      </c>
      <c r="V266" s="71"/>
    </row>
    <row r="267" spans="1:22" x14ac:dyDescent="0.2">
      <c r="A267" s="115"/>
      <c r="B267" s="294">
        <f t="shared" si="13"/>
        <v>44197</v>
      </c>
      <c r="C267" s="289"/>
      <c r="D267" s="295">
        <v>9428</v>
      </c>
      <c r="E267" s="255"/>
      <c r="F267" s="255"/>
      <c r="G267" s="255"/>
      <c r="H267" s="295">
        <v>7440</v>
      </c>
      <c r="I267" s="295">
        <v>34.81</v>
      </c>
      <c r="J267" s="256">
        <f t="shared" si="7"/>
        <v>258986.40000000002</v>
      </c>
      <c r="K267" s="296">
        <f t="shared" si="10"/>
        <v>1988</v>
      </c>
      <c r="L267" s="295">
        <v>59.6505376344086</v>
      </c>
      <c r="M267" s="257">
        <f t="shared" si="8"/>
        <v>118585.2688172043</v>
      </c>
      <c r="N267" s="295">
        <v>1.66137</v>
      </c>
      <c r="O267" s="256">
        <f t="shared" si="9"/>
        <v>15663.396360000001</v>
      </c>
      <c r="P267" s="295">
        <v>0</v>
      </c>
      <c r="Q267" s="295">
        <v>0</v>
      </c>
      <c r="R267" s="257">
        <f t="shared" si="11"/>
        <v>0</v>
      </c>
      <c r="S267" s="295">
        <v>44.172203995226482</v>
      </c>
      <c r="T267" s="295">
        <v>1.02</v>
      </c>
      <c r="U267" s="257">
        <f t="shared" si="12"/>
        <v>45055.648075131008</v>
      </c>
      <c r="V267" s="71"/>
    </row>
    <row r="268" spans="1:22" x14ac:dyDescent="0.2">
      <c r="A268" s="115"/>
      <c r="B268" s="294">
        <f t="shared" si="13"/>
        <v>44228</v>
      </c>
      <c r="C268" s="289"/>
      <c r="D268" s="295">
        <v>8219</v>
      </c>
      <c r="E268" s="255"/>
      <c r="F268" s="255"/>
      <c r="G268" s="255"/>
      <c r="H268" s="295">
        <v>6960</v>
      </c>
      <c r="I268" s="295">
        <v>34.81</v>
      </c>
      <c r="J268" s="256">
        <f t="shared" si="7"/>
        <v>242277.6</v>
      </c>
      <c r="K268" s="296">
        <f t="shared" si="10"/>
        <v>1259</v>
      </c>
      <c r="L268" s="295">
        <v>56.477011494252871</v>
      </c>
      <c r="M268" s="257">
        <f t="shared" si="8"/>
        <v>71104.557471264357</v>
      </c>
      <c r="N268" s="295">
        <v>1.65951</v>
      </c>
      <c r="O268" s="256">
        <f t="shared" si="9"/>
        <v>13639.51269</v>
      </c>
      <c r="P268" s="295">
        <v>0</v>
      </c>
      <c r="Q268" s="295">
        <v>0</v>
      </c>
      <c r="R268" s="257">
        <f t="shared" si="11"/>
        <v>0</v>
      </c>
      <c r="S268" s="295">
        <v>44.172203995226482</v>
      </c>
      <c r="T268" s="295">
        <v>1.02</v>
      </c>
      <c r="U268" s="257">
        <f t="shared" si="12"/>
        <v>45055.648075131008</v>
      </c>
      <c r="V268" s="71"/>
    </row>
    <row r="269" spans="1:22" x14ac:dyDescent="0.2">
      <c r="A269" s="115"/>
      <c r="B269" s="294">
        <f t="shared" si="13"/>
        <v>44256</v>
      </c>
      <c r="C269" s="289"/>
      <c r="D269" s="295">
        <v>8438</v>
      </c>
      <c r="E269" s="255"/>
      <c r="F269" s="255"/>
      <c r="G269" s="255"/>
      <c r="H269" s="295">
        <v>7440</v>
      </c>
      <c r="I269" s="295">
        <v>34.81</v>
      </c>
      <c r="J269" s="256">
        <f t="shared" si="7"/>
        <v>258986.40000000002</v>
      </c>
      <c r="K269" s="296">
        <f t="shared" si="10"/>
        <v>998</v>
      </c>
      <c r="L269" s="295">
        <v>37.112903225806448</v>
      </c>
      <c r="M269" s="257">
        <f t="shared" si="8"/>
        <v>37038.677419354834</v>
      </c>
      <c r="N269" s="295">
        <v>1.64815</v>
      </c>
      <c r="O269" s="256">
        <f t="shared" si="9"/>
        <v>13907.0897</v>
      </c>
      <c r="P269" s="295">
        <v>0</v>
      </c>
      <c r="Q269" s="295">
        <v>0</v>
      </c>
      <c r="R269" s="257">
        <f t="shared" si="11"/>
        <v>0</v>
      </c>
      <c r="S269" s="295">
        <v>44.172203995226482</v>
      </c>
      <c r="T269" s="295">
        <v>1.02</v>
      </c>
      <c r="U269" s="257">
        <f t="shared" si="12"/>
        <v>45055.648075131008</v>
      </c>
      <c r="V269" s="71"/>
    </row>
    <row r="270" spans="1:22" x14ac:dyDescent="0.2">
      <c r="A270" s="115"/>
      <c r="B270" s="294">
        <f t="shared" si="13"/>
        <v>44287</v>
      </c>
      <c r="C270" s="289"/>
      <c r="D270" s="295">
        <v>7194</v>
      </c>
      <c r="E270" s="255"/>
      <c r="F270" s="255"/>
      <c r="G270" s="255"/>
      <c r="H270" s="295">
        <v>7200</v>
      </c>
      <c r="I270" s="295">
        <v>34.81</v>
      </c>
      <c r="J270" s="256">
        <f t="shared" si="7"/>
        <v>250632.00000000003</v>
      </c>
      <c r="K270" s="296">
        <f t="shared" si="10"/>
        <v>-6</v>
      </c>
      <c r="L270" s="295">
        <v>31.494444444444444</v>
      </c>
      <c r="M270" s="257">
        <f t="shared" si="8"/>
        <v>-188.96666666666667</v>
      </c>
      <c r="N270" s="295">
        <v>1.74875</v>
      </c>
      <c r="O270" s="256">
        <f t="shared" si="9"/>
        <v>12580.5075</v>
      </c>
      <c r="P270" s="295">
        <v>0</v>
      </c>
      <c r="Q270" s="295">
        <v>0</v>
      </c>
      <c r="R270" s="257">
        <f t="shared" si="11"/>
        <v>0</v>
      </c>
      <c r="S270" s="295">
        <v>44.172203995226482</v>
      </c>
      <c r="T270" s="295">
        <v>1.02</v>
      </c>
      <c r="U270" s="257">
        <f t="shared" si="12"/>
        <v>45055.648075131008</v>
      </c>
      <c r="V270" s="71"/>
    </row>
    <row r="271" spans="1:22" x14ac:dyDescent="0.2">
      <c r="A271" s="115"/>
      <c r="B271" s="294">
        <f t="shared" si="13"/>
        <v>44317</v>
      </c>
      <c r="C271" s="289"/>
      <c r="D271" s="295">
        <v>8119</v>
      </c>
      <c r="E271" s="255"/>
      <c r="F271" s="255"/>
      <c r="G271" s="255"/>
      <c r="H271" s="295">
        <v>7440</v>
      </c>
      <c r="I271" s="295">
        <v>34.81</v>
      </c>
      <c r="J271" s="256">
        <f t="shared" si="7"/>
        <v>258986.40000000002</v>
      </c>
      <c r="K271" s="296">
        <f t="shared" si="10"/>
        <v>679</v>
      </c>
      <c r="L271" s="295">
        <v>29.408602150537636</v>
      </c>
      <c r="M271" s="257">
        <f t="shared" si="8"/>
        <v>19968.440860215054</v>
      </c>
      <c r="N271" s="295">
        <v>1.9372499999999999</v>
      </c>
      <c r="O271" s="256">
        <f t="shared" si="9"/>
        <v>15728.532749999998</v>
      </c>
      <c r="P271" s="295">
        <v>0</v>
      </c>
      <c r="Q271" s="295">
        <v>0</v>
      </c>
      <c r="R271" s="257">
        <f t="shared" si="11"/>
        <v>0</v>
      </c>
      <c r="S271" s="295">
        <v>44.172203995226482</v>
      </c>
      <c r="T271" s="295">
        <v>10.1</v>
      </c>
      <c r="U271" s="257">
        <f t="shared" si="12"/>
        <v>446139.2603517875</v>
      </c>
      <c r="V271" s="71"/>
    </row>
    <row r="272" spans="1:22" ht="13.5" thickBot="1" x14ac:dyDescent="0.25">
      <c r="A272" s="115"/>
      <c r="B272" s="297"/>
      <c r="C272" s="229"/>
      <c r="D272" s="290"/>
      <c r="E272" s="298"/>
      <c r="F272" s="298"/>
      <c r="G272" s="299"/>
      <c r="H272" s="290"/>
      <c r="I272" s="290"/>
      <c r="J272" s="298"/>
      <c r="K272" s="300"/>
      <c r="L272" s="298"/>
      <c r="M272" s="299"/>
      <c r="N272" s="290"/>
      <c r="O272" s="298"/>
      <c r="P272" s="300"/>
      <c r="Q272" s="298"/>
      <c r="R272" s="229"/>
      <c r="S272" s="300"/>
      <c r="T272" s="298"/>
      <c r="U272" s="229"/>
      <c r="V272" s="71"/>
    </row>
    <row r="273" spans="1:22" ht="13.5" thickBot="1" x14ac:dyDescent="0.25">
      <c r="A273" s="115"/>
      <c r="B273" s="301" t="s">
        <v>35</v>
      </c>
      <c r="C273" s="302"/>
      <c r="D273" s="303">
        <f>SUM(D260:D272)</f>
        <v>103091</v>
      </c>
      <c r="E273" s="304">
        <v>0</v>
      </c>
      <c r="F273" s="305">
        <v>0</v>
      </c>
      <c r="G273" s="306">
        <v>0</v>
      </c>
      <c r="H273" s="304">
        <f>SUM(H260:H272)</f>
        <v>87840</v>
      </c>
      <c r="I273" s="305"/>
      <c r="J273" s="304">
        <f>SUM(J260:J272)</f>
        <v>3057710.4</v>
      </c>
      <c r="K273" s="307">
        <f>SUM(K260:K272)</f>
        <v>15251</v>
      </c>
      <c r="L273" s="305"/>
      <c r="M273" s="306">
        <f>SUM(M260:M272)</f>
        <v>579251.03524904209</v>
      </c>
      <c r="N273" s="308">
        <f>O273/D273</f>
        <v>1.8240690498685628</v>
      </c>
      <c r="O273" s="304">
        <f>SUM(O260:O271)</f>
        <v>188045.10242000001</v>
      </c>
      <c r="P273" s="309"/>
      <c r="Q273" s="305"/>
      <c r="R273" s="306">
        <f>SUM(R260:R272)</f>
        <v>0</v>
      </c>
      <c r="S273" s="309"/>
      <c r="T273" s="305"/>
      <c r="U273" s="306">
        <f>SUM(U260:U272)</f>
        <v>1859208.0661590828</v>
      </c>
      <c r="V273" s="71"/>
    </row>
    <row r="274" spans="1:22" x14ac:dyDescent="0.2">
      <c r="A274" s="115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</row>
    <row r="275" spans="1:22" x14ac:dyDescent="0.2">
      <c r="A275" s="115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</row>
    <row r="277" spans="1:22" x14ac:dyDescent="0.2">
      <c r="B277" s="62" t="s">
        <v>397</v>
      </c>
      <c r="C277" s="63"/>
      <c r="D277" s="63"/>
      <c r="E277" s="63"/>
    </row>
    <row r="278" spans="1:22" x14ac:dyDescent="0.2">
      <c r="B278" s="63"/>
      <c r="C278" s="63"/>
      <c r="D278" s="63"/>
      <c r="E278" s="63"/>
    </row>
    <row r="279" spans="1:22" x14ac:dyDescent="0.2">
      <c r="B279" s="64" t="s">
        <v>398</v>
      </c>
      <c r="C279" s="63"/>
      <c r="D279" s="65">
        <f>$G$273</f>
        <v>0</v>
      </c>
      <c r="E279" s="66">
        <f>ROUND(D279/$D$273,2)</f>
        <v>0</v>
      </c>
    </row>
    <row r="280" spans="1:22" x14ac:dyDescent="0.2">
      <c r="B280" s="64" t="s">
        <v>385</v>
      </c>
      <c r="C280" s="63"/>
      <c r="D280" s="65">
        <f>$J$273</f>
        <v>3057710.4</v>
      </c>
      <c r="E280" s="66">
        <f>ROUND(D280/$D$273,2)</f>
        <v>29.66</v>
      </c>
    </row>
    <row r="281" spans="1:22" x14ac:dyDescent="0.2">
      <c r="B281" s="64" t="s">
        <v>386</v>
      </c>
      <c r="C281" s="63"/>
      <c r="D281" s="65">
        <f>$M$273</f>
        <v>579251.03524904209</v>
      </c>
      <c r="E281" s="66">
        <f>ROUND(D281/$K$273,2)</f>
        <v>37.979999999999997</v>
      </c>
    </row>
    <row r="282" spans="1:22" x14ac:dyDescent="0.2">
      <c r="B282" s="64" t="s">
        <v>114</v>
      </c>
      <c r="C282" s="63"/>
      <c r="D282" s="65">
        <f>O273</f>
        <v>188045.10242000001</v>
      </c>
      <c r="E282" s="66">
        <f>ROUND(D282/$D$273,2)</f>
        <v>1.82</v>
      </c>
    </row>
    <row r="283" spans="1:22" x14ac:dyDescent="0.2">
      <c r="B283" s="64" t="s">
        <v>387</v>
      </c>
      <c r="C283" s="63"/>
      <c r="D283" s="67">
        <f>U273</f>
        <v>1859208.0661590828</v>
      </c>
      <c r="E283" s="68">
        <f>ROUND(D283/$D$273,2)</f>
        <v>18.03</v>
      </c>
    </row>
    <row r="284" spans="1:22" x14ac:dyDescent="0.2">
      <c r="B284" s="63"/>
      <c r="C284" s="63"/>
      <c r="D284" s="65">
        <f>SUM(D279:D283)</f>
        <v>5684214.6038281247</v>
      </c>
      <c r="E284" s="66">
        <f>SUM(E279:E283)</f>
        <v>87.49</v>
      </c>
    </row>
    <row r="285" spans="1:22" x14ac:dyDescent="0.2">
      <c r="B285" s="63" t="s">
        <v>399</v>
      </c>
      <c r="C285" s="63"/>
      <c r="D285" s="65">
        <f>$D$273</f>
        <v>103091</v>
      </c>
      <c r="E285" s="69"/>
    </row>
    <row r="286" spans="1:22" x14ac:dyDescent="0.2">
      <c r="B286" s="63" t="s">
        <v>241</v>
      </c>
      <c r="C286" s="63"/>
      <c r="D286" s="70">
        <f>ROUND(D284/D285,2)</f>
        <v>55.14</v>
      </c>
      <c r="E286" s="69"/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Jacob, Shajan</dc:creator>
  <cp:lastModifiedBy>Author</cp:lastModifiedBy>
  <dcterms:created xsi:type="dcterms:W3CDTF">2019-06-25T20:33:25Z</dcterms:created>
  <dcterms:modified xsi:type="dcterms:W3CDTF">2019-06-28T12:11:13Z</dcterms:modified>
</cp:coreProperties>
</file>