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ml.chartshapes+xml"/>
  <Override PartName="/xl/charts/chart13.xml" ContentType="application/vnd.openxmlformats-officedocument.drawingml.chart+xml"/>
  <Override PartName="/xl/drawings/drawing13.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ml.chartshapes+xml"/>
  <Override PartName="/xl/charts/chart18.xml" ContentType="application/vnd.openxmlformats-officedocument.drawingml.chart+xml"/>
  <Override PartName="/xl/drawings/drawing17.xml" ContentType="application/vnd.openxmlformats-officedocument.drawingml.chartshapes+xml"/>
  <Override PartName="/xl/charts/chart19.xml" ContentType="application/vnd.openxmlformats-officedocument.drawingml.chart+xml"/>
  <Override PartName="/xl/drawings/drawing18.xml" ContentType="application/vnd.openxmlformats-officedocument.drawingml.chartshapes+xml"/>
  <Override PartName="/xl/charts/chart20.xml" ContentType="application/vnd.openxmlformats-officedocument.drawingml.chart+xml"/>
  <Override PartName="/xl/drawings/drawing19.xml" ContentType="application/vnd.openxmlformats-officedocument.drawingml.chartshapes+xml"/>
  <Override PartName="/xl/charts/chart21.xml" ContentType="application/vnd.openxmlformats-officedocument.drawingml.chart+xml"/>
  <Override PartName="/xl/drawings/drawing20.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nera-nycfs\Work\Projects\Energy\20-21 BGS (114324)\2020 Auction\3 RSCP Rates\1 July Filing\1 Rcvd frm EDCs\0 to post\"/>
    </mc:Choice>
  </mc:AlternateContent>
  <xr:revisionPtr revIDLastSave="0" documentId="13_ncr:1_{8CD9F1EE-D36B-47D3-AAC7-48C1EB0FE4B8}" xr6:coauthVersionLast="36" xr6:coauthVersionMax="36" xr10:uidLastSave="{00000000-0000-0000-0000-000000000000}"/>
  <bookViews>
    <workbookView xWindow="-15" yWindow="-15" windowWidth="28830" windowHeight="6405" tabRatio="737" firstSheet="4" activeTab="6" xr2:uid="{00000000-000D-0000-FFFF-FFFF00000000}"/>
  </bookViews>
  <sheets>
    <sheet name="Bridge for 0301 NITS Changes" sheetId="1" state="hidden" r:id="rId1"/>
    <sheet name="Summary w Bridge to 0301" sheetId="2" state="hidden" r:id="rId2"/>
    <sheet name="Summary" sheetId="3" state="hidden" r:id="rId3"/>
    <sheet name="Updates to Spreadsheet" sheetId="4" state="hidden" r:id="rId4"/>
    <sheet name="Input" sheetId="5" r:id="rId5"/>
    <sheet name="bid_factors" sheetId="6" r:id="rId6"/>
    <sheet name="auction_results_and_rates" sheetId="7" r:id="rId7"/>
    <sheet name="Full Step Overview " sheetId="10" state="hidden" r:id="rId8"/>
    <sheet name="Sheet1" sheetId="29" state="hidden" r:id="rId9"/>
    <sheet name="Summary of CP Changes" sheetId="30" state="hidden" r:id="rId10"/>
    <sheet name="NITS DIFFJan-Dec17" sheetId="19" state="hidden" r:id="rId11"/>
    <sheet name="RNDM" sheetId="31" state="hidden" r:id="rId12"/>
  </sheets>
  <definedNames>
    <definedName name="\a" localSheetId="0">#REF!</definedName>
    <definedName name="\a" localSheetId="7">#REF!</definedName>
    <definedName name="\a" localSheetId="10">#REF!</definedName>
    <definedName name="\a" localSheetId="1">#REF!</definedName>
    <definedName name="\a">#REF!</definedName>
    <definedName name="Co_letter" localSheetId="0">#REF!</definedName>
    <definedName name="Co_letter" localSheetId="7">#REF!</definedName>
    <definedName name="Co_letter" localSheetId="10">#REF!</definedName>
    <definedName name="Co_letter" localSheetId="1">#REF!</definedName>
    <definedName name="Co_letter">#REF!</definedName>
    <definedName name="Co_List" localSheetId="0">#REF!</definedName>
    <definedName name="Co_List" localSheetId="7">#REF!</definedName>
    <definedName name="Co_List" localSheetId="10">#REF!</definedName>
    <definedName name="Co_List" localSheetId="1">#REF!</definedName>
    <definedName name="Co_List">#REF!</definedName>
    <definedName name="Co_Name" localSheetId="0">#REF!</definedName>
    <definedName name="Co_Name" localSheetId="7">#REF!</definedName>
    <definedName name="Co_Name" localSheetId="1">#REF!</definedName>
    <definedName name="Co_Name">#REF!</definedName>
    <definedName name="Co_Picked" localSheetId="0">#REF!</definedName>
    <definedName name="Co_Picked" localSheetId="7">#REF!</definedName>
    <definedName name="Co_Picked" localSheetId="1">#REF!</definedName>
    <definedName name="Co_Picked">#REF!</definedName>
    <definedName name="Get_Co" localSheetId="0">#REF!</definedName>
    <definedName name="Get_Co" localSheetId="7">#REF!</definedName>
    <definedName name="Get_Co" localSheetId="1">#REF!</definedName>
    <definedName name="Get_Co">#REF!</definedName>
    <definedName name="Get_Mo" localSheetId="0">#REF!</definedName>
    <definedName name="Get_Mo" localSheetId="7">#REF!</definedName>
    <definedName name="Get_Mo" localSheetId="1">#REF!</definedName>
    <definedName name="Get_Mo">#REF!</definedName>
    <definedName name="Mo_List" localSheetId="0">#REF!</definedName>
    <definedName name="Mo_List" localSheetId="7">#REF!</definedName>
    <definedName name="Mo_List" localSheetId="1">#REF!</definedName>
    <definedName name="Mo_List">#REF!</definedName>
    <definedName name="Mo_Picked" localSheetId="0">#REF!</definedName>
    <definedName name="Mo_Picked" localSheetId="7">#REF!</definedName>
    <definedName name="Mo_Picked" localSheetId="1">#REF!</definedName>
    <definedName name="Mo_Picked">#REF!</definedName>
    <definedName name="_xlnm.Print_Area" localSheetId="6">auction_results_and_rates!$A$1:$L$212</definedName>
    <definedName name="_xlnm.Print_Area" localSheetId="5">bid_factors!$A$1:$L$354</definedName>
    <definedName name="_xlnm.Print_Area" localSheetId="4">Input!$A$1:$L$142</definedName>
    <definedName name="_xlnm.Print_Area" localSheetId="10">'NITS DIFFJan-Dec17'!$A$1:$L$42</definedName>
    <definedName name="_xlnm.Print_Area">#REF!</definedName>
    <definedName name="Print_Area_MI" localSheetId="0">#REF!</definedName>
    <definedName name="Print_Area_MI" localSheetId="7">#REF!</definedName>
    <definedName name="Print_Area_MI" localSheetId="10">#REF!</definedName>
    <definedName name="Print_Area_MI" localSheetId="1">#REF!</definedName>
    <definedName name="Print_Area_MI">#REF!</definedName>
    <definedName name="_xlnm.Print_Titles" localSheetId="6">auction_results_and_rates!$1:$4</definedName>
    <definedName name="Rpt_Mo" localSheetId="0">#REF!</definedName>
    <definedName name="Rpt_Mo" localSheetId="7">#REF!</definedName>
    <definedName name="Rpt_Mo" localSheetId="10">#REF!</definedName>
    <definedName name="Rpt_Mo" localSheetId="1">#REF!</definedName>
    <definedName name="Rpt_Mo">#REF!</definedName>
    <definedName name="SUM">#REF!</definedName>
    <definedName name="Year1" localSheetId="0">#REF!</definedName>
    <definedName name="Year1" localSheetId="7">#REF!</definedName>
    <definedName name="Year1" localSheetId="10">#REF!</definedName>
    <definedName name="Year1" localSheetId="1">#REF!</definedName>
    <definedName name="Year1">#REF!</definedName>
    <definedName name="Z_782F5CFE_DE26_4D5A_B82E_30A424B0A39B_.wvu.PrintArea" localSheetId="6" hidden="1">auction_results_and_rates!$A$1:$L$212</definedName>
    <definedName name="Z_782F5CFE_DE26_4D5A_B82E_30A424B0A39B_.wvu.PrintArea" localSheetId="5" hidden="1">bid_factors!$A$1:$L$354</definedName>
    <definedName name="Z_782F5CFE_DE26_4D5A_B82E_30A424B0A39B_.wvu.PrintArea" localSheetId="10" hidden="1">'NITS DIFFJan-Dec17'!$A$1:$L$42</definedName>
    <definedName name="Z_782F5CFE_DE26_4D5A_B82E_30A424B0A39B_.wvu.PrintTitles" localSheetId="6" hidden="1">auction_results_and_rates!$1:$4</definedName>
    <definedName name="Z_782F5CFE_DE26_4D5A_B82E_30A424B0A39B_.wvu.Rows" localSheetId="6" hidden="1">auction_results_and_rates!$213:$274</definedName>
    <definedName name="Z_782F5CFE_DE26_4D5A_B82E_30A424B0A39B_.wvu.Rows" localSheetId="0" hidden="1">'Bridge for 0301 NITS Changes'!$42:$42,'Bridge for 0301 NITS Changes'!$138:$191</definedName>
    <definedName name="Z_782F5CFE_DE26_4D5A_B82E_30A424B0A39B_.wvu.Rows" localSheetId="4" hidden="1">Input!$309:$385</definedName>
    <definedName name="Z_782F5CFE_DE26_4D5A_B82E_30A424B0A39B_.wvu.Rows" localSheetId="10" hidden="1">'NITS DIFFJan-Dec17'!$24:$29</definedName>
    <definedName name="Z_782F5CFE_DE26_4D5A_B82E_30A424B0A39B_.wvu.Rows" localSheetId="2" hidden="1">Summary!$39:$39</definedName>
    <definedName name="Z_782F5CFE_DE26_4D5A_B82E_30A424B0A39B_.wvu.Rows" localSheetId="1" hidden="1">'Summary w Bridge to 0301'!$49:$49,'Summary w Bridge to 0301'!$164:$217</definedName>
    <definedName name="Z_88B031DE_0423_45A5_B384_E560A52FDD07_.wvu.PrintArea" localSheetId="6" hidden="1">auction_results_and_rates!$A$1:$L$212</definedName>
    <definedName name="Z_88B031DE_0423_45A5_B384_E560A52FDD07_.wvu.PrintArea" localSheetId="5" hidden="1">bid_factors!$A$1:$L$354</definedName>
    <definedName name="Z_88B031DE_0423_45A5_B384_E560A52FDD07_.wvu.PrintArea" localSheetId="10" hidden="1">'NITS DIFFJan-Dec17'!$A$1:$L$42</definedName>
    <definedName name="Z_88B031DE_0423_45A5_B384_E560A52FDD07_.wvu.PrintTitles" localSheetId="6" hidden="1">auction_results_and_rates!$1:$4</definedName>
    <definedName name="Z_88B031DE_0423_45A5_B384_E560A52FDD07_.wvu.Rows" localSheetId="6" hidden="1">auction_results_and_rates!$213:$274</definedName>
    <definedName name="Z_88B031DE_0423_45A5_B384_E560A52FDD07_.wvu.Rows" localSheetId="0" hidden="1">'Bridge for 0301 NITS Changes'!$42:$42,'Bridge for 0301 NITS Changes'!$138:$191</definedName>
    <definedName name="Z_88B031DE_0423_45A5_B384_E560A52FDD07_.wvu.Rows" localSheetId="4" hidden="1">Input!$309:$385</definedName>
    <definedName name="Z_88B031DE_0423_45A5_B384_E560A52FDD07_.wvu.Rows" localSheetId="10" hidden="1">'NITS DIFFJan-Dec17'!$24:$29</definedName>
    <definedName name="Z_88B031DE_0423_45A5_B384_E560A52FDD07_.wvu.Rows" localSheetId="2" hidden="1">Summary!$39:$39</definedName>
    <definedName name="Z_88B031DE_0423_45A5_B384_E560A52FDD07_.wvu.Rows" localSheetId="1" hidden="1">'Summary w Bridge to 0301'!$49:$49,'Summary w Bridge to 0301'!$164:$217</definedName>
    <definedName name="Z_9BF7FAF1_D686_4A6B_A2BE_0DAD43841920_.wvu.PrintArea" localSheetId="6" hidden="1">auction_results_and_rates!$A$1:$L$212</definedName>
    <definedName name="Z_9BF7FAF1_D686_4A6B_A2BE_0DAD43841920_.wvu.PrintArea" localSheetId="5" hidden="1">bid_factors!$A$1:$L$354</definedName>
    <definedName name="Z_9BF7FAF1_D686_4A6B_A2BE_0DAD43841920_.wvu.PrintArea" localSheetId="10" hidden="1">'NITS DIFFJan-Dec17'!$A$1:$L$42</definedName>
    <definedName name="Z_9BF7FAF1_D686_4A6B_A2BE_0DAD43841920_.wvu.PrintTitles" localSheetId="6" hidden="1">auction_results_and_rates!$1:$4</definedName>
    <definedName name="Z_9BF7FAF1_D686_4A6B_A2BE_0DAD43841920_.wvu.Rows" localSheetId="6" hidden="1">auction_results_and_rates!$213:$274</definedName>
    <definedName name="Z_9BF7FAF1_D686_4A6B_A2BE_0DAD43841920_.wvu.Rows" localSheetId="0" hidden="1">'Bridge for 0301 NITS Changes'!$42:$42,'Bridge for 0301 NITS Changes'!$138:$191</definedName>
    <definedName name="Z_9BF7FAF1_D686_4A6B_A2BE_0DAD43841920_.wvu.Rows" localSheetId="4" hidden="1">Input!$309:$385</definedName>
    <definedName name="Z_9BF7FAF1_D686_4A6B_A2BE_0DAD43841920_.wvu.Rows" localSheetId="10" hidden="1">'NITS DIFFJan-Dec17'!$24:$29</definedName>
    <definedName name="Z_9BF7FAF1_D686_4A6B_A2BE_0DAD43841920_.wvu.Rows" localSheetId="2" hidden="1">Summary!$39:$39</definedName>
    <definedName name="Z_9BF7FAF1_D686_4A6B_A2BE_0DAD43841920_.wvu.Rows" localSheetId="1" hidden="1">'Summary w Bridge to 0301'!$49:$49,'Summary w Bridge to 0301'!$164:$217</definedName>
    <definedName name="Z_D5524E47_947F_4D9F_AE8B_3F0380261994_.wvu.PrintArea" localSheetId="6" hidden="1">auction_results_and_rates!$A$1:$L$212</definedName>
    <definedName name="Z_D5524E47_947F_4D9F_AE8B_3F0380261994_.wvu.PrintArea" localSheetId="5" hidden="1">bid_factors!$A$1:$L$354</definedName>
    <definedName name="Z_D5524E47_947F_4D9F_AE8B_3F0380261994_.wvu.PrintArea" localSheetId="10" hidden="1">'NITS DIFFJan-Dec17'!$A$1:$L$42</definedName>
    <definedName name="Z_D5524E47_947F_4D9F_AE8B_3F0380261994_.wvu.PrintTitles" localSheetId="6" hidden="1">auction_results_and_rates!$1:$4</definedName>
    <definedName name="Z_D5524E47_947F_4D9F_AE8B_3F0380261994_.wvu.Rows" localSheetId="6" hidden="1">auction_results_and_rates!$213:$274</definedName>
    <definedName name="Z_D5524E47_947F_4D9F_AE8B_3F0380261994_.wvu.Rows" localSheetId="0" hidden="1">'Bridge for 0301 NITS Changes'!$42:$42,'Bridge for 0301 NITS Changes'!$138:$191</definedName>
    <definedName name="Z_D5524E47_947F_4D9F_AE8B_3F0380261994_.wvu.Rows" localSheetId="4" hidden="1">Input!$309:$385</definedName>
    <definedName name="Z_D5524E47_947F_4D9F_AE8B_3F0380261994_.wvu.Rows" localSheetId="10" hidden="1">'NITS DIFFJan-Dec17'!$24:$29</definedName>
    <definedName name="Z_D5524E47_947F_4D9F_AE8B_3F0380261994_.wvu.Rows" localSheetId="2" hidden="1">Summary!$39:$39</definedName>
    <definedName name="Z_D5524E47_947F_4D9F_AE8B_3F0380261994_.wvu.Rows" localSheetId="1" hidden="1">'Summary w Bridge to 0301'!$49:$49,'Summary w Bridge to 0301'!$164:$217</definedName>
  </definedNames>
  <calcPr calcId="191029"/>
  <customWorkbookViews>
    <customWorkbookView name="Dave Zarra - Personal View" guid="{782F5CFE-DE26-4D5A-B82E-30A424B0A39B}" mergeInterval="0" personalView="1" maximized="1" windowWidth="1920" windowHeight="854" tabRatio="942" activeSheetId="17"/>
    <customWorkbookView name="PSEG - Personal View" guid="{88B031DE-0423-45A5-B384-E560A52FDD07}" mergeInterval="0" personalView="1" maximized="1" windowWidth="1659" windowHeight="732" tabRatio="907" activeSheetId="21"/>
    <customWorkbookView name="JC - Personal View" guid="{D5524E47-947F-4D9F-AE8B-3F0380261994}" mergeInterval="0" personalView="1" maximized="1" windowWidth="1920" windowHeight="753" tabRatio="907" activeSheetId="21"/>
    <customWorkbookView name="Mike Merizio - Personal View" guid="{9BF7FAF1-D686-4A6B-A2BE-0DAD43841920}" mergeInterval="0" personalView="1" maximized="1" windowWidth="1904" windowHeight="783" tabRatio="942" activeSheetId="2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3" i="6" l="1"/>
  <c r="E5" i="6"/>
  <c r="E27" i="5" l="1"/>
  <c r="E22" i="6" s="1"/>
  <c r="E6" i="7" l="1"/>
  <c r="D6" i="7"/>
  <c r="C6" i="7"/>
  <c r="B105" i="5"/>
  <c r="B47" i="5"/>
  <c r="B2" i="6"/>
  <c r="C8" i="7" l="1"/>
  <c r="C10" i="7" s="1"/>
  <c r="B42" i="6" l="1"/>
  <c r="B143" i="6" l="1"/>
  <c r="E26" i="2" l="1"/>
  <c r="I26" i="2" l="1"/>
  <c r="G26" i="2"/>
  <c r="F26" i="2"/>
  <c r="F27" i="2" s="1"/>
  <c r="D26" i="2"/>
  <c r="C26" i="2"/>
  <c r="G27" i="2" l="1"/>
  <c r="H26" i="2"/>
  <c r="AA36" i="2" l="1"/>
  <c r="B98" i="2" l="1"/>
  <c r="B134" i="2" s="1"/>
  <c r="I25" i="2"/>
  <c r="K26" i="2" s="1"/>
  <c r="G25" i="2"/>
  <c r="J26" i="2" s="1"/>
  <c r="F25" i="2"/>
  <c r="E25" i="2"/>
  <c r="E47" i="2" s="1"/>
  <c r="C134" i="2" s="1"/>
  <c r="D25" i="2"/>
  <c r="D47" i="2" s="1"/>
  <c r="C98" i="2" s="1"/>
  <c r="C25" i="2"/>
  <c r="C47" i="2" s="1"/>
  <c r="C63" i="2" s="1"/>
  <c r="B25" i="2"/>
  <c r="H25" i="2" l="1"/>
  <c r="AB37" i="2" l="1"/>
  <c r="AB42" i="2" s="1"/>
  <c r="AB44" i="2" s="1"/>
  <c r="AA25" i="2"/>
  <c r="AB25" i="2" s="1"/>
  <c r="AB21" i="2"/>
  <c r="AB27" i="2" l="1"/>
  <c r="AB39" i="2"/>
  <c r="B95" i="2" l="1"/>
  <c r="B96" i="2"/>
  <c r="B57" i="2"/>
  <c r="B92" i="2" s="1"/>
  <c r="B128" i="2" s="1"/>
  <c r="C15" i="31" l="1"/>
  <c r="C14" i="31"/>
  <c r="C5" i="31"/>
  <c r="C6" i="31"/>
  <c r="C7" i="31"/>
  <c r="C8" i="31"/>
  <c r="C9" i="31"/>
  <c r="C10" i="31"/>
  <c r="C11" i="31"/>
  <c r="C12" i="31"/>
  <c r="C13" i="31"/>
  <c r="C4" i="31"/>
  <c r="U36" i="2" l="1"/>
  <c r="F29" i="2" l="1"/>
  <c r="I24" i="2"/>
  <c r="K25" i="2" s="1"/>
  <c r="I23" i="2"/>
  <c r="I22" i="2"/>
  <c r="I21" i="2"/>
  <c r="I20" i="2"/>
  <c r="G24" i="2"/>
  <c r="J25" i="2" s="1"/>
  <c r="G23" i="2"/>
  <c r="U18" i="2" s="1"/>
  <c r="G22" i="2"/>
  <c r="G21" i="2"/>
  <c r="G20" i="2"/>
  <c r="G19" i="2"/>
  <c r="E24" i="2"/>
  <c r="E23" i="2"/>
  <c r="E22" i="2"/>
  <c r="E44" i="2" s="1"/>
  <c r="C131" i="2" s="1"/>
  <c r="E21" i="2"/>
  <c r="E20" i="2"/>
  <c r="E42" i="2" s="1"/>
  <c r="D24" i="2"/>
  <c r="D23" i="2"/>
  <c r="D22" i="2"/>
  <c r="D44" i="2" s="1"/>
  <c r="C95" i="2" s="1"/>
  <c r="D21" i="2"/>
  <c r="D20" i="2"/>
  <c r="D42" i="2" s="1"/>
  <c r="F24" i="2"/>
  <c r="F23" i="2"/>
  <c r="H23" i="2" s="1"/>
  <c r="F22" i="2"/>
  <c r="H22" i="2" s="1"/>
  <c r="F21" i="2"/>
  <c r="F20" i="2"/>
  <c r="F19" i="2"/>
  <c r="H19" i="2" s="1"/>
  <c r="C24" i="2"/>
  <c r="C23" i="2"/>
  <c r="C22" i="2"/>
  <c r="C21" i="2"/>
  <c r="C20" i="2"/>
  <c r="C42" i="2" s="1"/>
  <c r="B24" i="2"/>
  <c r="B23" i="2"/>
  <c r="B22" i="2"/>
  <c r="B21" i="2"/>
  <c r="B20" i="2"/>
  <c r="H24" i="2" l="1"/>
  <c r="U46" i="2"/>
  <c r="C44" i="2"/>
  <c r="C60" i="2" s="1"/>
  <c r="H21" i="2"/>
  <c r="H20" i="2"/>
  <c r="U45" i="2"/>
  <c r="T24" i="2"/>
  <c r="U24" i="2" s="1"/>
  <c r="U19" i="2"/>
  <c r="U20" i="2" s="1"/>
  <c r="G29" i="2"/>
  <c r="J21" i="2"/>
  <c r="K24" i="2"/>
  <c r="J24" i="2"/>
  <c r="K23" i="2"/>
  <c r="K22" i="2"/>
  <c r="J23" i="2"/>
  <c r="K21" i="2"/>
  <c r="J20" i="2"/>
  <c r="J22" i="2"/>
  <c r="U47" i="2" l="1"/>
  <c r="U25" i="2"/>
  <c r="U38" i="2" s="1"/>
  <c r="H6" i="19" l="1"/>
  <c r="E10" i="10" l="1"/>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6" i="10"/>
  <c r="E7" i="10"/>
  <c r="E8" i="10"/>
  <c r="E9" i="10"/>
  <c r="E87" i="10" l="1"/>
  <c r="E4" i="6" l="1"/>
  <c r="D170" i="6" l="1"/>
  <c r="D169" i="6"/>
  <c r="D171" i="6" l="1"/>
  <c r="Q80" i="6" l="1"/>
  <c r="K34" i="30" l="1"/>
  <c r="U34" i="30" s="1"/>
  <c r="J34" i="30"/>
  <c r="T34" i="30" s="1"/>
  <c r="K31" i="30"/>
  <c r="U31" i="30" s="1"/>
  <c r="J31" i="30"/>
  <c r="T31" i="30" s="1"/>
  <c r="K30" i="30"/>
  <c r="U30" i="30" s="1"/>
  <c r="J30" i="30"/>
  <c r="T30" i="30" s="1"/>
  <c r="F35" i="30"/>
  <c r="P35" i="30" s="1"/>
  <c r="F34" i="30"/>
  <c r="P34" i="30" s="1"/>
  <c r="D33" i="30"/>
  <c r="N33" i="30" s="1"/>
  <c r="F31" i="30"/>
  <c r="P31" i="30" s="1"/>
  <c r="F30" i="30"/>
  <c r="P30" i="30" s="1"/>
  <c r="D29" i="30"/>
  <c r="N29" i="30" s="1"/>
  <c r="K18" i="30"/>
  <c r="U18" i="30" s="1"/>
  <c r="J18" i="30"/>
  <c r="T18" i="30" s="1"/>
  <c r="I18" i="30"/>
  <c r="S18" i="30" s="1"/>
  <c r="H18" i="30"/>
  <c r="R18" i="30" s="1"/>
  <c r="G18" i="30"/>
  <c r="Q18" i="30" s="1"/>
  <c r="K11" i="30"/>
  <c r="U11" i="30" s="1"/>
  <c r="J11" i="30"/>
  <c r="T11" i="30" s="1"/>
  <c r="I11" i="30"/>
  <c r="S11" i="30" s="1"/>
  <c r="H11" i="30"/>
  <c r="R11" i="30" s="1"/>
  <c r="G11" i="30"/>
  <c r="Q11" i="30" s="1"/>
  <c r="F20" i="30"/>
  <c r="P20" i="30" s="1"/>
  <c r="F19" i="30"/>
  <c r="P19" i="30" s="1"/>
  <c r="F13" i="30"/>
  <c r="P13" i="30" s="1"/>
  <c r="F12" i="30"/>
  <c r="P12" i="30" s="1"/>
  <c r="D18" i="30"/>
  <c r="N18" i="30" s="1"/>
  <c r="E18" i="30"/>
  <c r="O18" i="30" s="1"/>
  <c r="E15" i="30"/>
  <c r="O15" i="30" s="1"/>
  <c r="E16" i="30"/>
  <c r="O16" i="30" s="1"/>
  <c r="D16" i="30"/>
  <c r="N16" i="30" s="1"/>
  <c r="D15" i="30"/>
  <c r="N15" i="30" s="1"/>
  <c r="J106" i="1" l="1"/>
  <c r="J105" i="1"/>
  <c r="J104" i="1"/>
  <c r="J78" i="1"/>
  <c r="J77" i="1"/>
  <c r="J76" i="1"/>
  <c r="J51" i="1"/>
  <c r="J50" i="1"/>
  <c r="J49" i="1"/>
  <c r="Q105" i="1"/>
  <c r="Q77" i="1"/>
  <c r="Q50" i="1"/>
  <c r="C105" i="1"/>
  <c r="B107" i="1"/>
  <c r="C104" i="1"/>
  <c r="C77" i="1"/>
  <c r="C76" i="1"/>
  <c r="E77" i="1" s="1"/>
  <c r="C50" i="1"/>
  <c r="C49" i="1"/>
  <c r="D49" i="1" s="1"/>
  <c r="L49" i="1" s="1"/>
  <c r="G19" i="1"/>
  <c r="G38" i="1" s="1"/>
  <c r="B40" i="1"/>
  <c r="I20" i="1"/>
  <c r="I39" i="1" s="1"/>
  <c r="G20" i="1"/>
  <c r="G23" i="1" s="1"/>
  <c r="F20" i="1"/>
  <c r="E20" i="1"/>
  <c r="E39" i="1" s="1"/>
  <c r="D20" i="1"/>
  <c r="D39" i="1" s="1"/>
  <c r="C20" i="1"/>
  <c r="C23" i="1" s="1"/>
  <c r="I19" i="1"/>
  <c r="I38" i="1" s="1"/>
  <c r="F19" i="1"/>
  <c r="F38" i="1" s="1"/>
  <c r="E19" i="1"/>
  <c r="E38" i="1" s="1"/>
  <c r="D19" i="1"/>
  <c r="D38" i="1" s="1"/>
  <c r="C19" i="1"/>
  <c r="C38" i="1" s="1"/>
  <c r="B19" i="1"/>
  <c r="I18" i="1"/>
  <c r="I37" i="1" s="1"/>
  <c r="G18" i="1"/>
  <c r="G37" i="1" s="1"/>
  <c r="F18" i="1"/>
  <c r="F37" i="1" s="1"/>
  <c r="E18" i="1"/>
  <c r="E37" i="1" s="1"/>
  <c r="D18" i="1"/>
  <c r="D37" i="1" s="1"/>
  <c r="C18" i="1"/>
  <c r="C37" i="1" s="1"/>
  <c r="B18" i="1"/>
  <c r="I17" i="1"/>
  <c r="I36" i="1" s="1"/>
  <c r="G17" i="1"/>
  <c r="G36" i="1" s="1"/>
  <c r="F17" i="1"/>
  <c r="E17" i="1"/>
  <c r="E36" i="1" s="1"/>
  <c r="D17" i="1"/>
  <c r="D36" i="1" s="1"/>
  <c r="C17" i="1"/>
  <c r="C36" i="1" s="1"/>
  <c r="B17" i="1"/>
  <c r="I16" i="1"/>
  <c r="I35" i="1" s="1"/>
  <c r="G16" i="1"/>
  <c r="G35" i="1" s="1"/>
  <c r="F16" i="1"/>
  <c r="F35" i="1" s="1"/>
  <c r="E16" i="1"/>
  <c r="E35" i="1" s="1"/>
  <c r="D16" i="1"/>
  <c r="D35" i="1" s="1"/>
  <c r="C16" i="1"/>
  <c r="C35" i="1" s="1"/>
  <c r="B16" i="1"/>
  <c r="I15" i="1"/>
  <c r="G15" i="1"/>
  <c r="G34" i="1" s="1"/>
  <c r="F15" i="1"/>
  <c r="F34" i="1" s="1"/>
  <c r="E15" i="1"/>
  <c r="D15" i="1"/>
  <c r="C15" i="1"/>
  <c r="B15" i="1"/>
  <c r="I14" i="1"/>
  <c r="G14" i="1"/>
  <c r="F14" i="1"/>
  <c r="E14" i="1"/>
  <c r="D14" i="1"/>
  <c r="C14" i="1"/>
  <c r="B14" i="1"/>
  <c r="I13" i="1"/>
  <c r="G13" i="1"/>
  <c r="G33" i="1" s="1"/>
  <c r="F13" i="1"/>
  <c r="F33" i="1" s="1"/>
  <c r="E13" i="1"/>
  <c r="D13" i="1"/>
  <c r="C13" i="1"/>
  <c r="B13" i="1"/>
  <c r="I12" i="1"/>
  <c r="G12" i="1"/>
  <c r="F12" i="1"/>
  <c r="E12" i="1"/>
  <c r="D12" i="1"/>
  <c r="C12" i="1"/>
  <c r="B12" i="1"/>
  <c r="I11" i="1"/>
  <c r="G11" i="1"/>
  <c r="F11" i="1"/>
  <c r="E11" i="1"/>
  <c r="D11" i="1"/>
  <c r="C11" i="1"/>
  <c r="B11" i="1"/>
  <c r="I10" i="1"/>
  <c r="I32" i="1" s="1"/>
  <c r="G10" i="1"/>
  <c r="G32" i="1" s="1"/>
  <c r="F10" i="1"/>
  <c r="F32" i="1" s="1"/>
  <c r="E10" i="1"/>
  <c r="D10" i="1"/>
  <c r="C10" i="1"/>
  <c r="B10" i="1"/>
  <c r="I9" i="1"/>
  <c r="G9" i="1"/>
  <c r="F9" i="1"/>
  <c r="E9" i="1"/>
  <c r="D9" i="1"/>
  <c r="C9" i="1"/>
  <c r="B9" i="1"/>
  <c r="I8" i="1"/>
  <c r="G8" i="1"/>
  <c r="F8" i="1"/>
  <c r="B8" i="1"/>
  <c r="I7" i="1"/>
  <c r="G7" i="1"/>
  <c r="B7" i="1"/>
  <c r="I6" i="1"/>
  <c r="I31" i="1" s="1"/>
  <c r="G6" i="1"/>
  <c r="G31" i="1" s="1"/>
  <c r="F6" i="1"/>
  <c r="F31" i="1" s="1"/>
  <c r="B6" i="1"/>
  <c r="B5" i="1"/>
  <c r="F105" i="1" l="1"/>
  <c r="L105" i="1" s="1"/>
  <c r="E105" i="1"/>
  <c r="H8" i="1"/>
  <c r="H12" i="1"/>
  <c r="E106" i="1"/>
  <c r="J34" i="1"/>
  <c r="H16" i="1"/>
  <c r="G22" i="1"/>
  <c r="D104" i="1"/>
  <c r="L104" i="1" s="1"/>
  <c r="K8" i="1"/>
  <c r="E78" i="1"/>
  <c r="D76" i="1"/>
  <c r="L76" i="1" s="1"/>
  <c r="F77" i="1"/>
  <c r="L77" i="1" s="1"/>
  <c r="K16" i="1"/>
  <c r="J9" i="1"/>
  <c r="J7" i="1"/>
  <c r="H11" i="1"/>
  <c r="J12" i="1"/>
  <c r="J16" i="1"/>
  <c r="E50" i="1"/>
  <c r="J8" i="1"/>
  <c r="K12" i="1"/>
  <c r="J13" i="1"/>
  <c r="E34" i="1"/>
  <c r="H20" i="1"/>
  <c r="C34" i="1"/>
  <c r="J14" i="1"/>
  <c r="D33" i="1"/>
  <c r="H34" i="1"/>
  <c r="H31" i="1"/>
  <c r="H9" i="1"/>
  <c r="H32" i="1"/>
  <c r="J10" i="1"/>
  <c r="E33" i="1"/>
  <c r="J11" i="1"/>
  <c r="K14" i="1"/>
  <c r="D34" i="1"/>
  <c r="H14" i="1"/>
  <c r="J35" i="1"/>
  <c r="H17" i="1"/>
  <c r="H37" i="1"/>
  <c r="H38" i="1"/>
  <c r="F39" i="1"/>
  <c r="J36" i="1"/>
  <c r="K10" i="1"/>
  <c r="H10" i="1"/>
  <c r="C33" i="1"/>
  <c r="H33" i="1"/>
  <c r="J15" i="1"/>
  <c r="K18" i="1"/>
  <c r="H18" i="1"/>
  <c r="K38" i="1"/>
  <c r="D23" i="1"/>
  <c r="J17" i="1"/>
  <c r="K37" i="1"/>
  <c r="J19" i="1"/>
  <c r="J33" i="1"/>
  <c r="H35" i="1"/>
  <c r="J38" i="1"/>
  <c r="K32" i="1"/>
  <c r="J32" i="1"/>
  <c r="J37" i="1"/>
  <c r="K39" i="1"/>
  <c r="K7" i="1"/>
  <c r="K9" i="1"/>
  <c r="K11" i="1"/>
  <c r="K13" i="1"/>
  <c r="K15" i="1"/>
  <c r="K17" i="1"/>
  <c r="K19" i="1"/>
  <c r="J20" i="1"/>
  <c r="E23" i="1"/>
  <c r="I33" i="1"/>
  <c r="K33" i="1" s="1"/>
  <c r="F36" i="1"/>
  <c r="H36" i="1" s="1"/>
  <c r="C39" i="1"/>
  <c r="G39" i="1"/>
  <c r="J39" i="1" s="1"/>
  <c r="H6" i="1"/>
  <c r="H13" i="1"/>
  <c r="H15" i="1"/>
  <c r="J18" i="1"/>
  <c r="H19" i="1"/>
  <c r="K20" i="1"/>
  <c r="F21" i="1"/>
  <c r="F23" i="1"/>
  <c r="H23" i="1" s="1"/>
  <c r="I34" i="1"/>
  <c r="F22" i="1"/>
  <c r="G21" i="1"/>
  <c r="B131" i="2"/>
  <c r="B62" i="2"/>
  <c r="B97" i="2" s="1"/>
  <c r="B133" i="2" s="1"/>
  <c r="B135" i="2"/>
  <c r="E125" i="2"/>
  <c r="D124" i="2"/>
  <c r="E89" i="2"/>
  <c r="D88" i="2"/>
  <c r="B132" i="2"/>
  <c r="B59" i="2"/>
  <c r="B94" i="2" s="1"/>
  <c r="B130" i="2" s="1"/>
  <c r="B58" i="2"/>
  <c r="B93" i="2" s="1"/>
  <c r="B129" i="2" s="1"/>
  <c r="B56" i="2"/>
  <c r="B91" i="2" s="1"/>
  <c r="B127" i="2" s="1"/>
  <c r="B55" i="2"/>
  <c r="B90" i="2" s="1"/>
  <c r="B126" i="2" s="1"/>
  <c r="E54" i="2"/>
  <c r="B54" i="2"/>
  <c r="B89" i="2" s="1"/>
  <c r="B125" i="2" s="1"/>
  <c r="D53" i="2"/>
  <c r="D29" i="2"/>
  <c r="C29" i="2"/>
  <c r="I19" i="2"/>
  <c r="E19" i="2"/>
  <c r="E43" i="2" s="1"/>
  <c r="D19" i="2"/>
  <c r="D43" i="2" s="1"/>
  <c r="C19" i="2"/>
  <c r="C43" i="2" s="1"/>
  <c r="B19" i="2"/>
  <c r="I18" i="2"/>
  <c r="G18" i="2"/>
  <c r="F18" i="2"/>
  <c r="E18" i="2"/>
  <c r="D18" i="2"/>
  <c r="C18" i="2"/>
  <c r="B18" i="2"/>
  <c r="I17" i="2"/>
  <c r="G17" i="2"/>
  <c r="F17" i="2"/>
  <c r="E17" i="2"/>
  <c r="D17" i="2"/>
  <c r="C17" i="2"/>
  <c r="B17" i="2"/>
  <c r="I16" i="2"/>
  <c r="G16" i="2"/>
  <c r="F16" i="2"/>
  <c r="E16" i="2"/>
  <c r="D16" i="2"/>
  <c r="C16" i="2"/>
  <c r="B16" i="2"/>
  <c r="I15" i="2"/>
  <c r="G15" i="2"/>
  <c r="F15" i="2"/>
  <c r="E15" i="2"/>
  <c r="D15" i="2"/>
  <c r="C15" i="2"/>
  <c r="B15" i="2"/>
  <c r="I14" i="2"/>
  <c r="G14" i="2"/>
  <c r="F14" i="2"/>
  <c r="E14" i="2"/>
  <c r="D14" i="2"/>
  <c r="C14" i="2"/>
  <c r="B14" i="2"/>
  <c r="I13" i="2"/>
  <c r="G13" i="2"/>
  <c r="F13" i="2"/>
  <c r="E13" i="2"/>
  <c r="D13" i="2"/>
  <c r="C13" i="2"/>
  <c r="B13" i="2"/>
  <c r="I12" i="2"/>
  <c r="G12" i="2"/>
  <c r="F12" i="2"/>
  <c r="E12" i="2"/>
  <c r="D12" i="2"/>
  <c r="C12" i="2"/>
  <c r="B12" i="2"/>
  <c r="I11" i="2"/>
  <c r="G11" i="2"/>
  <c r="F11" i="2"/>
  <c r="E11" i="2"/>
  <c r="D11" i="2"/>
  <c r="C11" i="2"/>
  <c r="B11" i="2"/>
  <c r="I10" i="2"/>
  <c r="G10" i="2"/>
  <c r="F10" i="2"/>
  <c r="E10" i="2"/>
  <c r="D10" i="2"/>
  <c r="C10" i="2"/>
  <c r="B10" i="2"/>
  <c r="I9" i="2"/>
  <c r="G9" i="2"/>
  <c r="F9" i="2"/>
  <c r="E9" i="2"/>
  <c r="E38" i="2" s="1"/>
  <c r="D9" i="2"/>
  <c r="D38" i="2" s="1"/>
  <c r="C9" i="2"/>
  <c r="C38" i="2" s="1"/>
  <c r="B9" i="2"/>
  <c r="I8" i="2"/>
  <c r="G8" i="2"/>
  <c r="F8" i="2"/>
  <c r="B8" i="2"/>
  <c r="I7" i="2"/>
  <c r="G7" i="2"/>
  <c r="B7" i="2"/>
  <c r="I6" i="2"/>
  <c r="G6" i="2"/>
  <c r="F6" i="2"/>
  <c r="B6" i="2"/>
  <c r="B5" i="2"/>
  <c r="I20" i="3"/>
  <c r="I19" i="3"/>
  <c r="G20" i="3"/>
  <c r="G37" i="3" s="1"/>
  <c r="F20" i="3"/>
  <c r="F23" i="3" s="1"/>
  <c r="K34" i="1" l="1"/>
  <c r="C129" i="2"/>
  <c r="E41" i="2"/>
  <c r="C128" i="2" s="1"/>
  <c r="C39" i="2"/>
  <c r="C55" i="2" s="1"/>
  <c r="C40" i="2"/>
  <c r="C56" i="2" s="1"/>
  <c r="D39" i="2"/>
  <c r="C90" i="2" s="1"/>
  <c r="D40" i="2"/>
  <c r="C91" i="2" s="1"/>
  <c r="C41" i="2"/>
  <c r="C57" i="2" s="1"/>
  <c r="E39" i="2"/>
  <c r="C126" i="2" s="1"/>
  <c r="E40" i="2"/>
  <c r="C127" i="2" s="1"/>
  <c r="D41" i="2"/>
  <c r="C92" i="2" s="1"/>
  <c r="C93" i="2"/>
  <c r="C58" i="2"/>
  <c r="C59" i="2"/>
  <c r="H16" i="2"/>
  <c r="C94" i="2"/>
  <c r="C130" i="2"/>
  <c r="H18" i="2"/>
  <c r="K20" i="2"/>
  <c r="H17" i="2"/>
  <c r="K20" i="3"/>
  <c r="G23" i="3"/>
  <c r="H23" i="3" s="1"/>
  <c r="H20" i="3"/>
  <c r="F37" i="3"/>
  <c r="H37" i="3" s="1"/>
  <c r="I37" i="3"/>
  <c r="H22" i="1"/>
  <c r="K35" i="1"/>
  <c r="K36" i="1"/>
  <c r="E51" i="1"/>
  <c r="F50" i="1"/>
  <c r="L50" i="1" s="1"/>
  <c r="H39" i="1"/>
  <c r="H21" i="1"/>
  <c r="K7" i="2"/>
  <c r="H9" i="2"/>
  <c r="K11" i="2"/>
  <c r="H13" i="2"/>
  <c r="K18" i="2"/>
  <c r="J8" i="2"/>
  <c r="J12" i="2"/>
  <c r="K8" i="2"/>
  <c r="K12" i="2"/>
  <c r="E29" i="2"/>
  <c r="H8" i="2"/>
  <c r="K9" i="2"/>
  <c r="H12" i="2"/>
  <c r="K16" i="2"/>
  <c r="J14" i="2"/>
  <c r="K14" i="2"/>
  <c r="K15" i="2"/>
  <c r="J16" i="2"/>
  <c r="K19" i="2"/>
  <c r="J7" i="2"/>
  <c r="J11" i="2"/>
  <c r="J15" i="2"/>
  <c r="J19" i="2"/>
  <c r="H6" i="2"/>
  <c r="J10" i="2"/>
  <c r="H11" i="2"/>
  <c r="K13" i="2"/>
  <c r="H15" i="2"/>
  <c r="K17" i="2"/>
  <c r="J18" i="2"/>
  <c r="J9" i="2"/>
  <c r="H10" i="2"/>
  <c r="K10" i="2"/>
  <c r="J13" i="2"/>
  <c r="H14" i="2"/>
  <c r="J17" i="2"/>
  <c r="E20" i="3"/>
  <c r="D20" i="3"/>
  <c r="C20" i="3"/>
  <c r="E23" i="3" l="1"/>
  <c r="E37" i="3"/>
  <c r="C23" i="3"/>
  <c r="C37" i="3"/>
  <c r="D23" i="3"/>
  <c r="D37" i="3"/>
  <c r="B46" i="3"/>
  <c r="B50" i="3" l="1"/>
  <c r="B82" i="3" s="1"/>
  <c r="B115" i="3" s="1"/>
  <c r="G19" i="3"/>
  <c r="J20" i="3" s="1"/>
  <c r="F19" i="3"/>
  <c r="B19" i="3"/>
  <c r="I36" i="3"/>
  <c r="K37" i="3" s="1"/>
  <c r="C19" i="3"/>
  <c r="C36" i="3" s="1"/>
  <c r="C50" i="3" s="1"/>
  <c r="D19" i="3"/>
  <c r="D36" i="3" s="1"/>
  <c r="C82" i="3" s="1"/>
  <c r="E19" i="3"/>
  <c r="E36" i="3" s="1"/>
  <c r="C115" i="3" s="1"/>
  <c r="H19" i="3" l="1"/>
  <c r="F36" i="3"/>
  <c r="F22" i="3"/>
  <c r="G36" i="3"/>
  <c r="J37" i="3" s="1"/>
  <c r="G22" i="3"/>
  <c r="B116" i="3"/>
  <c r="E109" i="3"/>
  <c r="D108" i="3"/>
  <c r="E76" i="3"/>
  <c r="D75" i="3"/>
  <c r="E44" i="3"/>
  <c r="D43" i="3"/>
  <c r="B45" i="3"/>
  <c r="B77" i="3" s="1"/>
  <c r="B110" i="3" s="1"/>
  <c r="B78" i="3"/>
  <c r="B111" i="3" s="1"/>
  <c r="B48" i="3"/>
  <c r="B80" i="3" s="1"/>
  <c r="B113" i="3" s="1"/>
  <c r="B49" i="3"/>
  <c r="B81" i="3" s="1"/>
  <c r="B114" i="3" s="1"/>
  <c r="B44" i="3"/>
  <c r="B76" i="3" s="1"/>
  <c r="B109" i="3" s="1"/>
  <c r="H36" i="3" l="1"/>
  <c r="I18" i="3"/>
  <c r="I17" i="3"/>
  <c r="I34" i="3" s="1"/>
  <c r="I16" i="3"/>
  <c r="I33" i="3" s="1"/>
  <c r="I15" i="3"/>
  <c r="I32" i="3" s="1"/>
  <c r="I14" i="3"/>
  <c r="I13" i="3"/>
  <c r="I31" i="3" s="1"/>
  <c r="I12" i="3"/>
  <c r="I11" i="3"/>
  <c r="I10" i="3"/>
  <c r="I9" i="3"/>
  <c r="I8" i="3"/>
  <c r="I7" i="3"/>
  <c r="I6" i="3"/>
  <c r="I29" i="3" s="1"/>
  <c r="G18" i="3"/>
  <c r="G21" i="3" s="1"/>
  <c r="F18" i="3"/>
  <c r="F21" i="3" s="1"/>
  <c r="B18" i="3"/>
  <c r="G17" i="3"/>
  <c r="G34" i="3" s="1"/>
  <c r="F17" i="3"/>
  <c r="F34" i="3" s="1"/>
  <c r="B17" i="3"/>
  <c r="G16" i="3"/>
  <c r="G33" i="3" s="1"/>
  <c r="F16" i="3"/>
  <c r="F33" i="3" s="1"/>
  <c r="B16" i="3"/>
  <c r="G15" i="3"/>
  <c r="G32" i="3" s="1"/>
  <c r="F15" i="3"/>
  <c r="F32" i="3" s="1"/>
  <c r="B15" i="3"/>
  <c r="G14" i="3"/>
  <c r="F14" i="3"/>
  <c r="B14" i="3"/>
  <c r="G13" i="3"/>
  <c r="F13" i="3"/>
  <c r="F31" i="3" s="1"/>
  <c r="B13" i="3"/>
  <c r="G12" i="3"/>
  <c r="F12" i="3"/>
  <c r="B12" i="3"/>
  <c r="G11" i="3"/>
  <c r="F11" i="3"/>
  <c r="B11" i="3"/>
  <c r="G10" i="3"/>
  <c r="G30" i="3" s="1"/>
  <c r="F10" i="3"/>
  <c r="F30" i="3" s="1"/>
  <c r="B10" i="3"/>
  <c r="G9" i="3"/>
  <c r="F9" i="3"/>
  <c r="B9" i="3"/>
  <c r="G8" i="3"/>
  <c r="F8" i="3"/>
  <c r="B8" i="3"/>
  <c r="G7" i="3"/>
  <c r="B7" i="3"/>
  <c r="G6" i="3"/>
  <c r="G29" i="3" s="1"/>
  <c r="F6" i="3"/>
  <c r="F29" i="3" s="1"/>
  <c r="B6" i="3"/>
  <c r="B5" i="3"/>
  <c r="C18" i="3"/>
  <c r="C35" i="3" s="1"/>
  <c r="C49" i="3" s="1"/>
  <c r="D18" i="3"/>
  <c r="D35" i="3" s="1"/>
  <c r="C81" i="3" s="1"/>
  <c r="E18" i="3"/>
  <c r="E35" i="3" s="1"/>
  <c r="J33" i="3" l="1"/>
  <c r="K33" i="3"/>
  <c r="H33" i="3"/>
  <c r="C114" i="3"/>
  <c r="H21" i="3"/>
  <c r="I35" i="3"/>
  <c r="K19" i="3"/>
  <c r="H22" i="3"/>
  <c r="J19" i="3"/>
  <c r="K9" i="3"/>
  <c r="H29" i="3"/>
  <c r="J11" i="3"/>
  <c r="J13" i="3"/>
  <c r="G31" i="3"/>
  <c r="H31" i="3" s="1"/>
  <c r="H16" i="3"/>
  <c r="K10" i="3"/>
  <c r="I30" i="3"/>
  <c r="K31" i="3" s="1"/>
  <c r="G35" i="3"/>
  <c r="K17" i="3"/>
  <c r="K14" i="3"/>
  <c r="K13" i="3"/>
  <c r="H32" i="3"/>
  <c r="J8" i="3"/>
  <c r="J10" i="3"/>
  <c r="J12" i="3"/>
  <c r="J14" i="3"/>
  <c r="J16" i="3"/>
  <c r="H30" i="3"/>
  <c r="K7" i="3"/>
  <c r="K11" i="3"/>
  <c r="K8" i="3"/>
  <c r="K12" i="3"/>
  <c r="K15" i="3"/>
  <c r="J30" i="3"/>
  <c r="K34" i="3"/>
  <c r="J7" i="3"/>
  <c r="J15" i="3"/>
  <c r="K18" i="3"/>
  <c r="K16" i="3"/>
  <c r="J34" i="3"/>
  <c r="F35" i="3"/>
  <c r="J17" i="3"/>
  <c r="J9" i="3"/>
  <c r="J18" i="3"/>
  <c r="H9" i="3"/>
  <c r="H11" i="3"/>
  <c r="H13" i="3"/>
  <c r="H15" i="3"/>
  <c r="H17" i="3"/>
  <c r="H8" i="3"/>
  <c r="H10" i="3"/>
  <c r="H14" i="3"/>
  <c r="H12" i="3"/>
  <c r="H18" i="3"/>
  <c r="H6" i="3"/>
  <c r="C17" i="3"/>
  <c r="C34" i="3" s="1"/>
  <c r="C48" i="3" s="1"/>
  <c r="D17" i="3"/>
  <c r="D34" i="3" s="1"/>
  <c r="C80" i="3" s="1"/>
  <c r="E17" i="3"/>
  <c r="E34" i="3" s="1"/>
  <c r="C113" i="3" s="1"/>
  <c r="C16" i="3"/>
  <c r="C33" i="3" s="1"/>
  <c r="C47" i="3" s="1"/>
  <c r="D16" i="3"/>
  <c r="D33" i="3" s="1"/>
  <c r="C79" i="3" s="1"/>
  <c r="E16" i="3"/>
  <c r="E33" i="3" s="1"/>
  <c r="C112" i="3" s="1"/>
  <c r="C15" i="3"/>
  <c r="D15" i="3"/>
  <c r="E15" i="3"/>
  <c r="C14" i="3"/>
  <c r="D14" i="3"/>
  <c r="E14" i="3"/>
  <c r="C13" i="3"/>
  <c r="D13" i="3"/>
  <c r="E13" i="3"/>
  <c r="C12" i="3"/>
  <c r="D12" i="3"/>
  <c r="E12" i="3"/>
  <c r="C11" i="3"/>
  <c r="D11" i="3"/>
  <c r="E11" i="3"/>
  <c r="C10" i="3"/>
  <c r="D10" i="3"/>
  <c r="E10" i="3"/>
  <c r="C32" i="3" l="1"/>
  <c r="C46" i="3" s="1"/>
  <c r="E32" i="3"/>
  <c r="C111" i="3" s="1"/>
  <c r="D32" i="3"/>
  <c r="C78" i="3" s="1"/>
  <c r="J35" i="3"/>
  <c r="J36" i="3"/>
  <c r="K35" i="3"/>
  <c r="K36" i="3"/>
  <c r="K30" i="3"/>
  <c r="J32" i="3"/>
  <c r="H35" i="3"/>
  <c r="D31" i="3"/>
  <c r="C77" i="3" s="1"/>
  <c r="J31" i="3"/>
  <c r="C31" i="3"/>
  <c r="C45" i="3" s="1"/>
  <c r="E31" i="3"/>
  <c r="C110" i="3" s="1"/>
  <c r="H34" i="3"/>
  <c r="K32" i="3"/>
  <c r="C9" i="3"/>
  <c r="D9" i="3"/>
  <c r="E9" i="3"/>
  <c r="C9" i="6" l="1"/>
  <c r="D9" i="6"/>
  <c r="E9" i="6"/>
  <c r="F9" i="6"/>
  <c r="G9" i="6"/>
  <c r="H9" i="6"/>
  <c r="I9" i="6"/>
  <c r="J9" i="6"/>
  <c r="K9" i="6"/>
  <c r="L9" i="6"/>
  <c r="C10" i="6"/>
  <c r="D10" i="6"/>
  <c r="E10" i="6"/>
  <c r="F10" i="6"/>
  <c r="G10" i="6"/>
  <c r="H10" i="6"/>
  <c r="I10" i="6"/>
  <c r="J10" i="6"/>
  <c r="K10" i="6"/>
  <c r="L10" i="6"/>
  <c r="C11" i="6"/>
  <c r="D11" i="6"/>
  <c r="E11" i="6"/>
  <c r="F11" i="6"/>
  <c r="G11" i="6"/>
  <c r="H11" i="6"/>
  <c r="I11" i="6"/>
  <c r="J11" i="6"/>
  <c r="K11" i="6"/>
  <c r="L11" i="6"/>
  <c r="C12" i="6"/>
  <c r="D12" i="6"/>
  <c r="E12" i="6"/>
  <c r="F12" i="6"/>
  <c r="G12" i="6"/>
  <c r="H12" i="6"/>
  <c r="I12" i="6"/>
  <c r="J12" i="6"/>
  <c r="K12" i="6"/>
  <c r="L12" i="6"/>
  <c r="C13" i="6"/>
  <c r="D13" i="6"/>
  <c r="E13" i="6"/>
  <c r="F13" i="6"/>
  <c r="G13" i="6"/>
  <c r="H13" i="6"/>
  <c r="I13" i="6"/>
  <c r="J13" i="6"/>
  <c r="K13" i="6"/>
  <c r="L13" i="6"/>
  <c r="C14" i="6"/>
  <c r="D14" i="6"/>
  <c r="E14" i="6"/>
  <c r="F14" i="6"/>
  <c r="G14" i="6"/>
  <c r="H14" i="6"/>
  <c r="I14" i="6"/>
  <c r="J14" i="6"/>
  <c r="K14" i="6"/>
  <c r="L14" i="6"/>
  <c r="C15" i="6"/>
  <c r="D15" i="6"/>
  <c r="E15" i="6"/>
  <c r="F15" i="6"/>
  <c r="G15" i="6"/>
  <c r="H15" i="6"/>
  <c r="I15" i="6"/>
  <c r="J15" i="6"/>
  <c r="K15" i="6"/>
  <c r="L15" i="6"/>
  <c r="C16" i="6"/>
  <c r="D16" i="6"/>
  <c r="E16" i="6"/>
  <c r="F16" i="6"/>
  <c r="G16" i="6"/>
  <c r="H16" i="6"/>
  <c r="I16" i="6"/>
  <c r="J16" i="6"/>
  <c r="K16" i="6"/>
  <c r="L16" i="6"/>
  <c r="C17" i="6"/>
  <c r="D17" i="6"/>
  <c r="E17" i="6"/>
  <c r="F17" i="6"/>
  <c r="G17" i="6"/>
  <c r="H17" i="6"/>
  <c r="I17" i="6"/>
  <c r="J17" i="6"/>
  <c r="K17" i="6"/>
  <c r="L17" i="6"/>
  <c r="C18" i="6"/>
  <c r="D18" i="6"/>
  <c r="E18" i="6"/>
  <c r="F18" i="6"/>
  <c r="G18" i="6"/>
  <c r="H18" i="6"/>
  <c r="I18" i="6"/>
  <c r="J18" i="6"/>
  <c r="K18" i="6"/>
  <c r="L18" i="6"/>
  <c r="C19" i="6"/>
  <c r="D19" i="6"/>
  <c r="E19" i="6"/>
  <c r="F19" i="6"/>
  <c r="G19" i="6"/>
  <c r="H19" i="6"/>
  <c r="I19" i="6"/>
  <c r="J19" i="6"/>
  <c r="K19" i="6"/>
  <c r="L19" i="6"/>
  <c r="C20" i="6"/>
  <c r="D20" i="6"/>
  <c r="E20" i="6"/>
  <c r="F20" i="6"/>
  <c r="G20" i="6"/>
  <c r="H20" i="6"/>
  <c r="I20" i="6"/>
  <c r="J20" i="6"/>
  <c r="K20" i="6"/>
  <c r="L20" i="6"/>
  <c r="T148" i="6" l="1"/>
  <c r="T149" i="6"/>
  <c r="C63" i="19" l="1"/>
  <c r="F62" i="19"/>
  <c r="E62" i="19"/>
  <c r="D62" i="19"/>
  <c r="C62" i="19"/>
  <c r="F54" i="19"/>
  <c r="C53" i="19"/>
  <c r="C55" i="19" s="1"/>
  <c r="E55" i="19"/>
  <c r="E66" i="19" s="1"/>
  <c r="D55" i="19"/>
  <c r="D66" i="19" l="1"/>
  <c r="C92" i="19"/>
  <c r="C93" i="19" s="1"/>
  <c r="F55" i="19"/>
  <c r="F66" i="19" s="1"/>
  <c r="C66" i="19"/>
  <c r="X149" i="6" l="1"/>
  <c r="D16" i="7" l="1"/>
  <c r="E16" i="7" s="1"/>
  <c r="D17" i="7"/>
  <c r="E17" i="7" s="1"/>
  <c r="C17" i="7"/>
  <c r="C16" i="7"/>
  <c r="D13" i="7" l="1"/>
  <c r="E13" i="7"/>
  <c r="C13" i="7"/>
  <c r="T147" i="6"/>
  <c r="D8" i="7" l="1"/>
  <c r="D10" i="7" s="1"/>
  <c r="AD149" i="6" l="1"/>
  <c r="AD148" i="6"/>
  <c r="AE145" i="6"/>
  <c r="AF145" i="6"/>
  <c r="AG145" i="6"/>
  <c r="AH145" i="6"/>
  <c r="AI145" i="6"/>
  <c r="AJ145" i="6"/>
  <c r="AK145" i="6"/>
  <c r="AL145" i="6"/>
  <c r="AM145" i="6"/>
  <c r="AE146" i="6"/>
  <c r="AF146" i="6"/>
  <c r="AG146" i="6"/>
  <c r="AH146" i="6"/>
  <c r="AI146" i="6"/>
  <c r="AJ146" i="6"/>
  <c r="AK146" i="6"/>
  <c r="AL146" i="6"/>
  <c r="AM146" i="6"/>
  <c r="AD146" i="6"/>
  <c r="AD145" i="6"/>
  <c r="U148" i="6"/>
  <c r="U149" i="6"/>
  <c r="U147" i="6"/>
  <c r="R148" i="6"/>
  <c r="R149" i="6"/>
  <c r="R147" i="6"/>
  <c r="D166" i="6"/>
  <c r="C166" i="6"/>
  <c r="D159" i="6"/>
  <c r="D158" i="6"/>
  <c r="Q79" i="6"/>
  <c r="Q78" i="6"/>
  <c r="I68" i="6"/>
  <c r="H68" i="6"/>
  <c r="I63" i="6"/>
  <c r="H63" i="6"/>
  <c r="D68" i="6"/>
  <c r="D63" i="6"/>
  <c r="C64" i="6"/>
  <c r="C65" i="6"/>
  <c r="C66" i="6"/>
  <c r="C67" i="6"/>
  <c r="C68" i="6"/>
  <c r="C69" i="6"/>
  <c r="C70" i="6"/>
  <c r="C71" i="6"/>
  <c r="C72" i="6"/>
  <c r="C73" i="6"/>
  <c r="C74" i="6"/>
  <c r="C63" i="6"/>
  <c r="AE45" i="6"/>
  <c r="AD45" i="6"/>
  <c r="AB46" i="6"/>
  <c r="AB47" i="6"/>
  <c r="AB48" i="6"/>
  <c r="AB49" i="6"/>
  <c r="AB50" i="6"/>
  <c r="AB51" i="6"/>
  <c r="AB52" i="6"/>
  <c r="AB53" i="6"/>
  <c r="AB54" i="6"/>
  <c r="AB55" i="6"/>
  <c r="AB56" i="6"/>
  <c r="AB45" i="6"/>
  <c r="D45" i="6"/>
  <c r="E45" i="6"/>
  <c r="F45" i="6"/>
  <c r="G45" i="6"/>
  <c r="H45" i="6"/>
  <c r="I45" i="6"/>
  <c r="J45" i="6"/>
  <c r="K45" i="6"/>
  <c r="D46" i="6"/>
  <c r="E46" i="6"/>
  <c r="F46" i="6"/>
  <c r="G46" i="6"/>
  <c r="H46" i="6"/>
  <c r="I46" i="6"/>
  <c r="J46" i="6"/>
  <c r="K46" i="6"/>
  <c r="D47" i="6"/>
  <c r="E47" i="6"/>
  <c r="F47" i="6"/>
  <c r="G47" i="6"/>
  <c r="H47" i="6"/>
  <c r="I47" i="6"/>
  <c r="J47" i="6"/>
  <c r="K47" i="6"/>
  <c r="D48" i="6"/>
  <c r="E48" i="6"/>
  <c r="F48" i="6"/>
  <c r="G48" i="6"/>
  <c r="H48" i="6"/>
  <c r="I48" i="6"/>
  <c r="J48" i="6"/>
  <c r="K48" i="6"/>
  <c r="D49" i="6"/>
  <c r="E49" i="6"/>
  <c r="F49" i="6"/>
  <c r="G49" i="6"/>
  <c r="H49" i="6"/>
  <c r="I49" i="6"/>
  <c r="J49" i="6"/>
  <c r="K49" i="6"/>
  <c r="D50" i="6"/>
  <c r="E50" i="6"/>
  <c r="F50" i="6"/>
  <c r="G50" i="6"/>
  <c r="H50" i="6"/>
  <c r="I50" i="6"/>
  <c r="J50" i="6"/>
  <c r="K50" i="6"/>
  <c r="D51" i="6"/>
  <c r="E51" i="6"/>
  <c r="F51" i="6"/>
  <c r="G51" i="6"/>
  <c r="H51" i="6"/>
  <c r="I51" i="6"/>
  <c r="J51" i="6"/>
  <c r="K51" i="6"/>
  <c r="D52" i="6"/>
  <c r="E52" i="6"/>
  <c r="F52" i="6"/>
  <c r="G52" i="6"/>
  <c r="H52" i="6"/>
  <c r="I52" i="6"/>
  <c r="J52" i="6"/>
  <c r="K52" i="6"/>
  <c r="D53" i="6"/>
  <c r="E53" i="6"/>
  <c r="F53" i="6"/>
  <c r="G53" i="6"/>
  <c r="H53" i="6"/>
  <c r="I53" i="6"/>
  <c r="J53" i="6"/>
  <c r="K53" i="6"/>
  <c r="D54" i="6"/>
  <c r="E54" i="6"/>
  <c r="F54" i="6"/>
  <c r="G54" i="6"/>
  <c r="H54" i="6"/>
  <c r="I54" i="6"/>
  <c r="J54" i="6"/>
  <c r="K54" i="6"/>
  <c r="D55" i="6"/>
  <c r="E55" i="6"/>
  <c r="F55" i="6"/>
  <c r="G55" i="6"/>
  <c r="H55" i="6"/>
  <c r="I55" i="6"/>
  <c r="J55" i="6"/>
  <c r="K55" i="6"/>
  <c r="D56" i="6"/>
  <c r="E56" i="6"/>
  <c r="F56" i="6"/>
  <c r="G56" i="6"/>
  <c r="H56" i="6"/>
  <c r="I56" i="6"/>
  <c r="J56" i="6"/>
  <c r="K56" i="6"/>
  <c r="C46" i="6"/>
  <c r="C47" i="6"/>
  <c r="C48" i="6"/>
  <c r="C49" i="6"/>
  <c r="C50" i="6"/>
  <c r="C51" i="6"/>
  <c r="C52" i="6"/>
  <c r="C53" i="6"/>
  <c r="C54" i="6"/>
  <c r="C55" i="6"/>
  <c r="C56" i="6"/>
  <c r="C45" i="6"/>
  <c r="E27" i="6"/>
  <c r="L27" i="6"/>
  <c r="E28" i="6"/>
  <c r="L28" i="6"/>
  <c r="E29" i="6"/>
  <c r="L29" i="6"/>
  <c r="E30" i="6"/>
  <c r="L30" i="6"/>
  <c r="E31" i="6"/>
  <c r="L31" i="6"/>
  <c r="E32" i="6"/>
  <c r="L32" i="6"/>
  <c r="E33" i="6"/>
  <c r="L33" i="6"/>
  <c r="E34" i="6"/>
  <c r="L34" i="6"/>
  <c r="E35" i="6"/>
  <c r="L35" i="6"/>
  <c r="E36" i="6"/>
  <c r="L36" i="6"/>
  <c r="E37" i="6"/>
  <c r="L37" i="6"/>
  <c r="E38" i="6"/>
  <c r="L38" i="6"/>
  <c r="E158" i="6" l="1"/>
  <c r="O45" i="6"/>
  <c r="C147" i="6"/>
  <c r="C5" i="19"/>
  <c r="F52" i="19" s="1"/>
  <c r="E52" i="19"/>
  <c r="D52" i="19"/>
  <c r="C84" i="6"/>
  <c r="C79" i="6"/>
  <c r="E159" i="6"/>
  <c r="C281" i="6" s="1"/>
  <c r="C280" i="6"/>
  <c r="I6" i="19" l="1"/>
  <c r="H7" i="19"/>
  <c r="C58" i="19"/>
  <c r="C6" i="19" s="1"/>
  <c r="E63" i="19"/>
  <c r="I7" i="19"/>
  <c r="J6" i="19"/>
  <c r="J7" i="19"/>
  <c r="D58" i="19"/>
  <c r="C182" i="6"/>
  <c r="C183" i="6"/>
  <c r="D63" i="19"/>
  <c r="I212" i="6"/>
  <c r="J212" i="6"/>
  <c r="Q160" i="6"/>
  <c r="I213" i="6"/>
  <c r="J213" i="6"/>
  <c r="L147" i="6"/>
  <c r="C80" i="6"/>
  <c r="F63" i="19" l="1"/>
  <c r="D64" i="19" s="1"/>
  <c r="D65" i="19" s="1"/>
  <c r="D67" i="19" s="1"/>
  <c r="D70" i="19" s="1"/>
  <c r="C7" i="19"/>
  <c r="C9" i="19" s="1"/>
  <c r="AF45" i="6"/>
  <c r="M45" i="6"/>
  <c r="G79" i="6"/>
  <c r="G80" i="6" s="1"/>
  <c r="G81" i="6" s="1"/>
  <c r="H84" i="6"/>
  <c r="AB57" i="6"/>
  <c r="E79" i="6"/>
  <c r="E80" i="6" s="1"/>
  <c r="E81" i="6" s="1"/>
  <c r="C57" i="6"/>
  <c r="C181" i="6" s="1"/>
  <c r="C149" i="6"/>
  <c r="D57" i="6"/>
  <c r="D149" i="6"/>
  <c r="E149" i="6"/>
  <c r="H64" i="6"/>
  <c r="H65" i="6"/>
  <c r="H66" i="6"/>
  <c r="H67" i="6"/>
  <c r="T135" i="6"/>
  <c r="Q135" i="6"/>
  <c r="F57" i="6"/>
  <c r="F149" i="6"/>
  <c r="G57" i="6"/>
  <c r="G149" i="6"/>
  <c r="H57" i="6"/>
  <c r="H149" i="6"/>
  <c r="I57" i="6"/>
  <c r="I149" i="6"/>
  <c r="J57" i="6"/>
  <c r="J149" i="6"/>
  <c r="H69" i="6"/>
  <c r="H70" i="6"/>
  <c r="H71" i="6"/>
  <c r="T131" i="6"/>
  <c r="Q131" i="6"/>
  <c r="P45" i="6"/>
  <c r="Q45" i="6"/>
  <c r="R45" i="6"/>
  <c r="R47" i="6" s="1"/>
  <c r="S45" i="6"/>
  <c r="T45" i="6"/>
  <c r="U45" i="6"/>
  <c r="V45" i="6"/>
  <c r="W45" i="6"/>
  <c r="O49" i="6"/>
  <c r="P49" i="6"/>
  <c r="Q49" i="6"/>
  <c r="R49" i="6"/>
  <c r="S49" i="6"/>
  <c r="T49" i="6"/>
  <c r="U49" i="6"/>
  <c r="V49" i="6"/>
  <c r="W49" i="6"/>
  <c r="D147" i="6"/>
  <c r="E147" i="6"/>
  <c r="F147" i="6"/>
  <c r="G147" i="6"/>
  <c r="H147" i="6"/>
  <c r="I147" i="6"/>
  <c r="J147" i="6"/>
  <c r="K147" i="6"/>
  <c r="K149" i="6"/>
  <c r="D74" i="6"/>
  <c r="D73" i="6"/>
  <c r="D72" i="6"/>
  <c r="D71" i="6"/>
  <c r="D70" i="6"/>
  <c r="D69" i="6"/>
  <c r="D67" i="6"/>
  <c r="D66" i="6"/>
  <c r="D65" i="6"/>
  <c r="D64" i="6"/>
  <c r="Q81" i="6"/>
  <c r="E57" i="6"/>
  <c r="D79" i="6"/>
  <c r="D80" i="6" s="1"/>
  <c r="H79" i="6"/>
  <c r="H80" i="6" s="1"/>
  <c r="H81" i="6" s="1"/>
  <c r="E265" i="6"/>
  <c r="F265" i="6" s="1"/>
  <c r="F68" i="7" s="1"/>
  <c r="C265" i="6"/>
  <c r="C68" i="7" s="1"/>
  <c r="C105" i="7" s="1"/>
  <c r="I105" i="7" s="1"/>
  <c r="H154" i="6"/>
  <c r="J79" i="6"/>
  <c r="J80" i="6" s="1"/>
  <c r="J81" i="6" s="1"/>
  <c r="R167" i="6"/>
  <c r="Q167" i="6"/>
  <c r="C25" i="6"/>
  <c r="D25" i="6"/>
  <c r="E25" i="6"/>
  <c r="F25" i="6"/>
  <c r="G25" i="6"/>
  <c r="H25" i="6"/>
  <c r="I25" i="6"/>
  <c r="J25" i="6"/>
  <c r="K25" i="6"/>
  <c r="L25" i="6"/>
  <c r="F84" i="6"/>
  <c r="G84" i="6"/>
  <c r="J84" i="6"/>
  <c r="K84" i="6"/>
  <c r="K57" i="6"/>
  <c r="Q50" i="6"/>
  <c r="D159" i="7"/>
  <c r="E159" i="7"/>
  <c r="F159" i="7"/>
  <c r="G159" i="7"/>
  <c r="H159" i="7"/>
  <c r="I159" i="7"/>
  <c r="J159" i="7"/>
  <c r="C159" i="7"/>
  <c r="E243" i="6"/>
  <c r="E46" i="7" s="1"/>
  <c r="E87" i="7" s="1"/>
  <c r="D243" i="6"/>
  <c r="D46" i="7" s="1"/>
  <c r="D87" i="7" s="1"/>
  <c r="F243" i="6"/>
  <c r="F46" i="7" s="1"/>
  <c r="F87" i="7" s="1"/>
  <c r="G243" i="6"/>
  <c r="G46" i="7" s="1"/>
  <c r="G87" i="7" s="1"/>
  <c r="H243" i="6"/>
  <c r="H46" i="7" s="1"/>
  <c r="H87" i="7" s="1"/>
  <c r="I243" i="6"/>
  <c r="I46" i="7" s="1"/>
  <c r="I87" i="7" s="1"/>
  <c r="J243" i="6"/>
  <c r="J46" i="7" s="1"/>
  <c r="J87" i="7" s="1"/>
  <c r="C243" i="6"/>
  <c r="C46" i="7" s="1"/>
  <c r="C87" i="7" s="1"/>
  <c r="O9" i="6"/>
  <c r="O10" i="6"/>
  <c r="O11" i="6"/>
  <c r="O12" i="6"/>
  <c r="O13" i="6"/>
  <c r="O61" i="6"/>
  <c r="O65" i="6"/>
  <c r="P61" i="6"/>
  <c r="P65" i="6"/>
  <c r="Q61" i="6"/>
  <c r="Q65" i="6"/>
  <c r="R61" i="6"/>
  <c r="R65" i="6"/>
  <c r="S61" i="6"/>
  <c r="S65" i="6"/>
  <c r="T61" i="6"/>
  <c r="T65" i="6"/>
  <c r="U61" i="6"/>
  <c r="U65" i="6"/>
  <c r="V61" i="6"/>
  <c r="V65" i="6"/>
  <c r="W61" i="6"/>
  <c r="W65" i="6"/>
  <c r="D161" i="6"/>
  <c r="C161" i="6"/>
  <c r="E68" i="6"/>
  <c r="E63" i="6"/>
  <c r="I70" i="6"/>
  <c r="I71" i="6"/>
  <c r="I69" i="6"/>
  <c r="I74" i="6"/>
  <c r="I73" i="6"/>
  <c r="I72" i="6"/>
  <c r="I65" i="6"/>
  <c r="I66" i="6"/>
  <c r="I67" i="6"/>
  <c r="I64" i="6"/>
  <c r="X9" i="6"/>
  <c r="X10" i="6"/>
  <c r="X11" i="6"/>
  <c r="X12" i="6"/>
  <c r="X13" i="6"/>
  <c r="H72" i="6"/>
  <c r="H73" i="6"/>
  <c r="H74" i="6"/>
  <c r="L144" i="6"/>
  <c r="K144" i="6"/>
  <c r="D209" i="6"/>
  <c r="J209" i="6" s="1"/>
  <c r="C209" i="6"/>
  <c r="I209" i="6" s="1"/>
  <c r="L128" i="6"/>
  <c r="AD128" i="6" s="1"/>
  <c r="E128" i="6"/>
  <c r="AC128" i="6" s="1"/>
  <c r="C286" i="6"/>
  <c r="D176" i="6"/>
  <c r="E176" i="6"/>
  <c r="F176" i="6"/>
  <c r="G176" i="6"/>
  <c r="H176" i="6"/>
  <c r="I176" i="6"/>
  <c r="J176" i="6"/>
  <c r="C176" i="6"/>
  <c r="X38" i="6"/>
  <c r="X30" i="6"/>
  <c r="Q46" i="6"/>
  <c r="C285" i="6"/>
  <c r="C284" i="6"/>
  <c r="P43" i="6"/>
  <c r="Q43" i="6"/>
  <c r="R43" i="6"/>
  <c r="S43" i="6"/>
  <c r="T43" i="6"/>
  <c r="U43" i="6"/>
  <c r="V43" i="6"/>
  <c r="W43" i="6"/>
  <c r="X43" i="6"/>
  <c r="O43" i="6"/>
  <c r="D192" i="6"/>
  <c r="E192" i="6"/>
  <c r="F192" i="6"/>
  <c r="G192" i="6"/>
  <c r="H192" i="6"/>
  <c r="I192" i="6"/>
  <c r="J192" i="6"/>
  <c r="C192" i="6"/>
  <c r="D144" i="6"/>
  <c r="E144" i="6"/>
  <c r="F144" i="6"/>
  <c r="G144" i="6"/>
  <c r="H144" i="6"/>
  <c r="I144" i="6"/>
  <c r="J144" i="6"/>
  <c r="C144" i="6"/>
  <c r="D128" i="6"/>
  <c r="F128" i="6"/>
  <c r="G128" i="6"/>
  <c r="H128" i="6"/>
  <c r="I128" i="6"/>
  <c r="J128" i="6"/>
  <c r="K128" i="6"/>
  <c r="C128" i="6"/>
  <c r="D110" i="6"/>
  <c r="E110" i="6"/>
  <c r="F110" i="6"/>
  <c r="G110" i="6"/>
  <c r="H110" i="6"/>
  <c r="I110" i="6"/>
  <c r="J110" i="6"/>
  <c r="K110" i="6"/>
  <c r="L110" i="6"/>
  <c r="C110" i="6"/>
  <c r="D92" i="6"/>
  <c r="E92" i="6"/>
  <c r="F92" i="6"/>
  <c r="G92" i="6"/>
  <c r="H92" i="6"/>
  <c r="I92" i="6"/>
  <c r="J92" i="6"/>
  <c r="K92" i="6"/>
  <c r="L92" i="6"/>
  <c r="D77" i="6"/>
  <c r="E77" i="6"/>
  <c r="F77" i="6"/>
  <c r="G77" i="6"/>
  <c r="H77" i="6"/>
  <c r="I77" i="6"/>
  <c r="J77" i="6"/>
  <c r="K77" i="6"/>
  <c r="L77" i="6"/>
  <c r="P25" i="6"/>
  <c r="Q25" i="6"/>
  <c r="R25" i="6"/>
  <c r="S25" i="6"/>
  <c r="T25" i="6"/>
  <c r="U25" i="6"/>
  <c r="V25" i="6"/>
  <c r="W25" i="6"/>
  <c r="X25" i="6"/>
  <c r="O25" i="6"/>
  <c r="D43" i="6"/>
  <c r="E43" i="6"/>
  <c r="F43" i="6"/>
  <c r="G43" i="6"/>
  <c r="H43" i="6"/>
  <c r="I43" i="6"/>
  <c r="J43" i="6"/>
  <c r="K43" i="6"/>
  <c r="L43" i="6"/>
  <c r="C92" i="6"/>
  <c r="C77" i="6"/>
  <c r="C43" i="6"/>
  <c r="P7" i="6"/>
  <c r="Q7" i="6"/>
  <c r="R7" i="6"/>
  <c r="S7" i="6"/>
  <c r="T7" i="6"/>
  <c r="U7" i="6"/>
  <c r="V7" i="6"/>
  <c r="W7" i="6"/>
  <c r="X7" i="6"/>
  <c r="O7" i="6"/>
  <c r="Q38" i="6"/>
  <c r="X37" i="6"/>
  <c r="Q37" i="6"/>
  <c r="X36" i="6"/>
  <c r="Q36" i="6"/>
  <c r="X35" i="6"/>
  <c r="Q35" i="6"/>
  <c r="X34" i="6"/>
  <c r="Q34" i="6"/>
  <c r="X33" i="6"/>
  <c r="Q33" i="6"/>
  <c r="X32" i="6"/>
  <c r="Q32" i="6"/>
  <c r="X31" i="6"/>
  <c r="Q31" i="6"/>
  <c r="Q30" i="6"/>
  <c r="X29" i="6"/>
  <c r="Q29" i="6"/>
  <c r="X28" i="6"/>
  <c r="Q28" i="6"/>
  <c r="X27" i="6"/>
  <c r="Q27" i="6"/>
  <c r="P9" i="6"/>
  <c r="Q9" i="6"/>
  <c r="R9" i="6"/>
  <c r="S9" i="6"/>
  <c r="W9" i="6"/>
  <c r="T9" i="6"/>
  <c r="U9" i="6"/>
  <c r="V9" i="6"/>
  <c r="P10" i="6"/>
  <c r="Q10" i="6"/>
  <c r="R10" i="6"/>
  <c r="S10" i="6"/>
  <c r="W10" i="6"/>
  <c r="T10" i="6"/>
  <c r="U10" i="6"/>
  <c r="V10" i="6"/>
  <c r="P11" i="6"/>
  <c r="Q11" i="6"/>
  <c r="R11" i="6"/>
  <c r="S11" i="6"/>
  <c r="W11" i="6"/>
  <c r="T11" i="6"/>
  <c r="U11" i="6"/>
  <c r="V11" i="6"/>
  <c r="P12" i="6"/>
  <c r="Q12" i="6"/>
  <c r="R12" i="6"/>
  <c r="S12" i="6"/>
  <c r="W12" i="6"/>
  <c r="T12" i="6"/>
  <c r="U12" i="6"/>
  <c r="V12" i="6"/>
  <c r="P13" i="6"/>
  <c r="Q13" i="6"/>
  <c r="R13" i="6"/>
  <c r="S13" i="6"/>
  <c r="W13" i="6"/>
  <c r="T13" i="6"/>
  <c r="U13" i="6"/>
  <c r="V13" i="6"/>
  <c r="P14" i="6"/>
  <c r="Q14" i="6"/>
  <c r="R14" i="6"/>
  <c r="S14" i="6"/>
  <c r="W14" i="6"/>
  <c r="T14" i="6"/>
  <c r="X14" i="6"/>
  <c r="U14" i="6"/>
  <c r="V14" i="6"/>
  <c r="P15" i="6"/>
  <c r="Q15" i="6"/>
  <c r="R15" i="6"/>
  <c r="S15" i="6"/>
  <c r="W15" i="6"/>
  <c r="T15" i="6"/>
  <c r="X15" i="6"/>
  <c r="U15" i="6"/>
  <c r="V15" i="6"/>
  <c r="P16" i="6"/>
  <c r="Q16" i="6"/>
  <c r="R16" i="6"/>
  <c r="S16" i="6"/>
  <c r="W16" i="6"/>
  <c r="T16" i="6"/>
  <c r="X16" i="6"/>
  <c r="U16" i="6"/>
  <c r="V16" i="6"/>
  <c r="P17" i="6"/>
  <c r="Q17" i="6"/>
  <c r="R17" i="6"/>
  <c r="S17" i="6"/>
  <c r="W17" i="6"/>
  <c r="T17" i="6"/>
  <c r="X17" i="6"/>
  <c r="U17" i="6"/>
  <c r="V17" i="6"/>
  <c r="P18" i="6"/>
  <c r="Q18" i="6"/>
  <c r="R18" i="6"/>
  <c r="S18" i="6"/>
  <c r="W18" i="6"/>
  <c r="T18" i="6"/>
  <c r="X18" i="6"/>
  <c r="U18" i="6"/>
  <c r="V18" i="6"/>
  <c r="P19" i="6"/>
  <c r="Q19" i="6"/>
  <c r="R19" i="6"/>
  <c r="S19" i="6"/>
  <c r="W19" i="6"/>
  <c r="T19" i="6"/>
  <c r="X19" i="6"/>
  <c r="U19" i="6"/>
  <c r="V19" i="6"/>
  <c r="P20" i="6"/>
  <c r="Q20" i="6"/>
  <c r="R20" i="6"/>
  <c r="S20" i="6"/>
  <c r="W20" i="6"/>
  <c r="T20" i="6"/>
  <c r="X20" i="6"/>
  <c r="U20" i="6"/>
  <c r="V20" i="6"/>
  <c r="O14" i="6"/>
  <c r="O15" i="6"/>
  <c r="O16" i="6"/>
  <c r="O17" i="6"/>
  <c r="O18" i="6"/>
  <c r="O19" i="6"/>
  <c r="O20" i="6"/>
  <c r="K79" i="6"/>
  <c r="K80" i="6" s="1"/>
  <c r="F79" i="6"/>
  <c r="F80" i="6" s="1"/>
  <c r="I79" i="6"/>
  <c r="I80" i="6" s="1"/>
  <c r="L79" i="6"/>
  <c r="L80" i="6" s="1"/>
  <c r="L81" i="6" s="1"/>
  <c r="C81" i="6"/>
  <c r="D84" i="6"/>
  <c r="C85" i="6"/>
  <c r="I84" i="6"/>
  <c r="E84" i="6"/>
  <c r="L84" i="6"/>
  <c r="J214" i="6" l="1"/>
  <c r="I214" i="6"/>
  <c r="J182" i="6"/>
  <c r="J183" i="6"/>
  <c r="F182" i="6"/>
  <c r="F183" i="6"/>
  <c r="I182" i="6"/>
  <c r="I183" i="6"/>
  <c r="E182" i="6"/>
  <c r="E183" i="6"/>
  <c r="H182" i="6"/>
  <c r="H183" i="6"/>
  <c r="D182" i="6"/>
  <c r="D183" i="6"/>
  <c r="G182" i="6"/>
  <c r="G183" i="6"/>
  <c r="E65" i="6"/>
  <c r="E64" i="19"/>
  <c r="E65" i="19" s="1"/>
  <c r="E67" i="19" s="1"/>
  <c r="E75" i="19" s="1"/>
  <c r="C64" i="19"/>
  <c r="C65" i="19" s="1"/>
  <c r="C67" i="19" s="1"/>
  <c r="C72" i="19" s="1"/>
  <c r="F64" i="19"/>
  <c r="F65" i="19" s="1"/>
  <c r="F67" i="19" s="1"/>
  <c r="F80" i="19" s="1"/>
  <c r="C10" i="19"/>
  <c r="D80" i="19"/>
  <c r="D77" i="19"/>
  <c r="D74" i="19"/>
  <c r="D81" i="19"/>
  <c r="D78" i="19"/>
  <c r="D71" i="19"/>
  <c r="D73" i="19"/>
  <c r="D72" i="19"/>
  <c r="D76" i="19"/>
  <c r="D75" i="19"/>
  <c r="D79" i="19"/>
  <c r="L85" i="6"/>
  <c r="L86" i="6" s="1"/>
  <c r="Q128" i="6"/>
  <c r="AA128" i="6"/>
  <c r="R128" i="6"/>
  <c r="E68" i="7"/>
  <c r="J68" i="7" s="1"/>
  <c r="T150" i="6"/>
  <c r="D265" i="6"/>
  <c r="D68" i="7" s="1"/>
  <c r="C86" i="6"/>
  <c r="K85" i="6"/>
  <c r="K86" i="6" s="1"/>
  <c r="E85" i="6"/>
  <c r="E86" i="6" s="1"/>
  <c r="T132" i="6"/>
  <c r="T128" i="6"/>
  <c r="Z128" i="6"/>
  <c r="C163" i="6"/>
  <c r="H95" i="6"/>
  <c r="H113" i="6" s="1"/>
  <c r="X128" i="6"/>
  <c r="W128" i="6"/>
  <c r="D163" i="6"/>
  <c r="D81" i="6"/>
  <c r="U66" i="6"/>
  <c r="Q66" i="6"/>
  <c r="R66" i="6"/>
  <c r="Q62" i="6"/>
  <c r="L149" i="6"/>
  <c r="T62" i="6"/>
  <c r="R62" i="6"/>
  <c r="E69" i="6"/>
  <c r="E73" i="6"/>
  <c r="P47" i="6"/>
  <c r="L45" i="6"/>
  <c r="W62" i="6"/>
  <c r="O47" i="6"/>
  <c r="J268" i="6"/>
  <c r="C99" i="6"/>
  <c r="F85" i="6"/>
  <c r="F86" i="6" s="1"/>
  <c r="Q51" i="6"/>
  <c r="E67" i="6"/>
  <c r="C177" i="7"/>
  <c r="I177" i="7" s="1"/>
  <c r="I68" i="7"/>
  <c r="C95" i="6"/>
  <c r="J95" i="6"/>
  <c r="H99" i="6"/>
  <c r="G99" i="6"/>
  <c r="K99" i="6"/>
  <c r="J99" i="6"/>
  <c r="E70" i="6"/>
  <c r="E72" i="6"/>
  <c r="E66" i="6"/>
  <c r="E74" i="6"/>
  <c r="W66" i="6"/>
  <c r="S66" i="6"/>
  <c r="O66" i="6"/>
  <c r="S62" i="6"/>
  <c r="Q47" i="6"/>
  <c r="W131" i="6"/>
  <c r="T68" i="6"/>
  <c r="U68" i="6"/>
  <c r="W68" i="6"/>
  <c r="U62" i="6"/>
  <c r="W135" i="6"/>
  <c r="Q68" i="6"/>
  <c r="T66" i="6"/>
  <c r="J85" i="6"/>
  <c r="J86" i="6" s="1"/>
  <c r="D85" i="6"/>
  <c r="H85" i="6"/>
  <c r="H86" i="6" s="1"/>
  <c r="G85" i="6"/>
  <c r="G86" i="6" s="1"/>
  <c r="I85" i="6"/>
  <c r="I86" i="6" s="1"/>
  <c r="D99" i="6"/>
  <c r="K81" i="6"/>
  <c r="I95" i="6"/>
  <c r="E95" i="6"/>
  <c r="D95" i="6"/>
  <c r="G95" i="6"/>
  <c r="E99" i="6"/>
  <c r="F99" i="6"/>
  <c r="E71" i="6"/>
  <c r="E64" i="6"/>
  <c r="V66" i="6"/>
  <c r="P66" i="6"/>
  <c r="O68" i="6"/>
  <c r="O62" i="6"/>
  <c r="Q136" i="6"/>
  <c r="Q132" i="6"/>
  <c r="S68" i="6"/>
  <c r="V68" i="6"/>
  <c r="R68" i="6"/>
  <c r="P68" i="6"/>
  <c r="V62" i="6"/>
  <c r="T136" i="6"/>
  <c r="F95" i="6"/>
  <c r="F81" i="6"/>
  <c r="I99" i="6"/>
  <c r="K95" i="6"/>
  <c r="I81" i="6"/>
  <c r="U128" i="6"/>
  <c r="P62" i="6"/>
  <c r="L51" i="6"/>
  <c r="L47" i="6"/>
  <c r="L54" i="6"/>
  <c r="L50" i="6"/>
  <c r="L56" i="6"/>
  <c r="L53" i="6"/>
  <c r="L49" i="6"/>
  <c r="L46" i="6"/>
  <c r="L55" i="6"/>
  <c r="L52" i="6"/>
  <c r="L48" i="6"/>
  <c r="I268" i="6"/>
  <c r="E79" i="19" l="1"/>
  <c r="F79" i="19"/>
  <c r="F77" i="19"/>
  <c r="F76" i="19"/>
  <c r="F75" i="19"/>
  <c r="G75" i="19" s="1"/>
  <c r="F81" i="19"/>
  <c r="E70" i="19"/>
  <c r="E77" i="19"/>
  <c r="F78" i="19"/>
  <c r="E76" i="19"/>
  <c r="E80" i="19"/>
  <c r="G80" i="19" s="1"/>
  <c r="E71" i="19"/>
  <c r="E78" i="19"/>
  <c r="E74" i="19"/>
  <c r="E73" i="19"/>
  <c r="E81" i="19"/>
  <c r="E72" i="19"/>
  <c r="G72" i="19" s="1"/>
  <c r="C71" i="19"/>
  <c r="C70" i="19"/>
  <c r="C74" i="19"/>
  <c r="C73" i="19"/>
  <c r="D20" i="19"/>
  <c r="D21" i="19" s="1"/>
  <c r="C12" i="19"/>
  <c r="C20" i="19"/>
  <c r="C21" i="19" s="1"/>
  <c r="I20" i="19"/>
  <c r="I21" i="19" s="1"/>
  <c r="C36" i="19"/>
  <c r="J20" i="19"/>
  <c r="J21" i="19" s="1"/>
  <c r="E20" i="19"/>
  <c r="E21" i="19" s="1"/>
  <c r="H20" i="19"/>
  <c r="H21" i="19" s="1"/>
  <c r="F20" i="19"/>
  <c r="F21" i="19" s="1"/>
  <c r="G20" i="19"/>
  <c r="G21" i="19" s="1"/>
  <c r="D82" i="19"/>
  <c r="O53" i="6"/>
  <c r="P53" i="6"/>
  <c r="E105" i="7"/>
  <c r="J105" i="7" s="1"/>
  <c r="W69" i="6"/>
  <c r="D164" i="6"/>
  <c r="C164" i="6"/>
  <c r="I117" i="6"/>
  <c r="W132" i="6"/>
  <c r="G117" i="6"/>
  <c r="D117" i="6"/>
  <c r="T69" i="6"/>
  <c r="U69" i="6"/>
  <c r="J94" i="6"/>
  <c r="H117" i="6"/>
  <c r="F113" i="6"/>
  <c r="Q69" i="6"/>
  <c r="O69" i="6"/>
  <c r="F117" i="6"/>
  <c r="E113" i="6"/>
  <c r="S69" i="6"/>
  <c r="J117" i="6"/>
  <c r="J113" i="6"/>
  <c r="W136" i="6"/>
  <c r="G113" i="6"/>
  <c r="D113" i="6"/>
  <c r="K113" i="6"/>
  <c r="E117" i="6"/>
  <c r="I113" i="6"/>
  <c r="R69" i="6"/>
  <c r="K117" i="6"/>
  <c r="C113" i="6"/>
  <c r="C117" i="6"/>
  <c r="D100" i="6"/>
  <c r="K100" i="6"/>
  <c r="E100" i="6"/>
  <c r="I100" i="6"/>
  <c r="G94" i="6"/>
  <c r="H98" i="6"/>
  <c r="C100" i="6"/>
  <c r="C98" i="6"/>
  <c r="D94" i="6"/>
  <c r="H96" i="6"/>
  <c r="K94" i="6"/>
  <c r="H100" i="6"/>
  <c r="F98" i="6"/>
  <c r="D98" i="6"/>
  <c r="K98" i="6"/>
  <c r="P69" i="6"/>
  <c r="D86" i="6"/>
  <c r="J96" i="6"/>
  <c r="K96" i="6"/>
  <c r="G96" i="6"/>
  <c r="F96" i="6"/>
  <c r="E96" i="6"/>
  <c r="I94" i="6"/>
  <c r="I96" i="6"/>
  <c r="E94" i="6"/>
  <c r="F94" i="6"/>
  <c r="D96" i="6"/>
  <c r="C96" i="6"/>
  <c r="C94" i="6"/>
  <c r="H94" i="6"/>
  <c r="G100" i="6"/>
  <c r="G98" i="6"/>
  <c r="J100" i="6"/>
  <c r="F100" i="6"/>
  <c r="J98" i="6"/>
  <c r="E98" i="6"/>
  <c r="I98" i="6"/>
  <c r="U135" i="6"/>
  <c r="V69" i="6"/>
  <c r="V147" i="6"/>
  <c r="V149" i="6"/>
  <c r="V148" i="6"/>
  <c r="X45" i="6"/>
  <c r="C353" i="6" s="1"/>
  <c r="C21" i="7" s="1"/>
  <c r="L57" i="6"/>
  <c r="R131" i="6"/>
  <c r="X65" i="6"/>
  <c r="X49" i="6"/>
  <c r="U132" i="6"/>
  <c r="L95" i="6"/>
  <c r="X50" i="6"/>
  <c r="U131" i="6"/>
  <c r="L96" i="6"/>
  <c r="R132" i="6"/>
  <c r="L94" i="6"/>
  <c r="R135" i="6"/>
  <c r="L99" i="6"/>
  <c r="X46" i="6"/>
  <c r="L100" i="6"/>
  <c r="R136" i="6"/>
  <c r="X61" i="6"/>
  <c r="L98" i="6"/>
  <c r="U136" i="6"/>
  <c r="G70" i="19" l="1"/>
  <c r="G77" i="19"/>
  <c r="G79" i="19"/>
  <c r="G81" i="19"/>
  <c r="F82" i="19"/>
  <c r="G78" i="19"/>
  <c r="G73" i="19"/>
  <c r="G71" i="19"/>
  <c r="G74" i="19"/>
  <c r="G76" i="19"/>
  <c r="C82" i="19"/>
  <c r="E82" i="19"/>
  <c r="C34" i="19"/>
  <c r="C37" i="19" s="1"/>
  <c r="C38" i="19" s="1"/>
  <c r="C41" i="19" s="1"/>
  <c r="C42" i="19" s="1"/>
  <c r="D26" i="19"/>
  <c r="C26" i="19"/>
  <c r="E135" i="6"/>
  <c r="P54" i="6"/>
  <c r="O54" i="6"/>
  <c r="E177" i="7"/>
  <c r="L114" i="6"/>
  <c r="H112" i="6"/>
  <c r="K116" i="6"/>
  <c r="L118" i="6"/>
  <c r="Y65" i="6"/>
  <c r="G116" i="6"/>
  <c r="C114" i="6"/>
  <c r="I114" i="6"/>
  <c r="G114" i="6"/>
  <c r="F116" i="6"/>
  <c r="D112" i="6"/>
  <c r="G112" i="6"/>
  <c r="G130" i="6" s="1"/>
  <c r="D118" i="6"/>
  <c r="J112" i="6"/>
  <c r="L116" i="6"/>
  <c r="L134" i="6" s="1"/>
  <c r="L113" i="6"/>
  <c r="J116" i="6"/>
  <c r="G118" i="6"/>
  <c r="D114" i="6"/>
  <c r="I112" i="6"/>
  <c r="K114" i="6"/>
  <c r="H118" i="6"/>
  <c r="C116" i="6"/>
  <c r="I118" i="6"/>
  <c r="L117" i="6"/>
  <c r="F118" i="6"/>
  <c r="F112" i="6"/>
  <c r="F130" i="6" s="1"/>
  <c r="J114" i="6"/>
  <c r="K112" i="6"/>
  <c r="C118" i="6"/>
  <c r="E118" i="6"/>
  <c r="J118" i="6"/>
  <c r="C112" i="6"/>
  <c r="E112" i="6"/>
  <c r="E130" i="6" s="1"/>
  <c r="F114" i="6"/>
  <c r="D116" i="6"/>
  <c r="H114" i="6"/>
  <c r="H116" i="6"/>
  <c r="K118" i="6"/>
  <c r="D102" i="6"/>
  <c r="E102" i="6"/>
  <c r="J102" i="6"/>
  <c r="K102" i="6"/>
  <c r="V150" i="6"/>
  <c r="H102" i="6"/>
  <c r="F102" i="6"/>
  <c r="G102" i="6"/>
  <c r="C102" i="6"/>
  <c r="E114" i="6"/>
  <c r="E131" i="6"/>
  <c r="E116" i="6"/>
  <c r="I116" i="6"/>
  <c r="I102" i="6"/>
  <c r="X135" i="6"/>
  <c r="X132" i="6"/>
  <c r="X131" i="6"/>
  <c r="X62" i="6"/>
  <c r="Y45" i="6"/>
  <c r="X47" i="6"/>
  <c r="X68" i="6"/>
  <c r="Y61" i="6"/>
  <c r="L112" i="6"/>
  <c r="L102" i="6"/>
  <c r="X51" i="6"/>
  <c r="Y49" i="6"/>
  <c r="C352" i="6"/>
  <c r="X66" i="6"/>
  <c r="X136" i="6"/>
  <c r="J269" i="6"/>
  <c r="J270" i="6"/>
  <c r="I270" i="6"/>
  <c r="E181" i="6"/>
  <c r="D181" i="6"/>
  <c r="G181" i="6"/>
  <c r="I181" i="6"/>
  <c r="H181" i="6"/>
  <c r="J181" i="6"/>
  <c r="F181" i="6"/>
  <c r="I269" i="6"/>
  <c r="G82" i="19" l="1"/>
  <c r="Z135" i="6"/>
  <c r="C354" i="6"/>
  <c r="C130" i="6"/>
  <c r="J177" i="7"/>
  <c r="H120" i="6"/>
  <c r="AD137" i="6"/>
  <c r="AC133" i="6"/>
  <c r="C20" i="7"/>
  <c r="L131" i="6"/>
  <c r="J130" i="6"/>
  <c r="F134" i="6"/>
  <c r="G134" i="6"/>
  <c r="H130" i="6"/>
  <c r="G120" i="6"/>
  <c r="D215" i="6"/>
  <c r="L132" i="6"/>
  <c r="E120" i="6"/>
  <c r="J120" i="6"/>
  <c r="D134" i="6"/>
  <c r="K130" i="6"/>
  <c r="K120" i="6"/>
  <c r="J134" i="6"/>
  <c r="L136" i="6"/>
  <c r="D217" i="6" s="1"/>
  <c r="F120" i="6"/>
  <c r="L135" i="6"/>
  <c r="D216" i="6" s="1"/>
  <c r="Z131" i="6"/>
  <c r="D120" i="6"/>
  <c r="I130" i="6"/>
  <c r="Y66" i="6"/>
  <c r="Y68" i="6"/>
  <c r="F138" i="6"/>
  <c r="E132" i="6"/>
  <c r="C120" i="6"/>
  <c r="H134" i="6"/>
  <c r="E136" i="6"/>
  <c r="C134" i="6"/>
  <c r="D130" i="6"/>
  <c r="K134" i="6"/>
  <c r="D155" i="6"/>
  <c r="C104" i="6"/>
  <c r="E134" i="6"/>
  <c r="AC137" i="6"/>
  <c r="I134" i="6"/>
  <c r="I120" i="6"/>
  <c r="X69" i="6"/>
  <c r="Y62" i="6"/>
  <c r="AD133" i="6"/>
  <c r="L130" i="6"/>
  <c r="L120" i="6"/>
  <c r="Z45" i="6"/>
  <c r="J72" i="7"/>
  <c r="J71" i="7"/>
  <c r="I72" i="7"/>
  <c r="I71" i="7"/>
  <c r="AA136" i="6" l="1"/>
  <c r="AA135" i="6"/>
  <c r="E196" i="6"/>
  <c r="D213" i="6"/>
  <c r="J178" i="6"/>
  <c r="J194" i="6" s="1"/>
  <c r="J302" i="6" s="1"/>
  <c r="H178" i="6"/>
  <c r="Z132" i="6"/>
  <c r="J109" i="7"/>
  <c r="K138" i="6"/>
  <c r="C211" i="6"/>
  <c r="D212" i="6"/>
  <c r="I108" i="7"/>
  <c r="Z49" i="6"/>
  <c r="Z61" i="6"/>
  <c r="AA131" i="6"/>
  <c r="I109" i="7"/>
  <c r="Y69" i="6"/>
  <c r="AA132" i="6"/>
  <c r="C215" i="6"/>
  <c r="J138" i="6"/>
  <c r="J108" i="7"/>
  <c r="D138" i="6"/>
  <c r="Z65" i="6"/>
  <c r="H138" i="6"/>
  <c r="C138" i="6"/>
  <c r="I138" i="6"/>
  <c r="E138" i="6"/>
  <c r="E202" i="6"/>
  <c r="Z136" i="6"/>
  <c r="G138" i="6"/>
  <c r="I217" i="6"/>
  <c r="E178" i="6"/>
  <c r="J217" i="6"/>
  <c r="C283" i="6"/>
  <c r="D178" i="6"/>
  <c r="G178" i="6"/>
  <c r="F178" i="6"/>
  <c r="C178" i="6"/>
  <c r="C194" i="6" s="1"/>
  <c r="I178" i="6"/>
  <c r="C122" i="6"/>
  <c r="L138" i="6"/>
  <c r="D211" i="6"/>
  <c r="D228" i="6"/>
  <c r="J180" i="7" l="1"/>
  <c r="I181" i="7"/>
  <c r="I180" i="7"/>
  <c r="J181" i="7"/>
  <c r="J200" i="6"/>
  <c r="J303" i="6" s="1"/>
  <c r="J204" i="6"/>
  <c r="D224" i="6"/>
  <c r="AA137" i="6"/>
  <c r="E201" i="6"/>
  <c r="Z133" i="6"/>
  <c r="H204" i="6"/>
  <c r="H194" i="6"/>
  <c r="H302" i="6" s="1"/>
  <c r="H200" i="6"/>
  <c r="H303" i="6" s="1"/>
  <c r="C200" i="6"/>
  <c r="K303" i="6"/>
  <c r="F273" i="6"/>
  <c r="J273" i="6"/>
  <c r="C226" i="6"/>
  <c r="I273" i="6"/>
  <c r="AA133" i="6"/>
  <c r="D223" i="6"/>
  <c r="C222" i="6"/>
  <c r="Z66" i="6"/>
  <c r="Z62" i="6"/>
  <c r="D219" i="6"/>
  <c r="C204" i="6"/>
  <c r="Z68" i="6"/>
  <c r="C219" i="6"/>
  <c r="C139" i="6"/>
  <c r="Z137" i="6"/>
  <c r="L303" i="6"/>
  <c r="K302" i="6"/>
  <c r="D227" i="6"/>
  <c r="E195" i="6"/>
  <c r="D226" i="6"/>
  <c r="I194" i="6"/>
  <c r="G200" i="6"/>
  <c r="G204" i="6"/>
  <c r="G194" i="6"/>
  <c r="D200" i="6"/>
  <c r="D204" i="6"/>
  <c r="D194" i="6"/>
  <c r="I200" i="6"/>
  <c r="I204" i="6"/>
  <c r="F204" i="6"/>
  <c r="F200" i="6"/>
  <c r="F194" i="6"/>
  <c r="L302" i="6"/>
  <c r="D222" i="6"/>
  <c r="F269" i="6" l="1"/>
  <c r="F72" i="7" s="1"/>
  <c r="I75" i="7"/>
  <c r="J75" i="7"/>
  <c r="E303" i="6"/>
  <c r="F76" i="7"/>
  <c r="C303" i="6"/>
  <c r="D267" i="6"/>
  <c r="F268" i="6"/>
  <c r="D271" i="6"/>
  <c r="D230" i="6"/>
  <c r="H304" i="6"/>
  <c r="H308" i="6" s="1"/>
  <c r="C230" i="6"/>
  <c r="Z69" i="6"/>
  <c r="E302" i="6"/>
  <c r="E204" i="6"/>
  <c r="K304" i="6"/>
  <c r="K307" i="6" s="1"/>
  <c r="F272" i="6"/>
  <c r="C197" i="6"/>
  <c r="G302" i="6"/>
  <c r="G303" i="6"/>
  <c r="L304" i="6"/>
  <c r="I303" i="6"/>
  <c r="D303" i="6"/>
  <c r="I302" i="6"/>
  <c r="J304" i="6"/>
  <c r="F302" i="6"/>
  <c r="D197" i="6"/>
  <c r="F303" i="6"/>
  <c r="J112" i="7" l="1"/>
  <c r="I112" i="7"/>
  <c r="D70" i="7"/>
  <c r="D74" i="7"/>
  <c r="F75" i="7"/>
  <c r="F71" i="7"/>
  <c r="K308" i="6"/>
  <c r="H307" i="6"/>
  <c r="C233" i="6"/>
  <c r="J307" i="6"/>
  <c r="L307" i="6"/>
  <c r="E304" i="6"/>
  <c r="F304" i="6"/>
  <c r="I304" i="6"/>
  <c r="C312" i="6"/>
  <c r="L308" i="6"/>
  <c r="D250" i="6"/>
  <c r="D198" i="6"/>
  <c r="J308" i="6"/>
  <c r="G304" i="6"/>
  <c r="C198" i="6"/>
  <c r="C250" i="6"/>
  <c r="C53" i="7" l="1"/>
  <c r="G130" i="7"/>
  <c r="G129" i="7"/>
  <c r="D129" i="7"/>
  <c r="J184" i="7"/>
  <c r="I184" i="7"/>
  <c r="D130" i="7"/>
  <c r="D235" i="6"/>
  <c r="C249" i="6" s="1"/>
  <c r="C52" i="7" s="1"/>
  <c r="G308" i="6"/>
  <c r="E307" i="6"/>
  <c r="D234" i="6"/>
  <c r="E308" i="6"/>
  <c r="D251" i="6"/>
  <c r="D302" i="6"/>
  <c r="E317" i="6"/>
  <c r="D53" i="7"/>
  <c r="I308" i="6"/>
  <c r="I307" i="6"/>
  <c r="C251" i="6"/>
  <c r="C302" i="6"/>
  <c r="F308" i="6"/>
  <c r="G307" i="6"/>
  <c r="F307" i="6"/>
  <c r="E259" i="6" l="1"/>
  <c r="E62" i="7" s="1"/>
  <c r="G131" i="7"/>
  <c r="D135" i="7"/>
  <c r="D136" i="7"/>
  <c r="D131" i="7"/>
  <c r="E275" i="6"/>
  <c r="E272" i="6"/>
  <c r="I245" i="6"/>
  <c r="I48" i="7" s="1"/>
  <c r="C322" i="6"/>
  <c r="J255" i="6"/>
  <c r="J58" i="7" s="1"/>
  <c r="C271" i="6"/>
  <c r="F259" i="6"/>
  <c r="F62" i="7" s="1"/>
  <c r="H245" i="6"/>
  <c r="H48" i="7" s="1"/>
  <c r="I255" i="6"/>
  <c r="I58" i="7" s="1"/>
  <c r="E257" i="6"/>
  <c r="E269" i="6"/>
  <c r="E256" i="6"/>
  <c r="D249" i="6"/>
  <c r="E268" i="6"/>
  <c r="D259" i="6"/>
  <c r="D62" i="7" s="1"/>
  <c r="J259" i="6"/>
  <c r="J62" i="7" s="1"/>
  <c r="H255" i="6"/>
  <c r="H58" i="7" s="1"/>
  <c r="D255" i="6"/>
  <c r="D58" i="7" s="1"/>
  <c r="G259" i="6"/>
  <c r="G62" i="7" s="1"/>
  <c r="I259" i="6"/>
  <c r="I62" i="7" s="1"/>
  <c r="C259" i="6"/>
  <c r="C62" i="7" s="1"/>
  <c r="C255" i="6"/>
  <c r="C267" i="6"/>
  <c r="E246" i="6"/>
  <c r="C275" i="6"/>
  <c r="H259" i="6"/>
  <c r="H62" i="7" s="1"/>
  <c r="F255" i="6"/>
  <c r="F58" i="7" s="1"/>
  <c r="F245" i="6"/>
  <c r="J245" i="6"/>
  <c r="J48" i="7" s="1"/>
  <c r="G255" i="6"/>
  <c r="G58" i="7" s="1"/>
  <c r="E273" i="6"/>
  <c r="G245" i="6"/>
  <c r="E247" i="6"/>
  <c r="C54" i="7"/>
  <c r="D304" i="6"/>
  <c r="C311" i="6"/>
  <c r="C304" i="6"/>
  <c r="D54" i="7"/>
  <c r="K257" i="6" l="1"/>
  <c r="E75" i="7"/>
  <c r="D137" i="7"/>
  <c r="E78" i="7"/>
  <c r="E72" i="7"/>
  <c r="C78" i="7"/>
  <c r="K329" i="6"/>
  <c r="H328" i="6"/>
  <c r="D328" i="6"/>
  <c r="F329" i="6"/>
  <c r="H329" i="6"/>
  <c r="E76" i="7"/>
  <c r="G328" i="6"/>
  <c r="F328" i="6"/>
  <c r="C74" i="7"/>
  <c r="E328" i="6"/>
  <c r="K328" i="6"/>
  <c r="G48" i="7"/>
  <c r="C328" i="6"/>
  <c r="F48" i="7"/>
  <c r="K247" i="6"/>
  <c r="G329" i="6"/>
  <c r="C70" i="7"/>
  <c r="D52" i="7"/>
  <c r="D329" i="6"/>
  <c r="C58" i="7"/>
  <c r="E50" i="7"/>
  <c r="L328" i="6"/>
  <c r="E59" i="7"/>
  <c r="E60" i="7"/>
  <c r="E329" i="6"/>
  <c r="L329" i="6"/>
  <c r="C329" i="6"/>
  <c r="E71" i="7"/>
  <c r="E49" i="7"/>
  <c r="C313" i="6"/>
  <c r="E316" i="6"/>
  <c r="D308" i="6"/>
  <c r="D307" i="6"/>
  <c r="C308" i="6"/>
  <c r="C307" i="6"/>
  <c r="K60" i="7" l="1"/>
  <c r="J329" i="6"/>
  <c r="I329" i="6"/>
  <c r="G330" i="6"/>
  <c r="K330" i="6"/>
  <c r="D330" i="6"/>
  <c r="H330" i="6"/>
  <c r="F330" i="6"/>
  <c r="C330" i="6"/>
  <c r="L330" i="6"/>
  <c r="J328" i="6"/>
  <c r="I328" i="6"/>
  <c r="E330" i="6"/>
  <c r="K50" i="7"/>
  <c r="C316" i="6"/>
  <c r="L316" i="6"/>
  <c r="L317" i="6"/>
  <c r="C317" i="6"/>
  <c r="C333" i="6" l="1"/>
  <c r="J330" i="6"/>
  <c r="I330" i="6"/>
  <c r="C332" i="6"/>
  <c r="C324" i="6"/>
  <c r="C323" i="6"/>
  <c r="C334" i="6" l="1"/>
  <c r="L339" i="6"/>
  <c r="J339" i="6"/>
  <c r="G339" i="6"/>
  <c r="E339" i="6"/>
  <c r="K339" i="6"/>
  <c r="H339" i="6"/>
  <c r="I339" i="6"/>
  <c r="F339" i="6"/>
  <c r="C339" i="6"/>
  <c r="D339" i="6"/>
  <c r="I338" i="6"/>
  <c r="K338" i="6"/>
  <c r="C338" i="6"/>
  <c r="H338" i="6"/>
  <c r="G338" i="6"/>
  <c r="L338" i="6"/>
  <c r="D338" i="6"/>
  <c r="F338" i="6"/>
  <c r="J338" i="6"/>
  <c r="E338" i="6"/>
  <c r="K340" i="6" l="1"/>
  <c r="L340" i="6"/>
  <c r="E340" i="6"/>
  <c r="F340" i="6"/>
  <c r="C342" i="6"/>
  <c r="I340" i="6"/>
  <c r="G340" i="6"/>
  <c r="D340" i="6"/>
  <c r="H340" i="6"/>
  <c r="J340" i="6"/>
  <c r="C343" i="6"/>
  <c r="C340" i="6"/>
  <c r="C344" i="6" l="1"/>
  <c r="C346" i="6" l="1"/>
  <c r="F7" i="1" l="1"/>
  <c r="H7" i="1" s="1"/>
  <c r="F7" i="3"/>
  <c r="H7" i="3" s="1"/>
  <c r="F7" i="2"/>
  <c r="H7" i="2" s="1"/>
  <c r="E8" i="2"/>
  <c r="D8" i="3"/>
  <c r="C8" i="3"/>
  <c r="E46" i="2" l="1"/>
  <c r="C133" i="2" s="1"/>
  <c r="C125" i="2"/>
  <c r="E8" i="3"/>
  <c r="C8" i="2"/>
  <c r="C8" i="1"/>
  <c r="E8" i="1"/>
  <c r="D8" i="2"/>
  <c r="D8" i="1"/>
  <c r="D46" i="2" l="1"/>
  <c r="C97" i="2" s="1"/>
  <c r="C46" i="2"/>
  <c r="C62" i="2" s="1"/>
  <c r="E130" i="2"/>
  <c r="E128" i="2"/>
  <c r="F130" i="2"/>
  <c r="F126" i="2"/>
  <c r="E129" i="2"/>
  <c r="E127" i="2"/>
  <c r="F128" i="2"/>
  <c r="F127" i="2"/>
  <c r="F129" i="2"/>
  <c r="F125" i="2"/>
  <c r="E126" i="2"/>
  <c r="E131" i="2"/>
  <c r="C54" i="2"/>
  <c r="C30" i="2"/>
  <c r="E30" i="2"/>
  <c r="F54" i="2" l="1"/>
  <c r="E58" i="2"/>
  <c r="E60" i="2"/>
  <c r="E59" i="2"/>
  <c r="F55" i="2"/>
  <c r="F59" i="2"/>
  <c r="F57" i="2"/>
  <c r="F56" i="2"/>
  <c r="E55" i="2"/>
  <c r="E56" i="2"/>
  <c r="E57" i="2"/>
  <c r="F58" i="2"/>
  <c r="C89" i="2"/>
  <c r="D30" i="2"/>
  <c r="F94" i="2" l="1"/>
  <c r="E91" i="2"/>
  <c r="F90" i="2"/>
  <c r="F89" i="2"/>
  <c r="F91" i="2"/>
  <c r="E95" i="2"/>
  <c r="E93" i="2"/>
  <c r="E94" i="2"/>
  <c r="E92" i="2"/>
  <c r="F92" i="2"/>
  <c r="E90" i="2"/>
  <c r="F93" i="2"/>
  <c r="C25" i="7" l="1"/>
  <c r="C24" i="7" l="1"/>
  <c r="D24" i="7"/>
  <c r="D25" i="7"/>
  <c r="C26" i="7" l="1"/>
  <c r="E8" i="7" s="1"/>
  <c r="D26" i="7"/>
  <c r="E25" i="7" l="1"/>
  <c r="C30" i="7" s="1"/>
  <c r="E10" i="7"/>
  <c r="E24" i="7"/>
  <c r="C29" i="7" s="1"/>
  <c r="E26" i="7" l="1"/>
  <c r="C204" i="7"/>
  <c r="C142" i="7"/>
  <c r="C141" i="7"/>
  <c r="C203" i="7"/>
  <c r="C37" i="7" l="1"/>
  <c r="C32" i="7"/>
  <c r="C93" i="7" s="1"/>
  <c r="C143" i="7"/>
  <c r="C205" i="7"/>
  <c r="H96" i="7" l="1"/>
  <c r="H122" i="7" s="1"/>
  <c r="F96" i="7"/>
  <c r="E98" i="7"/>
  <c r="C36" i="7"/>
  <c r="H89" i="7"/>
  <c r="E109" i="7"/>
  <c r="F89" i="7"/>
  <c r="C94" i="7"/>
  <c r="I96" i="7"/>
  <c r="J96" i="7" s="1"/>
  <c r="J122" i="7" s="1"/>
  <c r="E97" i="7"/>
  <c r="I89" i="7"/>
  <c r="J89" i="7" s="1"/>
  <c r="J121" i="7" s="1"/>
  <c r="E91" i="7"/>
  <c r="D96" i="7"/>
  <c r="D122" i="7" s="1"/>
  <c r="E108" i="7"/>
  <c r="G96" i="7"/>
  <c r="G122" i="7" s="1"/>
  <c r="E112" i="7"/>
  <c r="E90" i="7"/>
  <c r="G89" i="7"/>
  <c r="C111" i="7"/>
  <c r="D93" i="7"/>
  <c r="E113" i="7"/>
  <c r="C96" i="7"/>
  <c r="D94" i="7"/>
  <c r="C107" i="7"/>
  <c r="C129" i="7" s="1"/>
  <c r="H121" i="7" l="1"/>
  <c r="H123" i="7" s="1"/>
  <c r="I122" i="7"/>
  <c r="F122" i="7"/>
  <c r="C121" i="7"/>
  <c r="F129" i="7"/>
  <c r="C122" i="7"/>
  <c r="E122" i="7"/>
  <c r="E121" i="7"/>
  <c r="C130" i="7"/>
  <c r="I121" i="7"/>
  <c r="F121" i="7"/>
  <c r="G121" i="7"/>
  <c r="C38" i="7"/>
  <c r="F130" i="7"/>
  <c r="D121" i="7"/>
  <c r="J123" i="7"/>
  <c r="G123" i="7" l="1"/>
  <c r="C123" i="7"/>
  <c r="C131" i="7"/>
  <c r="C136" i="7"/>
  <c r="E136" i="7" s="1"/>
  <c r="C147" i="7" s="1"/>
  <c r="E123" i="7"/>
  <c r="F123" i="7"/>
  <c r="F131" i="7"/>
  <c r="I123" i="7"/>
  <c r="C135" i="7"/>
  <c r="D123" i="7"/>
  <c r="E147" i="7" l="1"/>
  <c r="G168" i="7" s="1"/>
  <c r="E135" i="7"/>
  <c r="C137" i="7"/>
  <c r="F168" i="7" l="1"/>
  <c r="C183" i="7"/>
  <c r="E184" i="7"/>
  <c r="I168" i="7"/>
  <c r="H168" i="7"/>
  <c r="C168" i="7"/>
  <c r="E170" i="7"/>
  <c r="E169" i="7"/>
  <c r="J168" i="7"/>
  <c r="E185" i="7"/>
  <c r="D168" i="7"/>
  <c r="E137" i="7"/>
  <c r="C146" i="7"/>
  <c r="E146" i="7" s="1"/>
  <c r="G194" i="7"/>
  <c r="I161" i="7" l="1"/>
  <c r="C165" i="7"/>
  <c r="F194" i="7"/>
  <c r="I194" i="7"/>
  <c r="H194" i="7"/>
  <c r="C194" i="7"/>
  <c r="J194" i="7"/>
  <c r="L194" i="7"/>
  <c r="K194" i="7"/>
  <c r="C148" i="7"/>
  <c r="E194" i="7"/>
  <c r="D194" i="7"/>
  <c r="F161" i="7"/>
  <c r="E162" i="7"/>
  <c r="C179" i="7"/>
  <c r="J161" i="7"/>
  <c r="G161" i="7"/>
  <c r="E180" i="7"/>
  <c r="D166" i="7"/>
  <c r="D165" i="7"/>
  <c r="E163" i="7"/>
  <c r="C166" i="7"/>
  <c r="E181" i="7"/>
  <c r="H161" i="7"/>
  <c r="I193" i="7" l="1"/>
  <c r="F193" i="7"/>
  <c r="J193" i="7"/>
  <c r="G193" i="7"/>
  <c r="L193" i="7"/>
  <c r="C198" i="7"/>
  <c r="C209" i="7" s="1"/>
  <c r="D193" i="7"/>
  <c r="K193" i="7"/>
  <c r="C193" i="7"/>
  <c r="E193" i="7"/>
  <c r="H193" i="7"/>
  <c r="I195" i="7" l="1"/>
  <c r="E195" i="7"/>
  <c r="D195" i="7"/>
  <c r="C195" i="7"/>
  <c r="F195" i="7"/>
  <c r="L195" i="7"/>
  <c r="J195" i="7"/>
  <c r="G195" i="7"/>
  <c r="C197" i="7"/>
  <c r="K195" i="7"/>
  <c r="H195" i="7"/>
  <c r="E209" i="7"/>
  <c r="C199" i="7" l="1"/>
  <c r="C208" i="7"/>
  <c r="E208" i="7" s="1"/>
  <c r="C210" i="7" l="1"/>
  <c r="E210" i="7" s="1"/>
  <c r="D6" i="3" l="1"/>
  <c r="D6" i="1"/>
  <c r="D6" i="2"/>
  <c r="D7" i="3"/>
  <c r="D30" i="3" s="1"/>
  <c r="D7" i="1"/>
  <c r="D32" i="1" s="1"/>
  <c r="D7" i="2"/>
  <c r="D45" i="2" s="1"/>
  <c r="C96" i="2" s="1"/>
  <c r="C78" i="1" l="1"/>
  <c r="F78" i="1" s="1"/>
  <c r="L78" i="1" s="1"/>
  <c r="D27" i="2"/>
  <c r="D35" i="2" s="1"/>
  <c r="F98" i="2"/>
  <c r="E98" i="2"/>
  <c r="D99" i="2"/>
  <c r="D38" i="3"/>
  <c r="C83" i="3" s="1"/>
  <c r="C76" i="3"/>
  <c r="D21" i="1"/>
  <c r="D22" i="1"/>
  <c r="D24" i="1" s="1"/>
  <c r="D27" i="1" s="1"/>
  <c r="E6" i="3"/>
  <c r="E6" i="1"/>
  <c r="E6" i="2"/>
  <c r="E7" i="3"/>
  <c r="E30" i="3" s="1"/>
  <c r="E7" i="1"/>
  <c r="E32" i="1" s="1"/>
  <c r="E7" i="2"/>
  <c r="E45" i="2" s="1"/>
  <c r="C132" i="2" s="1"/>
  <c r="D21" i="3"/>
  <c r="D22" i="3"/>
  <c r="C106" i="1"/>
  <c r="C7" i="1" l="1"/>
  <c r="D79" i="1"/>
  <c r="E27" i="2"/>
  <c r="E35" i="2" s="1"/>
  <c r="E134" i="2"/>
  <c r="D135" i="2"/>
  <c r="F134" i="2"/>
  <c r="C7" i="3"/>
  <c r="C7" i="2"/>
  <c r="D24" i="3"/>
  <c r="D25" i="3" s="1"/>
  <c r="D39" i="3"/>
  <c r="C109" i="3"/>
  <c r="E38" i="3"/>
  <c r="C116" i="3" s="1"/>
  <c r="E22" i="1"/>
  <c r="E24" i="1" s="1"/>
  <c r="E27" i="1" s="1"/>
  <c r="E21" i="1"/>
  <c r="E79" i="3"/>
  <c r="E81" i="3"/>
  <c r="E78" i="3"/>
  <c r="F79" i="3"/>
  <c r="F81" i="3"/>
  <c r="E77" i="3"/>
  <c r="E80" i="3"/>
  <c r="E82" i="3"/>
  <c r="F77" i="3"/>
  <c r="F76" i="3"/>
  <c r="F80" i="3"/>
  <c r="F78" i="3"/>
  <c r="D83" i="3"/>
  <c r="F82" i="3"/>
  <c r="D33" i="2"/>
  <c r="E21" i="3"/>
  <c r="E22" i="3"/>
  <c r="D107" i="1"/>
  <c r="F106" i="1"/>
  <c r="L106" i="1" s="1"/>
  <c r="O78" i="1"/>
  <c r="M77" i="1" s="1"/>
  <c r="C6" i="1" l="1"/>
  <c r="C21" i="1" s="1"/>
  <c r="C6" i="2"/>
  <c r="U48" i="2" s="1"/>
  <c r="U49" i="2" s="1"/>
  <c r="C6" i="3"/>
  <c r="C22" i="3" s="1"/>
  <c r="C45" i="2"/>
  <c r="C61" i="2" s="1"/>
  <c r="D64" i="2" s="1"/>
  <c r="F60" i="2"/>
  <c r="F110" i="3"/>
  <c r="E111" i="3"/>
  <c r="D116" i="3"/>
  <c r="F109" i="3"/>
  <c r="E115" i="3"/>
  <c r="F113" i="3"/>
  <c r="F114" i="3"/>
  <c r="E112" i="3"/>
  <c r="E113" i="3"/>
  <c r="F115" i="3"/>
  <c r="E110" i="3"/>
  <c r="F111" i="3"/>
  <c r="E114" i="3"/>
  <c r="F112" i="3"/>
  <c r="C30" i="3"/>
  <c r="E24" i="3"/>
  <c r="E25" i="3" s="1"/>
  <c r="E39" i="3"/>
  <c r="E33" i="2"/>
  <c r="C32" i="1"/>
  <c r="C22" i="1"/>
  <c r="C24" i="1" s="1"/>
  <c r="C27" i="1" s="1"/>
  <c r="O77" i="1"/>
  <c r="D25" i="1"/>
  <c r="O105" i="1"/>
  <c r="E25" i="1"/>
  <c r="C51" i="1"/>
  <c r="O106" i="1"/>
  <c r="M105" i="1" s="1"/>
  <c r="C21" i="3" l="1"/>
  <c r="C27" i="2"/>
  <c r="C35" i="2" s="1"/>
  <c r="E63" i="2"/>
  <c r="F63" i="2"/>
  <c r="C24" i="3"/>
  <c r="C25" i="3" s="1"/>
  <c r="C44" i="3"/>
  <c r="C38" i="3"/>
  <c r="C51" i="3" s="1"/>
  <c r="D52" i="1"/>
  <c r="F51" i="1"/>
  <c r="L51" i="1" s="1"/>
  <c r="D32" i="2"/>
  <c r="R77" i="1"/>
  <c r="P79" i="1"/>
  <c r="M78" i="1" s="1"/>
  <c r="R78" i="1"/>
  <c r="Q78" i="1"/>
  <c r="M76" i="1"/>
  <c r="Q106" i="1"/>
  <c r="R106" i="1"/>
  <c r="P107" i="1"/>
  <c r="M106" i="1" s="1"/>
  <c r="R105" i="1"/>
  <c r="M104" i="1"/>
  <c r="E40" i="1"/>
  <c r="E41" i="1" s="1"/>
  <c r="E42" i="1" s="1"/>
  <c r="E26" i="1"/>
  <c r="E32" i="2"/>
  <c r="D26" i="1"/>
  <c r="D40" i="1"/>
  <c r="D41" i="1" s="1"/>
  <c r="D42" i="1" s="1"/>
  <c r="C33" i="2" l="1"/>
  <c r="E47" i="3"/>
  <c r="F49" i="3"/>
  <c r="E49" i="3"/>
  <c r="E45" i="3"/>
  <c r="E46" i="3"/>
  <c r="E48" i="3"/>
  <c r="F50" i="3"/>
  <c r="F45" i="3"/>
  <c r="D51" i="3"/>
  <c r="F44" i="3"/>
  <c r="E50" i="3"/>
  <c r="F48" i="3"/>
  <c r="F47" i="3"/>
  <c r="F46" i="3"/>
  <c r="C39" i="3"/>
  <c r="D48" i="2"/>
  <c r="D49" i="2" s="1"/>
  <c r="O51" i="1"/>
  <c r="M50" i="1" s="1"/>
  <c r="E48" i="2"/>
  <c r="E49" i="2" s="1"/>
  <c r="C25" i="1" l="1"/>
  <c r="O50" i="1"/>
  <c r="C99" i="2"/>
  <c r="F133" i="2"/>
  <c r="E133" i="2"/>
  <c r="E132" i="2"/>
  <c r="F132" i="2"/>
  <c r="F131" i="2"/>
  <c r="M135" i="2"/>
  <c r="C135" i="2"/>
  <c r="F97" i="2"/>
  <c r="M99" i="2"/>
  <c r="F96" i="2"/>
  <c r="F95" i="2"/>
  <c r="E97" i="2"/>
  <c r="E96" i="2"/>
  <c r="R51" i="1" l="1"/>
  <c r="Q51" i="1"/>
  <c r="R50" i="1"/>
  <c r="M49" i="1"/>
  <c r="P52" i="1"/>
  <c r="M51" i="1" s="1"/>
  <c r="C32" i="2"/>
  <c r="C26" i="1"/>
  <c r="C40" i="1"/>
  <c r="C41" i="1" s="1"/>
  <c r="C42" i="1" s="1"/>
  <c r="C48" i="2" l="1"/>
  <c r="C49" i="2" s="1"/>
  <c r="C64" i="2" l="1"/>
  <c r="E62" i="2"/>
  <c r="M64" i="2"/>
  <c r="E61" i="2"/>
  <c r="F62" i="2"/>
  <c r="F6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Fee, George</author>
  </authors>
  <commentList>
    <comment ref="D130" authorId="0" shapeId="0" xr:uid="{00000000-0006-0000-0400-000001000000}">
      <text>
        <r>
          <rPr>
            <b/>
            <sz val="9"/>
            <color indexed="81"/>
            <rFont val="Tahoma"/>
            <family val="2"/>
          </rPr>
          <t>Fee, George:</t>
        </r>
        <r>
          <rPr>
            <sz val="9"/>
            <color indexed="81"/>
            <rFont val="Tahoma"/>
            <family val="2"/>
          </rPr>
          <t xml:space="preserve">
Provide by BPU at conclusion of annual BRA (Base Residual Auction)
</t>
        </r>
      </text>
    </comment>
    <comment ref="B138" authorId="0" shapeId="0" xr:uid="{00000000-0006-0000-0400-000002000000}">
      <text>
        <r>
          <rPr>
            <b/>
            <sz val="9"/>
            <color indexed="81"/>
            <rFont val="Tahoma"/>
            <family val="2"/>
          </rPr>
          <t>Fee, George:</t>
        </r>
        <r>
          <rPr>
            <sz val="9"/>
            <color indexed="81"/>
            <rFont val="Tahoma"/>
            <family val="2"/>
          </rPr>
          <t xml:space="preserve">
Only use "No" if analyzing estimated markup percentages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Fee, George</author>
    <author>McFadden, Michael</author>
  </authors>
  <commentList>
    <comment ref="C16" authorId="0" shapeId="0" xr:uid="{00000000-0006-0000-0A00-000001000000}">
      <text>
        <r>
          <rPr>
            <b/>
            <sz val="9"/>
            <color indexed="81"/>
            <rFont val="Tahoma"/>
            <family val="2"/>
          </rPr>
          <t>Fee, George:</t>
        </r>
        <r>
          <rPr>
            <sz val="9"/>
            <color indexed="81"/>
            <rFont val="Tahoma"/>
            <family val="2"/>
          </rPr>
          <t xml:space="preserve">
All input cells on this page use data from the current February Auction BGS file not projections for the next auction.</t>
        </r>
      </text>
    </comment>
    <comment ref="C89" authorId="1" shapeId="0" xr:uid="{00000000-0006-0000-0A00-000002000000}">
      <text>
        <r>
          <rPr>
            <b/>
            <sz val="8"/>
            <color indexed="81"/>
            <rFont val="Tahoma"/>
            <family val="2"/>
          </rPr>
          <t>McFadden, Michael:</t>
        </r>
        <r>
          <rPr>
            <sz val="8"/>
            <color indexed="81"/>
            <rFont val="Tahoma"/>
            <family val="2"/>
          </rPr>
          <t xml:space="preserve">
3 year average Marginal Loss Deration Factor from NERA, rounded to 6 decimal places from the "Marginal Losses" Tab of workpaper "</t>
        </r>
      </text>
    </comment>
  </commentList>
</comments>
</file>

<file path=xl/sharedStrings.xml><?xml version="1.0" encoding="utf-8"?>
<sst xmlns="http://schemas.openxmlformats.org/spreadsheetml/2006/main" count="1822" uniqueCount="651">
  <si>
    <t>RS</t>
  </si>
  <si>
    <t>RHS</t>
  </si>
  <si>
    <t>RLM</t>
  </si>
  <si>
    <t>WH</t>
  </si>
  <si>
    <t>WHS</t>
  </si>
  <si>
    <t>GLP</t>
  </si>
  <si>
    <t>HS</t>
  </si>
  <si>
    <t>January</t>
  </si>
  <si>
    <t>February</t>
  </si>
  <si>
    <t>March</t>
  </si>
  <si>
    <t>April</t>
  </si>
  <si>
    <t>May</t>
  </si>
  <si>
    <t>June</t>
  </si>
  <si>
    <t>July</t>
  </si>
  <si>
    <t>August</t>
  </si>
  <si>
    <t>September</t>
  </si>
  <si>
    <t>October</t>
  </si>
  <si>
    <t>November</t>
  </si>
  <si>
    <t>December</t>
  </si>
  <si>
    <t>Total</t>
  </si>
  <si>
    <t>On-Peak</t>
  </si>
  <si>
    <t>Off-Peak</t>
  </si>
  <si>
    <t>Annual</t>
  </si>
  <si>
    <t>Summer - all hrs</t>
  </si>
  <si>
    <t>Winter - all hrs</t>
  </si>
  <si>
    <t>Gen Obl - MW</t>
  </si>
  <si>
    <t>Trans Obl - MW</t>
  </si>
  <si>
    <t>Assumptions:</t>
  </si>
  <si>
    <t>Gen Cost</t>
  </si>
  <si>
    <t>Trans cost</t>
  </si>
  <si>
    <t>per MW-yr</t>
  </si>
  <si>
    <t>PLUS:</t>
  </si>
  <si>
    <t>DEMAND RATES</t>
  </si>
  <si>
    <t>Usage patterns =</t>
  </si>
  <si>
    <t>Gen Cost =</t>
  </si>
  <si>
    <t>Trans cost =</t>
  </si>
  <si>
    <t>LPL-S</t>
  </si>
  <si>
    <t>PSAL</t>
  </si>
  <si>
    <t>BPL</t>
  </si>
  <si>
    <t>Forwards Prices - Energy Only @ bulk system</t>
  </si>
  <si>
    <t>in $/MWh</t>
  </si>
  <si>
    <t>NON-DEMAND RATES</t>
  </si>
  <si>
    <t>Losses</t>
  </si>
  <si>
    <t xml:space="preserve"> -- Other Analysis --</t>
  </si>
  <si>
    <t>per MWh at customer (per customer metered MWh)</t>
  </si>
  <si>
    <t>Obligations =</t>
  </si>
  <si>
    <t>Losses =</t>
  </si>
  <si>
    <t>summer</t>
  </si>
  <si>
    <t>winter</t>
  </si>
  <si>
    <t>all months</t>
  </si>
  <si>
    <t>Profile Meter Data</t>
  </si>
  <si>
    <t>per kW of G obl /month</t>
  </si>
  <si>
    <t>per kW of T obl /month</t>
  </si>
  <si>
    <t>Summer</t>
  </si>
  <si>
    <t>Winter</t>
  </si>
  <si>
    <t>Total Costs - in $1000</t>
  </si>
  <si>
    <t>% of Annual Total $</t>
  </si>
  <si>
    <t>% of Annual Total $ by Rate</t>
  </si>
  <si>
    <t>Total Costs by Rate - in $1000</t>
  </si>
  <si>
    <t>Grand Total Cost in $1000 =</t>
  </si>
  <si>
    <t>On-Peak periods defined as the 16 hr PJM Trading period, adj for NERC holidays</t>
  </si>
  <si>
    <t>winter MWh =</t>
  </si>
  <si>
    <t>summer MWh =</t>
  </si>
  <si>
    <t>PJM Time Periods =</t>
  </si>
  <si>
    <t>Table #1</t>
  </si>
  <si>
    <t>Table #2</t>
  </si>
  <si>
    <t>Table #5</t>
  </si>
  <si>
    <t>Table #6</t>
  </si>
  <si>
    <t>Table #7</t>
  </si>
  <si>
    <t>Table #8</t>
  </si>
  <si>
    <t>Table #9</t>
  </si>
  <si>
    <t>Table #10</t>
  </si>
  <si>
    <t>Table #11</t>
  </si>
  <si>
    <t>Table #13</t>
  </si>
  <si>
    <t>Table #12</t>
  </si>
  <si>
    <t>Table #3</t>
  </si>
  <si>
    <t>Table #4</t>
  </si>
  <si>
    <t>in MW</t>
  </si>
  <si>
    <t>in MWh</t>
  </si>
  <si>
    <t>N/A</t>
  </si>
  <si>
    <t>PJM on pk</t>
  </si>
  <si>
    <t>PJM off pk</t>
  </si>
  <si>
    <t>in $1000</t>
  </si>
  <si>
    <t>System Total</t>
  </si>
  <si>
    <t>PSE&amp;G On pk</t>
  </si>
  <si>
    <t>PSE&amp;G Off pk</t>
  </si>
  <si>
    <t>Annual Average</t>
  </si>
  <si>
    <t>System Average</t>
  </si>
  <si>
    <t>includes energy, G&amp;T obligations, and Ancillary Services - adjusted to billing time periods</t>
  </si>
  <si>
    <t>includes energy and Ancillary Services, G&amp;T obligations charged separately - adjusted to billing time periods</t>
  </si>
  <si>
    <t>PSE&amp;G Billing time periods =</t>
  </si>
  <si>
    <t>Adjusted to Billing Time Periods</t>
  </si>
  <si>
    <t>Table #14</t>
  </si>
  <si>
    <t>Table #15</t>
  </si>
  <si>
    <t xml:space="preserve"> PJM trading time periods - 7 AM to 11 PM weekdays, local time, x NERC </t>
  </si>
  <si>
    <t xml:space="preserve"> as per specific rate schedule</t>
  </si>
  <si>
    <t xml:space="preserve">   --- Other Analysis ---</t>
  </si>
  <si>
    <t xml:space="preserve">     holidays - New Year's, Memorial, 4th of July, Labor Day, Thanksgiving &amp; Christmas</t>
  </si>
  <si>
    <t>$/MW/day</t>
  </si>
  <si>
    <t>per kW/yr</t>
  </si>
  <si>
    <t xml:space="preserve">Resulting average generation capacity cost = </t>
  </si>
  <si>
    <t>Transmission Cost</t>
  </si>
  <si>
    <t>Generation Capacity cost</t>
  </si>
  <si>
    <t># of summer days =</t>
  </si>
  <si>
    <t># of winter days =</t>
  </si>
  <si>
    <t># of summer months =</t>
  </si>
  <si>
    <t># of winter months =</t>
  </si>
  <si>
    <t>annual  &gt;&gt;</t>
  </si>
  <si>
    <t>ALL RATES</t>
  </si>
  <si>
    <t>Annual - including T&amp;G Obl $</t>
  </si>
  <si>
    <t># of Months and Days used in this analysis</t>
  </si>
  <si>
    <t>total # months =</t>
  </si>
  <si>
    <t>Annual -all hrs</t>
  </si>
  <si>
    <t>Annual - all hrs</t>
  </si>
  <si>
    <t>Annual - all hrs per MWh only</t>
  </si>
  <si>
    <t>Analysis time period =</t>
  </si>
  <si>
    <t>summer months</t>
  </si>
  <si>
    <t>winter months</t>
  </si>
  <si>
    <t>Transmission Obl - all months</t>
  </si>
  <si>
    <t>Including T&amp;G Obligation $</t>
  </si>
  <si>
    <t>on-peak</t>
  </si>
  <si>
    <t>off-peak</t>
  </si>
  <si>
    <t>Note: Obligation $ included in On pk costs</t>
  </si>
  <si>
    <t>Multiplier</t>
  </si>
  <si>
    <t>Total Rate Revenue - in $1000</t>
  </si>
  <si>
    <t>Total Supplier Payment - in $1000</t>
  </si>
  <si>
    <t>Assumed Winning Bid Price =</t>
  </si>
  <si>
    <t>Payment Ratio - Winter =</t>
  </si>
  <si>
    <t>Payment Ratio - Summer =</t>
  </si>
  <si>
    <t>Table #16</t>
  </si>
  <si>
    <t>% Usage During PJM On-Peak Period</t>
  </si>
  <si>
    <t>% Usage During PSE&amp;G On-Peak Billing Period</t>
  </si>
  <si>
    <t>Class Usage @ customer</t>
  </si>
  <si>
    <t>Summary of Average BGS Energy Only Costs @ customer - PJM Time Periods</t>
  </si>
  <si>
    <t>Summary of Average BGS Energy Only Unit Costs @ customer - PSE&amp;G Time Periods</t>
  </si>
  <si>
    <t>Summary of BGS Unit Costs @ customer</t>
  </si>
  <si>
    <t>Summary of Total BGS Costs by Season</t>
  </si>
  <si>
    <t>Ratio to All-In Cost &gt;&gt;&gt;</t>
  </si>
  <si>
    <t>Energy Costs =</t>
  </si>
  <si>
    <t>Summary of Average BGS Energy Only Unit Costs @ customer - PJM Time Periods</t>
  </si>
  <si>
    <t>Summary of Obligation Costs Expressed as $/MWh @ customer (for non-demand rates only)</t>
  </si>
  <si>
    <t>All-In Average cost @ customer =</t>
  </si>
  <si>
    <t>per MWh</t>
  </si>
  <si>
    <t>per MWh @  bulk system</t>
  </si>
  <si>
    <t>MWhs in PJM time periods</t>
  </si>
  <si>
    <t>MWhs in PSE&amp;G time periods</t>
  </si>
  <si>
    <t>Difference in MWhs</t>
  </si>
  <si>
    <t>(PJM - PSE&amp;G)</t>
  </si>
  <si>
    <t>Check on total $ recovered</t>
  </si>
  <si>
    <t>PSE&amp;G time periods</t>
  </si>
  <si>
    <t>PJM time periods (Table #8)</t>
  </si>
  <si>
    <t>summer =</t>
  </si>
  <si>
    <t>winter =</t>
  </si>
  <si>
    <t xml:space="preserve">Generation Obl -                </t>
  </si>
  <si>
    <t>per annual MWh</t>
  </si>
  <si>
    <t>recovery per summer MWh</t>
  </si>
  <si>
    <t>recovery per winter MWh</t>
  </si>
  <si>
    <t xml:space="preserve">For RLM, per </t>
  </si>
  <si>
    <t>on-peak kWh only</t>
  </si>
  <si>
    <t>Generation &amp; Transmission Obligations and Costs and Other Adjustments</t>
  </si>
  <si>
    <t>Block 2 (&gt;600 kWh/m)</t>
  </si>
  <si>
    <t>Block 1 (0-600 kWh/m)</t>
  </si>
  <si>
    <t>¢/kWh</t>
  </si>
  <si>
    <t>Block 1</t>
  </si>
  <si>
    <t>Block 2</t>
  </si>
  <si>
    <t>All usage Multiplier</t>
  </si>
  <si>
    <t>for Block 1 (0-600 kWh/m) usage</t>
  </si>
  <si>
    <t>for Block 2 (&gt;600 kWh/m) usage</t>
  </si>
  <si>
    <t>Use weighted average</t>
  </si>
  <si>
    <t>for all streetlighting =</t>
  </si>
  <si>
    <t>Total Summer</t>
  </si>
  <si>
    <t>Total Winter</t>
  </si>
  <si>
    <t>Grand Total</t>
  </si>
  <si>
    <t>Constant (in $/MWh)</t>
  </si>
  <si>
    <t>% usage during Off-Peak period</t>
  </si>
  <si>
    <t xml:space="preserve"> based on Forwards @ PJM West - corrected for congestion</t>
  </si>
  <si>
    <t>LMP ratio</t>
  </si>
  <si>
    <t>Resulting</t>
  </si>
  <si>
    <t>Off/On Pk</t>
  </si>
  <si>
    <t>Zone to Western Hub Basis Differential</t>
  </si>
  <si>
    <t>year round =</t>
  </si>
  <si>
    <t xml:space="preserve">/MW day </t>
  </si>
  <si>
    <t>Difference ( in $1000) =</t>
  </si>
  <si>
    <t>rounded to 4 decimal places</t>
  </si>
  <si>
    <t>Note: Minor differences in totals are due to rounding of Bid Factors and Payment Factors</t>
  </si>
  <si>
    <t>Required summer inversion =</t>
  </si>
  <si>
    <t>Block 2  (&gt;600 kWh/m)</t>
  </si>
  <si>
    <t>% usage in Summer Blocks</t>
  </si>
  <si>
    <t>(same as 2003/2004 BGS blocking inversion)</t>
  </si>
  <si>
    <t>Usage by season - PSE&amp;G periods</t>
  </si>
  <si>
    <t>Usage by season/period - PJM periods</t>
  </si>
  <si>
    <t>in MWhs</t>
  </si>
  <si>
    <t>Total on-peak</t>
  </si>
  <si>
    <t>Total off-peak</t>
  </si>
  <si>
    <t>%</t>
  </si>
  <si>
    <t>kWh</t>
  </si>
  <si>
    <t>% of</t>
  </si>
  <si>
    <t>Gen Obl</t>
  </si>
  <si>
    <t>Trans Obl</t>
  </si>
  <si>
    <t>Adj for PLS</t>
  </si>
  <si>
    <t>from Table #14 of the bid factor spreadsheet ---</t>
  </si>
  <si>
    <t>NON-DEMAND RATES -----------------------------------------------------------------------------------------------------------------------------------------------------------------------</t>
  </si>
  <si>
    <t>DEMAND RATES --------------------------------------------------------------------------------------------------------------------------------------------------------------------------------</t>
  </si>
  <si>
    <t>line #</t>
  </si>
  <si>
    <t>Notes:</t>
  </si>
  <si>
    <t>Winning Bid - in $/MWh</t>
  </si>
  <si>
    <t>from then current Bid</t>
  </si>
  <si>
    <t>Payment Factors</t>
  </si>
  <si>
    <t xml:space="preserve">                           Summer</t>
  </si>
  <si>
    <t xml:space="preserve">                           Winter</t>
  </si>
  <si>
    <t xml:space="preserve">                           Summer MWh</t>
  </si>
  <si>
    <t xml:space="preserve">                           Winter MWh</t>
  </si>
  <si>
    <t xml:space="preserve">                           Total</t>
  </si>
  <si>
    <t>= sum(line 10) / [ (6) + (7)]</t>
  </si>
  <si>
    <t xml:space="preserve">   &lt;&lt;&lt; used in calculation of</t>
  </si>
  <si>
    <t xml:space="preserve">           Customer Rates</t>
  </si>
  <si>
    <t xml:space="preserve">                Total weighted average</t>
  </si>
  <si>
    <t>Difference =</t>
  </si>
  <si>
    <t>Total Payment to Suppliers =</t>
  </si>
  <si>
    <t>= sum (line 10)</t>
  </si>
  <si>
    <t>= line (14) - line (15)</t>
  </si>
  <si>
    <t>= (13) * [(6)+(7)] / 1000</t>
  </si>
  <si>
    <t>Actual Billed Sales</t>
  </si>
  <si>
    <r>
      <t xml:space="preserve">Spreadsheet Error Checking - </t>
    </r>
    <r>
      <rPr>
        <i/>
        <sz val="10"/>
        <rFont val="Arial"/>
        <family val="2"/>
      </rPr>
      <t>Reconciliation of Customer Revenue and Supplier Payments, based on above data only</t>
    </r>
  </si>
  <si>
    <t>Differences - in $1000</t>
  </si>
  <si>
    <t xml:space="preserve">   rounded to 4 decimal places</t>
  </si>
  <si>
    <t xml:space="preserve">Note: These differences are due to rounding and seasonal differences in Bidder Payments (which are based on prior </t>
  </si>
  <si>
    <t xml:space="preserve">          wining bids and Seasonal Payment Factors) and current Rates (based on current seasonal market differentials)</t>
  </si>
  <si>
    <t>% difference</t>
  </si>
  <si>
    <t>Total Supplier Energy</t>
  </si>
  <si>
    <t>Table #17</t>
  </si>
  <si>
    <t>Specific BGS-FP Auction &gt;&gt;</t>
  </si>
  <si>
    <t xml:space="preserve"> Delivery losses from tariff, PJM losses based on 3 year average %</t>
  </si>
  <si>
    <t xml:space="preserve"> class totals in effect as of filing date</t>
  </si>
  <si>
    <t>in $/MWh, not including PJM losses</t>
  </si>
  <si>
    <t>(data rounded to nearest .01%)</t>
  </si>
  <si>
    <t>based on Forwards prices corrected for congestion &amp; all losses - PJM time periods</t>
  </si>
  <si>
    <t>based on Forwards prices corrected for congestion &amp; all losses</t>
  </si>
  <si>
    <t>based on Forwards prices corrected for congestion &amp; all losses - PSE&amp;G billing time periods</t>
  </si>
  <si>
    <r>
      <t>Reconciliation of amounts</t>
    </r>
    <r>
      <rPr>
        <i/>
        <sz val="10"/>
        <rFont val="Arial"/>
        <family val="2"/>
      </rPr>
      <t xml:space="preserve"> - in $1000</t>
    </r>
  </si>
  <si>
    <t>Weighted Average * Total MWh =</t>
  </si>
  <si>
    <t>/MW/month</t>
  </si>
  <si>
    <t>converted to $/MW/yr =</t>
  </si>
  <si>
    <t>/MW/yr</t>
  </si>
  <si>
    <t>Total Annual Energy - MWh</t>
  </si>
  <si>
    <t>Change in energy charge</t>
  </si>
  <si>
    <t xml:space="preserve">    in $/MWh</t>
  </si>
  <si>
    <t>Change in Transmission Obligation Charge</t>
  </si>
  <si>
    <t xml:space="preserve">    in $/kW/month - rounded to 4 places</t>
  </si>
  <si>
    <t>&lt;&lt; same increase to BGS-CIEP Transmission Obligation Charges</t>
  </si>
  <si>
    <t>Line #</t>
  </si>
  <si>
    <t>MW</t>
  </si>
  <si>
    <t>MWh</t>
  </si>
  <si>
    <t>unrounded</t>
  </si>
  <si>
    <t>Change in OATT rate * total Trans Obl</t>
  </si>
  <si>
    <t>Change in Average Supplier Payment Rate</t>
  </si>
  <si>
    <t>/MWh</t>
  </si>
  <si>
    <t>= (4) / (3)</t>
  </si>
  <si>
    <t>rounded to 2 decimal places</t>
  </si>
  <si>
    <t>= (5) rounded to 2 decimal places</t>
  </si>
  <si>
    <t>Proposed Total Supplier Payment</t>
  </si>
  <si>
    <t>= (6) * (3)</t>
  </si>
  <si>
    <t>Difference due to rounding</t>
  </si>
  <si>
    <t>= (7) - (4)</t>
  </si>
  <si>
    <t>Table A</t>
  </si>
  <si>
    <t>Table B</t>
  </si>
  <si>
    <t>Table C</t>
  </si>
  <si>
    <t>Table D</t>
  </si>
  <si>
    <r>
      <t xml:space="preserve">Revenue Recovery Calculations - </t>
    </r>
    <r>
      <rPr>
        <i/>
        <sz val="10"/>
        <rFont val="Arial"/>
        <family val="2"/>
      </rPr>
      <t>Reconciliation of seasonal Customer Revenue and Supplier Payments, based on actual anticipated revenues and payments</t>
    </r>
  </si>
  <si>
    <t>Total Preliminary Rate Revenue - in $1000</t>
  </si>
  <si>
    <t>Adjustment</t>
  </si>
  <si>
    <t>Factors</t>
  </si>
  <si>
    <t>includes energy, G&amp;T obligations, and Ancillary Services - adjusted to billing time periods &amp; adjustment to energy price</t>
  </si>
  <si>
    <t>includes energy and Ancillary Services, G&amp;T obligations charged separately - adjusted to billing time periods &amp; adjustment to energy price</t>
  </si>
  <si>
    <t xml:space="preserve">   rounded to 5 decimal places</t>
  </si>
  <si>
    <t>Energy $</t>
  </si>
  <si>
    <t>Obligation $</t>
  </si>
  <si>
    <t>Total $</t>
  </si>
  <si>
    <t>kWh Rate</t>
  </si>
  <si>
    <t>Table E</t>
  </si>
  <si>
    <r>
      <t>Spreadsheet Error Checking</t>
    </r>
    <r>
      <rPr>
        <i/>
        <sz val="10"/>
        <rFont val="Arial"/>
        <family val="2"/>
      </rPr>
      <t xml:space="preserve"> - Checking of seasonal Customer Revenue and Supplier Payments, based on final actual anticipated revenues and payments</t>
    </r>
  </si>
  <si>
    <r>
      <t xml:space="preserve">Preliminary Resulting BGS Rates (in cents per kWh) - </t>
    </r>
    <r>
      <rPr>
        <i/>
        <sz val="10"/>
        <rFont val="Arial"/>
        <family val="2"/>
      </rPr>
      <t>equal to bid factors times weighted average bid price</t>
    </r>
  </si>
  <si>
    <t>Table F</t>
  </si>
  <si>
    <t xml:space="preserve">   rounded to 3 decimal places</t>
  </si>
  <si>
    <t>= sum(line 8) / (6) - rounded to 3 decimal places</t>
  </si>
  <si>
    <t>= sum(line 9) / (7) - rounded to 3 decimal places</t>
  </si>
  <si>
    <t>Auction Results</t>
  </si>
  <si>
    <t xml:space="preserve">     Loss Factors =</t>
  </si>
  <si>
    <t xml:space="preserve">     Expansion Factor =</t>
  </si>
  <si>
    <t xml:space="preserve">     1 / Expansion Factor =</t>
  </si>
  <si>
    <t>per MWh at transmission nodes (per metered MWh at transmission node)</t>
  </si>
  <si>
    <r>
      <t>Ratio of BGS Unit Costs @ customer to All-In Average Cost @ transmission nodes -</t>
    </r>
    <r>
      <rPr>
        <i/>
        <sz val="10"/>
        <rFont val="Arial"/>
        <family val="2"/>
      </rPr>
      <t xml:space="preserve"> rounded to 3 decimal places, unit obligation $ rounded to 4 decimal places</t>
    </r>
  </si>
  <si>
    <t>@ transmission nodes</t>
  </si>
  <si>
    <r>
      <t xml:space="preserve">Applicable Customer Usage @ transmission nodes </t>
    </r>
    <r>
      <rPr>
        <b/>
        <i/>
        <sz val="10"/>
        <rFont val="Arial"/>
        <family val="2"/>
      </rPr>
      <t xml:space="preserve">- </t>
    </r>
    <r>
      <rPr>
        <i/>
        <sz val="10"/>
        <rFont val="Arial"/>
        <family val="2"/>
      </rPr>
      <t>in MWh</t>
    </r>
  </si>
  <si>
    <r>
      <t xml:space="preserve">Total Payment to Suppliers </t>
    </r>
    <r>
      <rPr>
        <i/>
        <sz val="10"/>
        <rFont val="Arial"/>
        <family val="2"/>
      </rPr>
      <t xml:space="preserve">- in $1000 </t>
    </r>
  </si>
  <si>
    <r>
      <t xml:space="preserve">Average Payment to Suppliers </t>
    </r>
    <r>
      <rPr>
        <i/>
        <sz val="10"/>
        <rFont val="Arial"/>
        <family val="2"/>
      </rPr>
      <t>- in $/MWh</t>
    </r>
  </si>
  <si>
    <t>Ratio of BGS Unit Costs @ customer to All-In Average Cost @ transmission nodes</t>
  </si>
  <si>
    <t>Note: $ reflect total payment</t>
  </si>
  <si>
    <t xml:space="preserve">      (includes all payments, including impact of PJM marginal losses)</t>
  </si>
  <si>
    <t xml:space="preserve">         If total $ were split on a per MWh basis (on transmission node MWhs):</t>
  </si>
  <si>
    <t>per MWh @ trans nodes</t>
  </si>
  <si>
    <t>(bid includes payments for all losses)</t>
  </si>
  <si>
    <t>= (2) * loss expansion factor to trans node</t>
  </si>
  <si>
    <t>from meter to transmission node (includes Delivery less mean hourly PJM marginal losses)</t>
  </si>
  <si>
    <t>from meter to bulk system (includes Delivery &amp; PJM EHV losses)</t>
  </si>
  <si>
    <t>from Table #17 of the current Bid Factor Spreadsheet</t>
  </si>
  <si>
    <t>All-In Average costs @ transmission nodes =</t>
  </si>
  <si>
    <t xml:space="preserve"> </t>
  </si>
  <si>
    <t>rounded to 3 decimal places, unit obligation $ rounded to 4 decimal places</t>
  </si>
  <si>
    <t>June - September (0-600)</t>
  </si>
  <si>
    <t>June - September (600+)</t>
  </si>
  <si>
    <t>Total Summer Usage</t>
  </si>
  <si>
    <t>NITS Rate Weighted Average Calculation</t>
  </si>
  <si>
    <t>NITS Rate</t>
  </si>
  <si>
    <t>Tranches</t>
  </si>
  <si>
    <t>Tranmsission Obligation</t>
  </si>
  <si>
    <t>Final Zonal RPM Scaling Factor</t>
  </si>
  <si>
    <r>
      <t xml:space="preserve">Final Resulting BGS Rates from Auctions (in cents per kWh) - </t>
    </r>
    <r>
      <rPr>
        <i/>
        <sz val="10"/>
        <rFont val="Arial"/>
        <family val="2"/>
      </rPr>
      <t>with preliminary kWh rates adjusted by the kWh Rate Adjustment Factor</t>
    </r>
  </si>
  <si>
    <t>annual</t>
  </si>
  <si>
    <t>Delivery Losses</t>
  </si>
  <si>
    <t>EHV Losses</t>
  </si>
  <si>
    <t>Source</t>
  </si>
  <si>
    <t>Loss Type</t>
  </si>
  <si>
    <t>Percentage</t>
  </si>
  <si>
    <t>Tariff (Result of 2000 Loss Study)</t>
  </si>
  <si>
    <t>PJM</t>
  </si>
  <si>
    <t>NERA</t>
  </si>
  <si>
    <t>Marginal Loss Deration Factor</t>
  </si>
  <si>
    <t>Marginal Loss Factor</t>
  </si>
  <si>
    <t>LPL-S &gt; 500 kW PLS</t>
  </si>
  <si>
    <t>&lt; 500 kW</t>
  </si>
  <si>
    <t>&gt; 500 kW</t>
  </si>
  <si>
    <t>Generation Peak Load Share</t>
  </si>
  <si>
    <t># of Tranches for Bid</t>
  </si>
  <si>
    <t>Total # of Tranches</t>
  </si>
  <si>
    <t>remaining portion of 36 month bid - 2014 auction</t>
  </si>
  <si>
    <t>Table 3</t>
  </si>
  <si>
    <t>Table 4</t>
  </si>
  <si>
    <t>Table 5</t>
  </si>
  <si>
    <t>Table 6</t>
  </si>
  <si>
    <t>Table 10</t>
  </si>
  <si>
    <t>Table 7</t>
  </si>
  <si>
    <t>Table 13</t>
  </si>
  <si>
    <t>Generation Peak Load Share RS</t>
  </si>
  <si>
    <t>Generation Peak Load Share RHS</t>
  </si>
  <si>
    <t>Generation Peak Load Share RLM</t>
  </si>
  <si>
    <t>Generation Peak Load Share WH</t>
  </si>
  <si>
    <t>Generation Peak Load Share WHS</t>
  </si>
  <si>
    <t>Generation Peak Load Share HS</t>
  </si>
  <si>
    <t>Generation Peak Load Share PSAL</t>
  </si>
  <si>
    <t>Generation Peak Load Share BPL</t>
  </si>
  <si>
    <t>Generation Peak Load Share GLP</t>
  </si>
  <si>
    <t>Generation Peak Load Share LPL-S</t>
  </si>
  <si>
    <t>Transmission Cost Used</t>
  </si>
  <si>
    <t>Avg Payment to Suppliers - Summer</t>
  </si>
  <si>
    <t>Avg Payment to Suppliers - Winter</t>
  </si>
  <si>
    <t>Avg Payment to Suppliers - Weighted Avg</t>
  </si>
  <si>
    <t>All Rate Classes Energy $ Totals</t>
  </si>
  <si>
    <t xml:space="preserve"> Summer RS - Block 1 (0-600 kWh/m) </t>
  </si>
  <si>
    <t xml:space="preserve"> Summer RS - Block 2 (&gt;600 kWh/m) </t>
  </si>
  <si>
    <t xml:space="preserve"> Summer RHS - Block 1 (0-600 kWh/m) </t>
  </si>
  <si>
    <t xml:space="preserve"> Summer RHS - Block 2 (&gt;600 kWh/m) </t>
  </si>
  <si>
    <t xml:space="preserve"> Summer - WH</t>
  </si>
  <si>
    <t xml:space="preserve"> Summer - WHS</t>
  </si>
  <si>
    <t xml:space="preserve"> Summer - HS</t>
  </si>
  <si>
    <t xml:space="preserve"> Summer - PSAL</t>
  </si>
  <si>
    <t xml:space="preserve"> Summer - BPL</t>
  </si>
  <si>
    <t xml:space="preserve"> Winter - RS</t>
  </si>
  <si>
    <t xml:space="preserve"> Winter - RHS</t>
  </si>
  <si>
    <t xml:space="preserve"> Winter - WH</t>
  </si>
  <si>
    <t xml:space="preserve"> Winter - WHS</t>
  </si>
  <si>
    <t xml:space="preserve"> Winter - HS</t>
  </si>
  <si>
    <t xml:space="preserve"> Winter - PSAL</t>
  </si>
  <si>
    <t xml:space="preserve"> Winter - BPL</t>
  </si>
  <si>
    <t xml:space="preserve"> Winter - RLM Off-Peak</t>
  </si>
  <si>
    <t xml:space="preserve"> Winter - RLM On-Peak</t>
  </si>
  <si>
    <t>Demand - GLP  Summer - all hrs</t>
  </si>
  <si>
    <t>Demand - LPL-S Summer - On pk</t>
  </si>
  <si>
    <t>Demand - LPL-S Summer - Off pk</t>
  </si>
  <si>
    <t>Demand - GLP  Winter - all hrs</t>
  </si>
  <si>
    <t>Demand - LPL-S Winter - On pk</t>
  </si>
  <si>
    <t>Demand - LPL-S Winter - Off pk</t>
  </si>
  <si>
    <t>Total Revenue</t>
  </si>
  <si>
    <t>Total - in $/MWh</t>
  </si>
  <si>
    <t>= line 1 + line 2</t>
  </si>
  <si>
    <t>Class Usage @ customer - MWh's  - RS</t>
  </si>
  <si>
    <t>Class Usage @ customer - MWh's  - RHS</t>
  </si>
  <si>
    <t>Class Usage @ customer - MWh's  - RLM</t>
  </si>
  <si>
    <t>Class Usage @ customer - MWh's  - WH</t>
  </si>
  <si>
    <t>Class Usage @ customer - MWh's  - WHS</t>
  </si>
  <si>
    <t>Class Usage @ customer - MWh's  - HS</t>
  </si>
  <si>
    <t>Class Usage @ customer - MWh's  - PSAL</t>
  </si>
  <si>
    <t>Class Usage @ customer - MWh's  - BPL</t>
  </si>
  <si>
    <t>Class Usage @ customer - MWh's  - GLP</t>
  </si>
  <si>
    <t>Class Usage @ customer - MWh's  - LPL-S</t>
  </si>
  <si>
    <t>$000's</t>
  </si>
  <si>
    <t>$/MWh</t>
  </si>
  <si>
    <t>All in Avg Cost @ Trans Node</t>
  </si>
  <si>
    <t xml:space="preserve"> Summer - RLM On-Peak</t>
  </si>
  <si>
    <t xml:space="preserve"> Summer - RLM Off-Peak</t>
  </si>
  <si>
    <t>Demand - Capacity GLP &amp; LPL-S</t>
  </si>
  <si>
    <t>Demand - Trans GLP &amp; LPL-S</t>
  </si>
  <si>
    <t>$/Kw mth</t>
  </si>
  <si>
    <t>Est Markup %</t>
  </si>
  <si>
    <t>Calc</t>
  </si>
  <si>
    <t>Table</t>
  </si>
  <si>
    <t>Unit of Measure</t>
  </si>
  <si>
    <t>Description</t>
  </si>
  <si>
    <t>Base
Capacity</t>
  </si>
  <si>
    <t>Total Capacity</t>
  </si>
  <si>
    <t>$/MW-yr</t>
  </si>
  <si>
    <t>Typical GLP</t>
  </si>
  <si>
    <t>Typical LPL-S</t>
  </si>
  <si>
    <t>Ratio</t>
  </si>
  <si>
    <t>On-Peak Shoulder: Zone to Western Hub Basis Differential</t>
  </si>
  <si>
    <t>Off-Peak Shoulder: Zone to Western Hub Basis Differential</t>
  </si>
  <si>
    <t>On-Peak Summer: Zone to Western Hub Basis Differential</t>
  </si>
  <si>
    <t>Off-Peak Summer: Zone to Western Hub Basis Differential</t>
  </si>
  <si>
    <t>Annual LMP On-Peak</t>
  </si>
  <si>
    <t>Annual LMP Off-Peak</t>
  </si>
  <si>
    <t>Average BGS Energy Only Unit Costs @ customer - PJM Time Periods</t>
  </si>
  <si>
    <t>Typical RS Increase</t>
  </si>
  <si>
    <t>¢/kwh</t>
  </si>
  <si>
    <t xml:space="preserve">Generation Capacity cost - Annual </t>
  </si>
  <si>
    <t xml:space="preserve">Summer Revenue Recovery $'s (Over) </t>
  </si>
  <si>
    <t xml:space="preserve">Winter Revenue Recovery $'s (Over) </t>
  </si>
  <si>
    <t>Summer Revenue Recovery Ratio</t>
  </si>
  <si>
    <t>Winter Revenue Recovery Ratio</t>
  </si>
  <si>
    <t>NITS</t>
  </si>
  <si>
    <t>BGS - CIEP BRA Clearing Price ($ per MW/Day)</t>
  </si>
  <si>
    <t>Annual Obligation Clearing Price</t>
  </si>
  <si>
    <t>Bill Impacts</t>
  </si>
  <si>
    <t>Variance</t>
  </si>
  <si>
    <t>Enter column indexes for comparison here --&gt;</t>
  </si>
  <si>
    <t>auction results and rates</t>
  </si>
  <si>
    <t>Average Rate - RS</t>
  </si>
  <si>
    <t>Average Rate - RHS</t>
  </si>
  <si>
    <t>Average Rate - RLM</t>
  </si>
  <si>
    <t>Average Rate - WH</t>
  </si>
  <si>
    <t>Average Rate - WHS</t>
  </si>
  <si>
    <t>Average Rate - HS</t>
  </si>
  <si>
    <t>Average Rate - PSAL</t>
  </si>
  <si>
    <t>Average Rate - BPL</t>
  </si>
  <si>
    <t>Average Rate - GLP</t>
  </si>
  <si>
    <t>Average Rate - LPL-S</t>
  </si>
  <si>
    <t>Scenario Description</t>
  </si>
  <si>
    <t>values from most recent auction</t>
  </si>
  <si>
    <t>remaining portion of 36 month bid - 2015 auction</t>
  </si>
  <si>
    <t>Incremental Change-RS Increase</t>
  </si>
  <si>
    <t>Incremental Change-GLP Increase</t>
  </si>
  <si>
    <t>Incremental Change-LPL-S Increase</t>
  </si>
  <si>
    <t>Data Type</t>
  </si>
  <si>
    <t>I</t>
  </si>
  <si>
    <t>O</t>
  </si>
  <si>
    <t xml:space="preserve"> NITS Rate</t>
  </si>
  <si>
    <t xml:space="preserve">Congestion Factors &amp; On/Off Peak Ratios </t>
  </si>
  <si>
    <t>Cell</t>
  </si>
  <si>
    <t>E158</t>
  </si>
  <si>
    <t>Original Formula</t>
  </si>
  <si>
    <t>New Formula</t>
  </si>
  <si>
    <t>Input!E115</t>
  </si>
  <si>
    <t>SUM(auction_results_and_rates!C13:D13)/SUM(auction_results_and_rates!C13:E13)*Input!E115</t>
  </si>
  <si>
    <t>Description of Change</t>
  </si>
  <si>
    <t>Price is now traunch weighted to reflect application to two of three years</t>
  </si>
  <si>
    <t>Date</t>
  </si>
  <si>
    <t>Total Tranches</t>
  </si>
  <si>
    <t>M5:Q17</t>
  </si>
  <si>
    <t>Additional Detail</t>
  </si>
  <si>
    <t>Calculation of $/MWh cost for Incremental Capacity Cost</t>
  </si>
  <si>
    <t>Detail for incremental Capacity cost added</t>
  </si>
  <si>
    <t>C24:G25</t>
  </si>
  <si>
    <t>C$10*C$13/C$14*C16*C20/1000</t>
  </si>
  <si>
    <t>C$8*C$13/C$14*C16*C20/1000+C$9*C$13/C$14*C20/1000</t>
  </si>
  <si>
    <t>Adjusted to capture lack of seasonal;ity factor in Inc cost</t>
  </si>
  <si>
    <t>Tab</t>
  </si>
  <si>
    <t>auction_results_and_rates</t>
  </si>
  <si>
    <t>bid_factors</t>
  </si>
  <si>
    <t>= (1) * (2)/(3) * (4) * (6) + (1A) * (2)/(3) * (6)</t>
  </si>
  <si>
    <t>= (1) * (2)/(3) * (5) * (7) + (1A) * (2)/(3) * (7)</t>
  </si>
  <si>
    <t>Q160</t>
  </si>
  <si>
    <t>=(D158*E152+F159*E153)/1000</t>
  </si>
  <si>
    <t>=(F158*E152+F159*E153)/1000</t>
  </si>
  <si>
    <t>Revised to address incremental RPM costs</t>
  </si>
  <si>
    <t>Bid Factors</t>
  </si>
  <si>
    <t>I211:J213</t>
  </si>
  <si>
    <t>Various</t>
  </si>
  <si>
    <t>Revised formulas to include incremental PRM cost</t>
  </si>
  <si>
    <t>E8</t>
  </si>
  <si>
    <t>Input!E134</t>
  </si>
  <si>
    <t>Revised new winning bid to reflect a markup consistent with last winning bid</t>
  </si>
  <si>
    <t>?</t>
  </si>
  <si>
    <t>Resulting Increase in Transmission Rate</t>
  </si>
  <si>
    <t xml:space="preserve">    in $/kWh - rounded to 6 places</t>
  </si>
  <si>
    <t xml:space="preserve">Total BGS-FP Trans Obl </t>
  </si>
  <si>
    <t>= sum of BGS-FP eligible Trans Obl adjusted for migration</t>
  </si>
  <si>
    <t>Total BGS-FP energy @ cust</t>
  </si>
  <si>
    <t>= sum of BGS-FP eligible kWh @ cust adjusted for migration</t>
  </si>
  <si>
    <t>Total BGS-FP energy @ trans nodes</t>
  </si>
  <si>
    <t>= Change in OATT rate * Total BGS-FP eligible Trans Obl adjusted for migration</t>
  </si>
  <si>
    <t>Below Print Range</t>
  </si>
  <si>
    <t>PSE&amp;G Zonal Transmission Load for 2014 (MW)</t>
  </si>
  <si>
    <t>PSE&amp;G Zonal Transmission Load for 2015 (MW)</t>
  </si>
  <si>
    <t>Calculation of Weighted Average Transmission Rate in BGS-FP Price</t>
  </si>
  <si>
    <t>Annual OATT Price at Time of Bid</t>
  </si>
  <si>
    <t>Tranche %</t>
  </si>
  <si>
    <t>Total Weighted Average NITS in Bid Price</t>
  </si>
  <si>
    <t>Annual Transmission in Bid</t>
  </si>
  <si>
    <t>Annual Transmission Increase Required</t>
  </si>
  <si>
    <t>Monthly Transmission Increase Required</t>
  </si>
  <si>
    <t xml:space="preserve">Tranch % </t>
  </si>
  <si>
    <t>Tranche Weighted Increase per Month</t>
  </si>
  <si>
    <t>Incremental NITS Owed to Suppliers ($ per MW Obligation)</t>
  </si>
  <si>
    <t>Loss Expansion Factor</t>
  </si>
  <si>
    <t>NITS DIFFJan-Dec15</t>
  </si>
  <si>
    <t>NEW</t>
  </si>
  <si>
    <t>New Tab added to enable dynamic transmission costing</t>
  </si>
  <si>
    <t>BGS RSCP w Auction results</t>
  </si>
  <si>
    <t>L42:M53</t>
  </si>
  <si>
    <t>Added M42:M53</t>
  </si>
  <si>
    <t>=SUM(I42:L42)</t>
  </si>
  <si>
    <t>N42:N53</t>
  </si>
  <si>
    <t>E156:E17</t>
  </si>
  <si>
    <t>bid_factors!L315</t>
  </si>
  <si>
    <t>=IF(LEFT(Input!$B$2,6)="rebase",Input!E138,bid_factors!L315)</t>
  </si>
  <si>
    <t>Account for Rebase variables vs Model Calc Variables</t>
  </si>
  <si>
    <t>IF(LEFT(Input!B2,6)="Rebase",Input!E134,(bid_factors!D234*(1+Overview!$G$87)*SUM(C20:C21)/1000-SUM(C26:D26))/(E$13/E$14/1000*(E16*$C20+E17*$C21)))</t>
  </si>
  <si>
    <t>=SUM(I42:K42)+IF(Input!$B$108="Updated",'BGS RSCP w Auction results'!M42,'BGS RSCP w Auction results'!L42)</t>
  </si>
  <si>
    <t>Yes</t>
  </si>
  <si>
    <t>Input</t>
  </si>
  <si>
    <t>E136</t>
  </si>
  <si>
    <t>Yes or No</t>
  </si>
  <si>
    <t>Added If statement</t>
  </si>
  <si>
    <t>Added to maintain option for markup to be varied or not</t>
  </si>
  <si>
    <t>Transmission Obligation</t>
  </si>
  <si>
    <t>Summary</t>
  </si>
  <si>
    <t>Avg. Cost</t>
  </si>
  <si>
    <t>Avg. Payment</t>
  </si>
  <si>
    <t>Est Markup</t>
  </si>
  <si>
    <t>Totals</t>
  </si>
  <si>
    <t>Estimated Winning Bid</t>
  </si>
  <si>
    <t>Revision</t>
  </si>
  <si>
    <t>Change in Avg. Cost</t>
  </si>
  <si>
    <t>Change in Est. Winning Bid</t>
  </si>
  <si>
    <t>Prior Auction Results</t>
  </si>
  <si>
    <t>Forwards Related</t>
  </si>
  <si>
    <t xml:space="preserve">Customer Usage </t>
  </si>
  <si>
    <t>% Change in Rate Class Total Cost</t>
  </si>
  <si>
    <t>Summary of BGS-RSCP Input Revisions</t>
  </si>
  <si>
    <t>Initial</t>
  </si>
  <si>
    <t>Final</t>
  </si>
  <si>
    <t>Values</t>
  </si>
  <si>
    <t>End</t>
  </si>
  <si>
    <t>Before</t>
  </si>
  <si>
    <t>After</t>
  </si>
  <si>
    <t>CP Adder</t>
  </si>
  <si>
    <t>Totals Prior to CP</t>
  </si>
  <si>
    <t>Totals with CP</t>
  </si>
  <si>
    <t>1-2</t>
  </si>
  <si>
    <t>3-6</t>
  </si>
  <si>
    <t>7-9</t>
  </si>
  <si>
    <t>Capacity Price</t>
  </si>
  <si>
    <t>10-11</t>
  </si>
  <si>
    <t>Generation Obligation</t>
  </si>
  <si>
    <t>Update Price - $100</t>
  </si>
  <si>
    <t>Estimated Price Change</t>
  </si>
  <si>
    <t>3/1 NITS/NITS/TEC Adder</t>
  </si>
  <si>
    <t>3/1 NITS TEC Adder</t>
  </si>
  <si>
    <t>6/1 Estimated BGS Impact</t>
  </si>
  <si>
    <t>February 1</t>
  </si>
  <si>
    <t>June 1</t>
  </si>
  <si>
    <t>Final Resulting BGS Rates from Auctions (in cents per kWh) - with preliminary kWh rates adjusted by the kWh Rate Adjustment Factor</t>
  </si>
  <si>
    <t>Final CP - $47.59</t>
  </si>
  <si>
    <t>Preliminary CP - $41.60</t>
  </si>
  <si>
    <t>Final CP less Preliminary CP</t>
  </si>
  <si>
    <t>Notes to next year</t>
  </si>
  <si>
    <t>make sure rounding is consistient on input when updates are made.</t>
  </si>
  <si>
    <t>Add marginal loss factor to oversheet</t>
  </si>
  <si>
    <t>Ancillary Services &amp; Renewable Power Cost</t>
  </si>
  <si>
    <t xml:space="preserve">Ancillary Services </t>
  </si>
  <si>
    <t>Renewable Power Cost</t>
  </si>
  <si>
    <t>Total AncillaryServices &amp; Renewable Power Costs</t>
  </si>
  <si>
    <t>Basis</t>
  </si>
  <si>
    <t>remaining portion of 36 month bid - 2016 auction</t>
  </si>
  <si>
    <t>36 month bid - 2017 auction</t>
  </si>
  <si>
    <t>Ancillary Services &amp; RPS =</t>
  </si>
  <si>
    <t>NJ SUT (Sales &amp; Use Tax) =</t>
  </si>
  <si>
    <t>SUT excluded from all rates</t>
  </si>
  <si>
    <t>NJ Sales &amp; Use Tax (SUT) excluded</t>
  </si>
  <si>
    <t>Network Integration Service Calculation - BGS-RSCP</t>
  </si>
  <si>
    <t>NITS Charges for January 2017 - December 2017</t>
  </si>
  <si>
    <t>Jan 17 - Dec 17 NITS Charge</t>
  </si>
  <si>
    <t>Jan 17 - May 17 Weighted Average of:</t>
  </si>
  <si>
    <t>Jun 17 - Dec 17 Weighted Average of:</t>
  </si>
  <si>
    <t>Jan 17 - Dec 17 Weighted Average</t>
  </si>
  <si>
    <t>S:\regulato\2016 Transmission Filings NITS &amp; TECS\December 2016 NITS-TEC Filing</t>
  </si>
  <si>
    <t>Totals w/o CP</t>
  </si>
  <si>
    <t>RPS &amp; Ancillaries</t>
  </si>
  <si>
    <t>Final Cost Before Markup Revisions</t>
  </si>
  <si>
    <t>CP Adder Removal</t>
  </si>
  <si>
    <t>Est Cost  Subtotal</t>
  </si>
  <si>
    <t>Transmission Go Forward</t>
  </si>
  <si>
    <t>2017 for  3 years forward total cost</t>
  </si>
  <si>
    <t>Cost Adder</t>
  </si>
  <si>
    <t>16/17 winning Bid</t>
  </si>
  <si>
    <t>16/17 cost with No CP</t>
  </si>
  <si>
    <t>16/17 Actual Markup Up %</t>
  </si>
  <si>
    <t>Current Cost</t>
  </si>
  <si>
    <t>Cost to use for winning Bid</t>
  </si>
  <si>
    <t>CP Removal from 2016 auction</t>
  </si>
  <si>
    <t>CP Add in for 2017 Auction</t>
  </si>
  <si>
    <t>Subtotal</t>
  </si>
  <si>
    <t>RPS impact from adding to 2016 results</t>
  </si>
  <si>
    <t>Change before adjustments</t>
  </si>
  <si>
    <t>Net Impact</t>
  </si>
  <si>
    <t>Reconciliation of Changes in 2017</t>
  </si>
  <si>
    <t>NO RPS IMPACT VIEW</t>
  </si>
  <si>
    <t>RPS</t>
  </si>
  <si>
    <t>Auction Roll Off</t>
  </si>
  <si>
    <t xml:space="preserve">Energy Usage </t>
  </si>
  <si>
    <t>RPS &amp; Anc</t>
  </si>
  <si>
    <t>Trans Oblig</t>
  </si>
  <si>
    <t>Cap Price</t>
  </si>
  <si>
    <t>Cap Oblig</t>
  </si>
  <si>
    <t xml:space="preserve">Forward Energy </t>
  </si>
  <si>
    <t>Current cost</t>
  </si>
  <si>
    <t>cost to use for winning Bid</t>
  </si>
  <si>
    <t>Use Estimated amount in cell e136</t>
  </si>
  <si>
    <t>Winning Bid</t>
  </si>
  <si>
    <t>Final CP Adjustment</t>
  </si>
  <si>
    <t>REMOVED CP - Incremental RP Cost</t>
  </si>
  <si>
    <t>PJM - No update for 2019</t>
  </si>
  <si>
    <t>Tariff (Result of 2018 Rate Case Loss Study)</t>
  </si>
  <si>
    <t>Tariff (Result of 2018 Loss Study)</t>
  </si>
  <si>
    <t>(based on W/N actuals used in settlement and final rate design of 2018 Rate Case, rounded to .1%)</t>
  </si>
  <si>
    <t>remaining portion of 36 month bid - 2018 auction</t>
  </si>
  <si>
    <t>remaining portion of 36 month bid - 2019 auction</t>
  </si>
  <si>
    <t>Blocking Percentages based on Annualized W/N Usage Used in 2018 Electric Rate Case Settlement</t>
  </si>
  <si>
    <t>Calculation of June 2020 to May 2021 BGS-RSCP Rates</t>
  </si>
  <si>
    <t>NON-DEMAND RATES -------------------------------------------------------------------------------------------------------------------------------------------------------------</t>
  </si>
  <si>
    <t>DEMAND RATES -------------------------------------------------------------------------------------------------------------------------------------------------------------------</t>
  </si>
  <si>
    <t>NYMEX Forwards (June 3, 2019) from NERA</t>
  </si>
  <si>
    <t xml:space="preserve">  Summer Averages for June 2016-Sep 2018</t>
  </si>
  <si>
    <t xml:space="preserve">  Winter Averages for Mar 2016-Feb 2019</t>
  </si>
  <si>
    <t>On-Peak periods as defined in specified rate schedule (average of %s for 2016,2017 &amp; 2018)</t>
  </si>
  <si>
    <t>Development of BGS-RSCP Cost and Bid Factors for 2020/2021 BGS Filing</t>
  </si>
  <si>
    <t>Obligations - Peak Load shares eff 1/1/19, scaling factors eff 6/1/19, Transmission Loads eff 1/1/19; costs are market estimates</t>
  </si>
  <si>
    <t>36 month bid - 2020 Auction</t>
  </si>
  <si>
    <t>llustrative Purposes Only</t>
  </si>
  <si>
    <r>
      <t xml:space="preserve">Winning Bid </t>
    </r>
    <r>
      <rPr>
        <sz val="10"/>
        <color rgb="FFFF0000"/>
        <rFont val="Arial"/>
        <family val="2"/>
      </rPr>
      <t>- 2020 Illustrative Purposes Only</t>
    </r>
  </si>
  <si>
    <t xml:space="preserve"> forecasted 2019 energy use by class, PJM and PSE&amp;G on/off % from 2016, 2017 &amp; 2018 class load profiles</t>
  </si>
  <si>
    <t>Based on average of year 2016, 2017 &amp; 2018 Load Profile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</si>
</sst>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8">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00"/>
    <numFmt numFmtId="166" formatCode="0.0000"/>
    <numFmt numFmtId="167" formatCode="0.0000%"/>
    <numFmt numFmtId="168" formatCode="#,##0.0"/>
    <numFmt numFmtId="169" formatCode="_(&quot;$&quot;* #,##0_);_(&quot;$&quot;* \(#,##0\);_(&quot;$&quot;* &quot;-&quot;??_);_(@_)"/>
    <numFmt numFmtId="170" formatCode="0.000000"/>
    <numFmt numFmtId="171" formatCode="_(&quot;$&quot;* #,##0.000_);_(&quot;$&quot;* \(#,##0.000\);_(&quot;$&quot;* &quot;-&quot;??_);_(@_)"/>
    <numFmt numFmtId="172" formatCode="_(&quot;$&quot;* #,##0.0000_);_(&quot;$&quot;* \(#,##0.0000\);_(&quot;$&quot;* &quot;-&quot;??_);_(@_)"/>
    <numFmt numFmtId="173" formatCode="0.0%"/>
    <numFmt numFmtId="174" formatCode="_(* #,##0_);_(* \(#,##0\);_(* &quot;-&quot;??_);_(@_)"/>
    <numFmt numFmtId="175" formatCode="_(* #,##0.000_);_(* \(#,##0.000\);_(* &quot;-&quot;??_);_(@_)"/>
    <numFmt numFmtId="176" formatCode="_(* #,##0.0000_);_(* \(#,##0.0000\);_(* &quot;-&quot;??_);_(@_)"/>
    <numFmt numFmtId="177" formatCode="#,##0.000"/>
    <numFmt numFmtId="178" formatCode="&quot;$&quot;#,##0.00"/>
    <numFmt numFmtId="179" formatCode="&quot;$&quot;#,##0\ ;\(&quot;$&quot;#,##0\)"/>
    <numFmt numFmtId="180" formatCode="&quot;$&quot;#,##0.0000"/>
    <numFmt numFmtId="181" formatCode="0.00000%"/>
    <numFmt numFmtId="182" formatCode="&quot;$&quot;#,##0"/>
    <numFmt numFmtId="183" formatCode="0.00000000"/>
    <numFmt numFmtId="184" formatCode="_(* #,##0.0_);_(* \(#,##0.0\);_(* &quot;-&quot;??_);_(@_)"/>
    <numFmt numFmtId="185" formatCode="0.000%"/>
    <numFmt numFmtId="186" formatCode="_(&quot;$&quot;* #,##0.000000_);_(&quot;$&quot;* \(#,##0.000000\);_(&quot;$&quot;* &quot;-&quot;??????_);_(@_)"/>
    <numFmt numFmtId="187" formatCode="#,##0.0_);[Red]\(#,##0.0\)"/>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indexed="12"/>
      <name val="Arial"/>
      <family val="2"/>
    </font>
    <font>
      <i/>
      <sz val="10"/>
      <name val="Arial"/>
      <family val="2"/>
    </font>
    <font>
      <b/>
      <sz val="12"/>
      <name val="Arial"/>
      <family val="2"/>
    </font>
    <font>
      <i/>
      <u/>
      <sz val="10"/>
      <name val="Arial"/>
      <family val="2"/>
    </font>
    <font>
      <b/>
      <i/>
      <sz val="10"/>
      <name val="Arial"/>
      <family val="2"/>
    </font>
    <font>
      <u/>
      <sz val="10"/>
      <name val="Arial"/>
      <family val="2"/>
    </font>
    <font>
      <b/>
      <sz val="10"/>
      <color indexed="54"/>
      <name val="Arial"/>
      <family val="2"/>
    </font>
    <font>
      <u/>
      <sz val="10"/>
      <color indexed="12"/>
      <name val="Arial"/>
      <family val="2"/>
    </font>
    <font>
      <u val="singleAccounting"/>
      <sz val="10"/>
      <name val="Arial"/>
      <family val="2"/>
    </font>
    <font>
      <sz val="8"/>
      <color indexed="81"/>
      <name val="Tahoma"/>
      <family val="2"/>
    </font>
    <font>
      <b/>
      <sz val="8"/>
      <color indexed="81"/>
      <name val="Tahoma"/>
      <family val="2"/>
    </font>
    <font>
      <sz val="8"/>
      <name val="Arial"/>
      <family val="2"/>
    </font>
    <font>
      <sz val="10"/>
      <color indexed="12"/>
      <name val="Arial"/>
      <family val="2"/>
    </font>
    <font>
      <sz val="10"/>
      <color indexed="22"/>
      <name val="Arial"/>
      <family val="2"/>
    </font>
    <font>
      <sz val="10"/>
      <color indexed="10"/>
      <name val="Arial"/>
      <family val="2"/>
    </font>
    <font>
      <b/>
      <sz val="18"/>
      <color indexed="22"/>
      <name val="Arial"/>
      <family val="2"/>
    </font>
    <font>
      <b/>
      <sz val="12"/>
      <color indexed="22"/>
      <name val="Arial"/>
      <family val="2"/>
    </font>
    <font>
      <b/>
      <u/>
      <sz val="10"/>
      <name val="Arial"/>
      <family val="2"/>
    </font>
    <font>
      <sz val="10"/>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name val="Arial"/>
      <family val="2"/>
    </font>
    <font>
      <sz val="10"/>
      <name val="Arial"/>
      <family val="2"/>
    </font>
    <font>
      <sz val="11"/>
      <color theme="1"/>
      <name val="Calibri"/>
      <family val="2"/>
      <scheme val="minor"/>
    </font>
    <font>
      <sz val="10"/>
      <name val="Arial"/>
      <family val="2"/>
    </font>
    <font>
      <sz val="10"/>
      <color theme="1"/>
      <name val="Arial"/>
      <family val="2"/>
    </font>
    <font>
      <b/>
      <sz val="10"/>
      <color indexed="12"/>
      <name val="Arial"/>
      <family val="2"/>
    </font>
    <font>
      <sz val="12"/>
      <name val="Arial"/>
      <family val="2"/>
    </font>
    <font>
      <u/>
      <sz val="12"/>
      <color indexed="12"/>
      <name val="Arial"/>
      <family val="2"/>
    </font>
    <font>
      <b/>
      <sz val="12"/>
      <color indexed="8"/>
      <name val="Arial"/>
      <family val="2"/>
    </font>
    <font>
      <sz val="10"/>
      <name val="Times New Roman"/>
      <family val="1"/>
    </font>
    <font>
      <b/>
      <sz val="9"/>
      <color indexed="81"/>
      <name val="Tahoma"/>
      <family val="2"/>
    </font>
    <font>
      <sz val="9"/>
      <color indexed="81"/>
      <name val="Tahoma"/>
      <family val="2"/>
    </font>
    <font>
      <u val="singleAccounting"/>
      <sz val="10"/>
      <color theme="1"/>
      <name val="Arial"/>
      <family val="2"/>
    </font>
    <font>
      <sz val="10"/>
      <color indexed="39"/>
      <name val="Arial"/>
      <family val="2"/>
    </font>
    <font>
      <b/>
      <sz val="16"/>
      <color indexed="23"/>
      <name val="Arial"/>
      <family val="2"/>
    </font>
    <font>
      <b/>
      <sz val="14"/>
      <name val="Arial"/>
      <family val="2"/>
    </font>
    <font>
      <b/>
      <sz val="20"/>
      <name val="Arial"/>
      <family val="2"/>
    </font>
    <font>
      <sz val="10"/>
      <color theme="0"/>
      <name val="Arial"/>
      <family val="2"/>
    </font>
    <font>
      <i/>
      <sz val="10"/>
      <color rgb="FF161BF6"/>
      <name val="Arial"/>
      <family val="2"/>
    </font>
    <font>
      <i/>
      <sz val="8"/>
      <color rgb="FF161BF6"/>
      <name val="Arial"/>
      <family val="2"/>
    </font>
    <font>
      <i/>
      <sz val="10"/>
      <color rgb="FFFF0000"/>
      <name val="Arial"/>
      <family val="2"/>
    </font>
    <font>
      <sz val="10"/>
      <color rgb="FFFF0000"/>
      <name val="Arial"/>
      <family val="2"/>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indexed="22"/>
        <bgColor indexed="64"/>
      </patternFill>
    </fill>
    <fill>
      <patternFill patternType="solid">
        <fgColor rgb="FFFFC000"/>
        <bgColor indexed="64"/>
      </patternFill>
    </fill>
    <fill>
      <patternFill patternType="solid">
        <fgColor theme="0" tint="-0.34998626667073579"/>
        <bgColor indexed="64"/>
      </patternFill>
    </fill>
    <fill>
      <patternFill patternType="solid">
        <fgColor indexed="23"/>
        <bgColor indexed="64"/>
      </patternFill>
    </fill>
    <fill>
      <patternFill patternType="solid">
        <fgColor indexed="43"/>
        <bgColor indexed="64"/>
      </patternFill>
    </fill>
    <fill>
      <patternFill patternType="solid">
        <fgColor theme="0" tint="-0.14999847407452621"/>
        <bgColor indexed="64"/>
      </patternFill>
    </fill>
    <fill>
      <patternFill patternType="solid">
        <fgColor indexed="8"/>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theme="2"/>
        <bgColor indexed="64"/>
      </patternFill>
    </fill>
    <fill>
      <patternFill patternType="solid">
        <fgColor theme="2" tint="-9.9978637043366805E-2"/>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3"/>
      </left>
      <right style="thin">
        <color indexed="63"/>
      </right>
      <top style="thin">
        <color indexed="64"/>
      </top>
      <bottom style="thin">
        <color indexed="63"/>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160">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5"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3" fontId="21" fillId="0" borderId="0" applyFont="0" applyFill="0" applyBorder="0" applyAlignment="0" applyProtection="0"/>
    <xf numFmtId="44" fontId="5"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43" fillId="0" borderId="0" applyFont="0" applyFill="0" applyBorder="0" applyAlignment="0" applyProtection="0"/>
    <xf numFmtId="44" fontId="44" fillId="0" borderId="0" applyFont="0" applyFill="0" applyBorder="0" applyAlignment="0" applyProtection="0"/>
    <xf numFmtId="179" fontId="21" fillId="0" borderId="0" applyFont="0" applyFill="0" applyBorder="0" applyAlignment="0" applyProtection="0"/>
    <xf numFmtId="0" fontId="21" fillId="0" borderId="0" applyFont="0" applyFill="0" applyBorder="0" applyAlignment="0" applyProtection="0"/>
    <xf numFmtId="0" fontId="33" fillId="0" borderId="0" applyNumberFormat="0" applyFill="0" applyBorder="0" applyAlignment="0" applyProtection="0"/>
    <xf numFmtId="2" fontId="21" fillId="0" borderId="0" applyFont="0" applyFill="0" applyBorder="0" applyAlignment="0" applyProtection="0"/>
    <xf numFmtId="0" fontId="34" fillId="4" borderId="0" applyNumberFormat="0" applyBorder="0" applyAlignment="0" applyProtection="0"/>
    <xf numFmtId="0" fontId="23" fillId="0" borderId="0" applyNumberFormat="0" applyFill="0" applyBorder="0" applyAlignment="0" applyProtection="0"/>
    <xf numFmtId="0" fontId="35" fillId="0" borderId="3" applyNumberFormat="0" applyFill="0" applyAlignment="0" applyProtection="0"/>
    <xf numFmtId="0" fontId="24"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alignment vertical="top"/>
      <protection locked="0"/>
    </xf>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45" fillId="0" borderId="0"/>
    <xf numFmtId="0" fontId="19" fillId="0" borderId="0"/>
    <xf numFmtId="0" fontId="6" fillId="23" borderId="7" applyNumberFormat="0" applyFont="0" applyAlignment="0" applyProtection="0"/>
    <xf numFmtId="0" fontId="41" fillId="20" borderId="8" applyNumberFormat="0" applyAlignment="0" applyProtection="0"/>
    <xf numFmtId="9" fontId="5"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0" fontId="27" fillId="0" borderId="0" applyNumberFormat="0" applyFill="0" applyBorder="0" applyAlignment="0" applyProtection="0"/>
    <xf numFmtId="0" fontId="21" fillId="0" borderId="9" applyNumberFormat="0" applyFont="0" applyFill="0" applyAlignment="0" applyProtection="0"/>
    <xf numFmtId="0" fontId="42" fillId="0" borderId="10" applyNumberFormat="0" applyFill="0" applyAlignment="0" applyProtection="0"/>
    <xf numFmtId="0" fontId="22"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46" fillId="0" borderId="0" applyFont="0" applyFill="0" applyBorder="0" applyAlignment="0" applyProtection="0"/>
    <xf numFmtId="9" fontId="46" fillId="0" borderId="0" applyFont="0" applyFill="0" applyBorder="0" applyAlignment="0" applyProtection="0"/>
    <xf numFmtId="43" fontId="46"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5" fillId="0" borderId="0"/>
    <xf numFmtId="0" fontId="5" fillId="23" borderId="7" applyNumberFormat="0" applyFont="0" applyAlignment="0" applyProtection="0"/>
    <xf numFmtId="9" fontId="5" fillId="0" borderId="0" applyFont="0" applyFill="0" applyBorder="0" applyAlignment="0" applyProtection="0"/>
    <xf numFmtId="0" fontId="49" fillId="0" borderId="0"/>
    <xf numFmtId="43" fontId="49" fillId="0" borderId="0" applyFont="0" applyFill="0" applyBorder="0" applyAlignment="0" applyProtection="0"/>
    <xf numFmtId="9" fontId="49" fillId="0" borderId="0" applyFont="0" applyFill="0" applyBorder="0" applyAlignment="0" applyProtection="0"/>
    <xf numFmtId="0" fontId="5" fillId="0" borderId="0"/>
    <xf numFmtId="0" fontId="5" fillId="0" borderId="0"/>
    <xf numFmtId="0" fontId="23" fillId="0" borderId="0" applyNumberFormat="0" applyFill="0" applyBorder="0" applyAlignment="0" applyProtection="0"/>
    <xf numFmtId="0" fontId="24" fillId="0" borderId="0" applyNumberFormat="0" applyFill="0" applyBorder="0" applyAlignment="0" applyProtection="0"/>
    <xf numFmtId="0" fontId="3" fillId="0" borderId="0"/>
    <xf numFmtId="0" fontId="3" fillId="0" borderId="0"/>
    <xf numFmtId="0" fontId="3" fillId="0" borderId="0"/>
    <xf numFmtId="0" fontId="3" fillId="0" borderId="0"/>
    <xf numFmtId="0" fontId="5" fillId="0" borderId="0"/>
    <xf numFmtId="0" fontId="5" fillId="0" borderId="0"/>
    <xf numFmtId="4" fontId="28" fillId="31" borderId="8" applyNumberFormat="0" applyProtection="0">
      <alignment vertical="center"/>
    </xf>
    <xf numFmtId="0" fontId="21" fillId="0" borderId="9" applyNumberFormat="0" applyFont="0" applyFill="0" applyAlignment="0" applyProtection="0"/>
    <xf numFmtId="0" fontId="50" fillId="0" borderId="0" applyNumberFormat="0" applyFill="0" applyBorder="0" applyAlignment="0" applyProtection="0">
      <alignment vertical="top"/>
      <protection locked="0"/>
    </xf>
    <xf numFmtId="0" fontId="49"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9" fillId="0" borderId="0"/>
    <xf numFmtId="9" fontId="5" fillId="0" borderId="0" applyFont="0" applyFill="0" applyBorder="0" applyAlignment="0" applyProtection="0"/>
    <xf numFmtId="9" fontId="5" fillId="0" borderId="0" applyFont="0" applyFill="0" applyBorder="0" applyAlignment="0" applyProtection="0"/>
    <xf numFmtId="0" fontId="49" fillId="0" borderId="0"/>
    <xf numFmtId="0" fontId="49" fillId="0" borderId="0"/>
    <xf numFmtId="0" fontId="3" fillId="0" borderId="0"/>
    <xf numFmtId="0" fontId="2" fillId="0" borderId="0"/>
    <xf numFmtId="4" fontId="56" fillId="31" borderId="8" applyNumberFormat="0" applyProtection="0">
      <alignment vertical="center"/>
    </xf>
    <xf numFmtId="4" fontId="28" fillId="31" borderId="8" applyNumberFormat="0" applyProtection="0">
      <alignment horizontal="left" vertical="center" indent="1"/>
    </xf>
    <xf numFmtId="4" fontId="28" fillId="31" borderId="8" applyNumberFormat="0" applyProtection="0">
      <alignment horizontal="left" vertical="center" indent="1"/>
    </xf>
    <xf numFmtId="0" fontId="5" fillId="34" borderId="8" applyNumberFormat="0" applyProtection="0">
      <alignment horizontal="left" vertical="center" indent="1"/>
    </xf>
    <xf numFmtId="4" fontId="28" fillId="35" borderId="8" applyNumberFormat="0" applyProtection="0">
      <alignment horizontal="right" vertical="center"/>
    </xf>
    <xf numFmtId="4" fontId="28" fillId="36" borderId="8" applyNumberFormat="0" applyProtection="0">
      <alignment horizontal="right" vertical="center"/>
    </xf>
    <xf numFmtId="4" fontId="28" fillId="37" borderId="8" applyNumberFormat="0" applyProtection="0">
      <alignment horizontal="right" vertical="center"/>
    </xf>
    <xf numFmtId="4" fontId="28" fillId="38" borderId="8" applyNumberFormat="0" applyProtection="0">
      <alignment horizontal="right" vertical="center"/>
    </xf>
    <xf numFmtId="4" fontId="28" fillId="39" borderId="8" applyNumberFormat="0" applyProtection="0">
      <alignment horizontal="right" vertical="center"/>
    </xf>
    <xf numFmtId="4" fontId="28" fillId="40" borderId="8" applyNumberFormat="0" applyProtection="0">
      <alignment horizontal="right" vertical="center"/>
    </xf>
    <xf numFmtId="4" fontId="28" fillId="41" borderId="8" applyNumberFormat="0" applyProtection="0">
      <alignment horizontal="right" vertical="center"/>
    </xf>
    <xf numFmtId="4" fontId="28" fillId="42" borderId="8" applyNumberFormat="0" applyProtection="0">
      <alignment horizontal="right" vertical="center"/>
    </xf>
    <xf numFmtId="4" fontId="28" fillId="43" borderId="8" applyNumberFormat="0" applyProtection="0">
      <alignment horizontal="right" vertical="center"/>
    </xf>
    <xf numFmtId="4" fontId="42" fillId="44" borderId="8" applyNumberFormat="0" applyProtection="0">
      <alignment horizontal="left" vertical="center" indent="1"/>
    </xf>
    <xf numFmtId="4" fontId="28" fillId="45" borderId="43" applyNumberFormat="0" applyProtection="0">
      <alignment horizontal="left" vertical="center" indent="1"/>
    </xf>
    <xf numFmtId="4" fontId="51" fillId="46" borderId="0" applyNumberFormat="0" applyProtection="0">
      <alignment horizontal="left" vertical="center" indent="1"/>
    </xf>
    <xf numFmtId="0" fontId="5" fillId="34" borderId="8" applyNumberFormat="0" applyProtection="0">
      <alignment horizontal="left" vertical="center" indent="1"/>
    </xf>
    <xf numFmtId="4" fontId="28" fillId="45" borderId="8" applyNumberFormat="0" applyProtection="0">
      <alignment horizontal="left" vertical="center" indent="1"/>
    </xf>
    <xf numFmtId="4" fontId="28" fillId="30" borderId="8"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center" indent="1"/>
    </xf>
    <xf numFmtId="0" fontId="5" fillId="47" borderId="8" applyNumberFormat="0" applyProtection="0">
      <alignment horizontal="left" vertical="center" indent="1"/>
    </xf>
    <xf numFmtId="0" fontId="5" fillId="47" borderId="8" applyNumberFormat="0" applyProtection="0">
      <alignment horizontal="left" vertical="center" indent="1"/>
    </xf>
    <xf numFmtId="0" fontId="5" fillId="27" borderId="8" applyNumberFormat="0" applyProtection="0">
      <alignment horizontal="left" vertical="center" indent="1"/>
    </xf>
    <xf numFmtId="0" fontId="5" fillId="27" borderId="8" applyNumberFormat="0" applyProtection="0">
      <alignment horizontal="left" vertical="center" indent="1"/>
    </xf>
    <xf numFmtId="0" fontId="5" fillId="34" borderId="8" applyNumberFormat="0" applyProtection="0">
      <alignment horizontal="left" vertical="center" indent="1"/>
    </xf>
    <xf numFmtId="0" fontId="5" fillId="34" borderId="8" applyNumberFormat="0" applyProtection="0">
      <alignment horizontal="left" vertical="center" indent="1"/>
    </xf>
    <xf numFmtId="4" fontId="28" fillId="48" borderId="8" applyNumberFormat="0" applyProtection="0">
      <alignment vertical="center"/>
    </xf>
    <xf numFmtId="4" fontId="56" fillId="48" borderId="8" applyNumberFormat="0" applyProtection="0">
      <alignment vertical="center"/>
    </xf>
    <xf numFmtId="4" fontId="28" fillId="48" borderId="8" applyNumberFormat="0" applyProtection="0">
      <alignment horizontal="left" vertical="center" indent="1"/>
    </xf>
    <xf numFmtId="4" fontId="28" fillId="48" borderId="8" applyNumberFormat="0" applyProtection="0">
      <alignment horizontal="left" vertical="center" indent="1"/>
    </xf>
    <xf numFmtId="4" fontId="28" fillId="45" borderId="8" applyNumberFormat="0" applyProtection="0">
      <alignment horizontal="right" vertical="center"/>
    </xf>
    <xf numFmtId="4" fontId="56" fillId="45" borderId="8" applyNumberFormat="0" applyProtection="0">
      <alignment horizontal="right" vertical="center"/>
    </xf>
    <xf numFmtId="0" fontId="5" fillId="34" borderId="8" applyNumberFormat="0" applyProtection="0">
      <alignment horizontal="left" vertical="center" indent="1"/>
    </xf>
    <xf numFmtId="0" fontId="5" fillId="34" borderId="8" applyNumberFormat="0" applyProtection="0">
      <alignment horizontal="left" vertical="center" indent="1"/>
    </xf>
    <xf numFmtId="0" fontId="57" fillId="0" borderId="0"/>
    <xf numFmtId="4" fontId="22" fillId="45" borderId="8" applyNumberFormat="0" applyProtection="0">
      <alignment horizontal="right" vertical="center"/>
    </xf>
    <xf numFmtId="43"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9" fontId="5" fillId="0" borderId="0" applyFont="0" applyFill="0" applyBorder="0" applyAlignment="0" applyProtection="0"/>
    <xf numFmtId="9" fontId="49" fillId="0" borderId="0" applyFont="0" applyFill="0" applyBorder="0" applyAlignment="0" applyProtection="0"/>
    <xf numFmtId="43" fontId="5" fillId="0" borderId="0" applyFont="0" applyFill="0" applyBorder="0" applyAlignment="0" applyProtection="0"/>
    <xf numFmtId="4" fontId="28" fillId="45" borderId="8" applyNumberFormat="0" applyProtection="0">
      <alignment horizontal="left" vertical="center" indent="1"/>
    </xf>
    <xf numFmtId="4" fontId="28" fillId="30" borderId="8" applyNumberFormat="0" applyProtection="0">
      <alignment horizontal="left" vertical="center" indent="1"/>
    </xf>
  </cellStyleXfs>
  <cellXfs count="693">
    <xf numFmtId="0" fontId="0" fillId="0" borderId="0" xfId="0"/>
    <xf numFmtId="0" fontId="0" fillId="0" borderId="0" xfId="0" applyFill="1"/>
    <xf numFmtId="169" fontId="0" fillId="0" borderId="0" xfId="0" applyNumberFormat="1" applyFill="1"/>
    <xf numFmtId="0" fontId="0" fillId="0" borderId="0" xfId="0" applyFill="1" applyAlignment="1">
      <alignment horizontal="left"/>
    </xf>
    <xf numFmtId="0" fontId="7" fillId="0" borderId="0" xfId="0" applyFont="1" applyFill="1"/>
    <xf numFmtId="0" fontId="9" fillId="0" borderId="0" xfId="0" applyFont="1" applyFill="1"/>
    <xf numFmtId="0" fontId="12" fillId="0" borderId="0" xfId="0" applyFont="1" applyFill="1" applyAlignment="1">
      <alignment horizontal="left"/>
    </xf>
    <xf numFmtId="0" fontId="6" fillId="0" borderId="0" xfId="0" applyFont="1" applyFill="1"/>
    <xf numFmtId="0" fontId="9" fillId="0" borderId="0" xfId="0" applyFont="1" applyFill="1" applyAlignment="1">
      <alignment horizontal="center" wrapText="1"/>
    </xf>
    <xf numFmtId="0" fontId="7" fillId="0" borderId="0" xfId="0" applyFont="1" applyFill="1" applyAlignment="1">
      <alignment horizontal="center"/>
    </xf>
    <xf numFmtId="17" fontId="0" fillId="0" borderId="0" xfId="0" applyNumberFormat="1" applyFill="1"/>
    <xf numFmtId="3" fontId="8" fillId="0" borderId="0" xfId="0" applyNumberFormat="1" applyFont="1" applyFill="1"/>
    <xf numFmtId="0" fontId="0" fillId="0" borderId="0" xfId="0" applyFill="1" applyAlignment="1">
      <alignment horizontal="right"/>
    </xf>
    <xf numFmtId="0" fontId="0" fillId="0" borderId="0" xfId="0" applyFill="1" applyAlignment="1"/>
    <xf numFmtId="0" fontId="0" fillId="0" borderId="0" xfId="0" applyFill="1" applyAlignment="1">
      <alignment horizontal="center"/>
    </xf>
    <xf numFmtId="17" fontId="0" fillId="0" borderId="0" xfId="0" applyNumberFormat="1" applyFill="1" applyAlignment="1">
      <alignment horizontal="right"/>
    </xf>
    <xf numFmtId="169" fontId="0" fillId="0" borderId="0" xfId="33" applyNumberFormat="1" applyFont="1" applyFill="1"/>
    <xf numFmtId="169" fontId="16" fillId="0" borderId="0" xfId="33" applyNumberFormat="1" applyFont="1" applyFill="1"/>
    <xf numFmtId="0" fontId="0" fillId="0" borderId="0" xfId="0" quotePrefix="1" applyFill="1"/>
    <xf numFmtId="0" fontId="13" fillId="0" borderId="0" xfId="0" applyFont="1" applyFill="1" applyAlignment="1">
      <alignment horizontal="left"/>
    </xf>
    <xf numFmtId="172" fontId="0" fillId="0" borderId="0" xfId="0" applyNumberFormat="1" applyFill="1"/>
    <xf numFmtId="43" fontId="6" fillId="0" borderId="0" xfId="28" quotePrefix="1" applyNumberFormat="1" applyFont="1" applyFill="1" applyBorder="1"/>
    <xf numFmtId="43" fontId="7" fillId="0" borderId="0" xfId="28" quotePrefix="1" applyNumberFormat="1" applyFont="1" applyFill="1" applyBorder="1"/>
    <xf numFmtId="43" fontId="6" fillId="0" borderId="0" xfId="28" quotePrefix="1" applyFont="1" applyFill="1"/>
    <xf numFmtId="43" fontId="6" fillId="0" borderId="0" xfId="28" applyNumberFormat="1" applyFont="1" applyFill="1" applyBorder="1" applyAlignment="1">
      <alignment horizontal="right"/>
    </xf>
    <xf numFmtId="0" fontId="7" fillId="0" borderId="0" xfId="0" applyFont="1" applyFill="1" applyAlignment="1">
      <alignment horizontal="right"/>
    </xf>
    <xf numFmtId="43" fontId="6" fillId="0" borderId="0" xfId="28" quotePrefix="1" applyNumberFormat="1" applyFont="1" applyFill="1"/>
    <xf numFmtId="9" fontId="0" fillId="0" borderId="0" xfId="57" applyFont="1" applyFill="1"/>
    <xf numFmtId="169" fontId="0" fillId="0" borderId="0" xfId="33" quotePrefix="1" applyNumberFormat="1" applyFont="1" applyFill="1"/>
    <xf numFmtId="0" fontId="7" fillId="0" borderId="0" xfId="0" applyFont="1" applyFill="1" applyAlignment="1">
      <alignment horizontal="center" wrapText="1"/>
    </xf>
    <xf numFmtId="175" fontId="7" fillId="0" borderId="0" xfId="28" quotePrefix="1" applyNumberFormat="1" applyFont="1" applyFill="1" applyBorder="1"/>
    <xf numFmtId="175" fontId="6" fillId="0" borderId="0" xfId="28" quotePrefix="1" applyNumberFormat="1" applyFont="1" applyFill="1" applyBorder="1"/>
    <xf numFmtId="175" fontId="0" fillId="0" borderId="0" xfId="0" applyNumberFormat="1" applyFill="1"/>
    <xf numFmtId="175" fontId="7" fillId="0" borderId="0" xfId="0" applyNumberFormat="1" applyFont="1" applyFill="1"/>
    <xf numFmtId="175" fontId="6" fillId="0" borderId="0" xfId="28" quotePrefix="1" applyNumberFormat="1" applyFont="1" applyFill="1"/>
    <xf numFmtId="44" fontId="8" fillId="0" borderId="0" xfId="33" applyFont="1" applyFill="1"/>
    <xf numFmtId="44" fontId="0" fillId="0" borderId="0" xfId="0" applyNumberFormat="1" applyFill="1"/>
    <xf numFmtId="0" fontId="13" fillId="0" borderId="0" xfId="0" applyFont="1" applyFill="1" applyAlignment="1">
      <alignment horizontal="center"/>
    </xf>
    <xf numFmtId="166" fontId="8" fillId="0" borderId="0" xfId="0" applyNumberFormat="1" applyFont="1" applyFill="1"/>
    <xf numFmtId="0" fontId="6" fillId="0" borderId="0" xfId="0" applyFont="1" applyFill="1" applyAlignment="1">
      <alignment horizontal="left"/>
    </xf>
    <xf numFmtId="171" fontId="7" fillId="0" borderId="0" xfId="33" quotePrefix="1" applyNumberFormat="1" applyFont="1" applyFill="1" applyBorder="1"/>
    <xf numFmtId="0" fontId="7" fillId="0" borderId="0" xfId="0" applyFont="1" applyFill="1" applyAlignment="1">
      <alignment horizontal="left"/>
    </xf>
    <xf numFmtId="3" fontId="6" fillId="0" borderId="0" xfId="0" applyNumberFormat="1" applyFont="1" applyFill="1"/>
    <xf numFmtId="169" fontId="16" fillId="0" borderId="0" xfId="0" applyNumberFormat="1" applyFont="1" applyFill="1"/>
    <xf numFmtId="169" fontId="16" fillId="0" borderId="0" xfId="33" quotePrefix="1" applyNumberFormat="1" applyFont="1" applyFill="1"/>
    <xf numFmtId="172" fontId="7" fillId="0" borderId="0" xfId="33" quotePrefix="1" applyNumberFormat="1" applyFont="1" applyFill="1"/>
    <xf numFmtId="172" fontId="6" fillId="0" borderId="0" xfId="33" quotePrefix="1" applyNumberFormat="1" applyFont="1" applyFill="1"/>
    <xf numFmtId="172" fontId="6" fillId="0" borderId="0" xfId="33" applyNumberFormat="1" applyFont="1" applyFill="1"/>
    <xf numFmtId="167" fontId="0" fillId="0" borderId="0" xfId="57" applyNumberFormat="1" applyFont="1" applyFill="1"/>
    <xf numFmtId="167" fontId="13" fillId="0" borderId="0" xfId="57" applyNumberFormat="1" applyFont="1" applyFill="1"/>
    <xf numFmtId="0" fontId="6" fillId="0" borderId="0" xfId="0" applyFont="1" applyFill="1" applyAlignment="1">
      <alignment horizontal="center"/>
    </xf>
    <xf numFmtId="0" fontId="0" fillId="0" borderId="11" xfId="0" applyFill="1" applyBorder="1"/>
    <xf numFmtId="0" fontId="0" fillId="0" borderId="12" xfId="0" applyFill="1" applyBorder="1"/>
    <xf numFmtId="0" fontId="0" fillId="0" borderId="13" xfId="0" applyFill="1" applyBorder="1"/>
    <xf numFmtId="0" fontId="0" fillId="0" borderId="14" xfId="0" applyFill="1" applyBorder="1" applyAlignment="1">
      <alignment horizontal="center"/>
    </xf>
    <xf numFmtId="0" fontId="0" fillId="0" borderId="0" xfId="0" applyFill="1" applyBorder="1"/>
    <xf numFmtId="0" fontId="9" fillId="0" borderId="0" xfId="0" applyFont="1" applyFill="1" applyBorder="1"/>
    <xf numFmtId="171" fontId="0" fillId="0" borderId="0" xfId="33" applyNumberFormat="1" applyFont="1" applyFill="1"/>
    <xf numFmtId="171" fontId="6" fillId="0" borderId="0" xfId="33" applyNumberFormat="1" applyFont="1" applyFill="1"/>
    <xf numFmtId="171" fontId="7" fillId="0" borderId="0" xfId="33" quotePrefix="1" applyNumberFormat="1" applyFont="1" applyFill="1"/>
    <xf numFmtId="0" fontId="12" fillId="0" borderId="0" xfId="0" applyFont="1" applyFill="1"/>
    <xf numFmtId="166" fontId="12" fillId="0" borderId="0" xfId="0" applyNumberFormat="1" applyFont="1" applyFill="1"/>
    <xf numFmtId="0" fontId="0" fillId="0" borderId="15" xfId="0" applyFill="1" applyBorder="1"/>
    <xf numFmtId="0" fontId="13" fillId="0" borderId="14" xfId="0" applyFont="1" applyFill="1" applyBorder="1" applyAlignment="1">
      <alignment horizontal="center"/>
    </xf>
    <xf numFmtId="0" fontId="0" fillId="0" borderId="16" xfId="0" applyFill="1" applyBorder="1"/>
    <xf numFmtId="0" fontId="0" fillId="0" borderId="17" xfId="0" applyFill="1" applyBorder="1"/>
    <xf numFmtId="0" fontId="0" fillId="0" borderId="18" xfId="0" applyFill="1" applyBorder="1"/>
    <xf numFmtId="180" fontId="7" fillId="0" borderId="0" xfId="33" quotePrefix="1" applyNumberFormat="1" applyFont="1" applyFill="1"/>
    <xf numFmtId="0" fontId="8" fillId="0" borderId="0" xfId="0" applyFont="1" applyFill="1"/>
    <xf numFmtId="0" fontId="15" fillId="0" borderId="0" xfId="49" applyFill="1" applyAlignment="1" applyProtection="1"/>
    <xf numFmtId="0" fontId="10" fillId="0" borderId="0" xfId="0" applyFont="1" applyFill="1"/>
    <xf numFmtId="0" fontId="5" fillId="0" borderId="0" xfId="0" applyFont="1" applyFill="1" applyAlignment="1">
      <alignment horizontal="left"/>
    </xf>
    <xf numFmtId="0" fontId="5" fillId="0" borderId="0" xfId="0" applyFont="1"/>
    <xf numFmtId="0" fontId="5" fillId="0" borderId="0" xfId="0" applyFont="1" applyFill="1"/>
    <xf numFmtId="0" fontId="5" fillId="0" borderId="23" xfId="0" applyFont="1" applyBorder="1" applyAlignment="1">
      <alignment horizontal="left"/>
    </xf>
    <xf numFmtId="0" fontId="5" fillId="0" borderId="23" xfId="0" applyFont="1" applyFill="1" applyBorder="1" applyAlignment="1">
      <alignment horizontal="left"/>
    </xf>
    <xf numFmtId="0" fontId="0" fillId="0" borderId="23" xfId="0" applyBorder="1"/>
    <xf numFmtId="0" fontId="0" fillId="24" borderId="0" xfId="0" applyFill="1" applyBorder="1" applyAlignment="1">
      <alignment horizontal="left"/>
    </xf>
    <xf numFmtId="0" fontId="0" fillId="24" borderId="0" xfId="0" applyFill="1" applyBorder="1"/>
    <xf numFmtId="0" fontId="7" fillId="24" borderId="0" xfId="0" applyFont="1" applyFill="1" applyBorder="1" applyAlignment="1">
      <alignment horizontal="center"/>
    </xf>
    <xf numFmtId="0" fontId="11" fillId="24" borderId="0" xfId="0" applyFont="1" applyFill="1" applyBorder="1" applyAlignment="1">
      <alignment horizontal="left"/>
    </xf>
    <xf numFmtId="0" fontId="7" fillId="24" borderId="0" xfId="0" applyFont="1" applyFill="1" applyBorder="1"/>
    <xf numFmtId="0" fontId="9" fillId="24" borderId="0" xfId="0" applyFont="1" applyFill="1" applyBorder="1"/>
    <xf numFmtId="0" fontId="12" fillId="24" borderId="0" xfId="0" applyFont="1" applyFill="1" applyBorder="1" applyAlignment="1">
      <alignment horizontal="left"/>
    </xf>
    <xf numFmtId="0" fontId="7" fillId="24" borderId="0" xfId="0" quotePrefix="1" applyFont="1" applyFill="1" applyBorder="1"/>
    <xf numFmtId="0" fontId="9" fillId="24" borderId="0" xfId="0" applyFont="1" applyFill="1" applyBorder="1" applyAlignment="1">
      <alignment horizontal="left"/>
    </xf>
    <xf numFmtId="0" fontId="9" fillId="24" borderId="23" xfId="0" applyFont="1" applyFill="1" applyBorder="1" applyAlignment="1">
      <alignment horizontal="center" wrapText="1"/>
    </xf>
    <xf numFmtId="0" fontId="9" fillId="24" borderId="23" xfId="0" applyFont="1" applyFill="1" applyBorder="1"/>
    <xf numFmtId="0" fontId="9" fillId="24" borderId="0" xfId="0" applyFont="1" applyFill="1" applyBorder="1" applyAlignment="1">
      <alignment horizontal="center" wrapText="1"/>
    </xf>
    <xf numFmtId="0" fontId="9" fillId="24" borderId="23" xfId="0" quotePrefix="1" applyFont="1" applyFill="1" applyBorder="1"/>
    <xf numFmtId="0" fontId="7" fillId="24" borderId="23" xfId="0" applyFont="1" applyFill="1" applyBorder="1" applyAlignment="1">
      <alignment horizontal="center"/>
    </xf>
    <xf numFmtId="0" fontId="14" fillId="24" borderId="0" xfId="0" applyFont="1" applyFill="1" applyBorder="1" applyAlignment="1">
      <alignment horizontal="center"/>
    </xf>
    <xf numFmtId="0" fontId="9" fillId="24" borderId="0" xfId="0" applyFont="1" applyFill="1" applyBorder="1" applyAlignment="1">
      <alignment horizontal="center"/>
    </xf>
    <xf numFmtId="0" fontId="0" fillId="24" borderId="23" xfId="0" applyFill="1" applyBorder="1"/>
    <xf numFmtId="17" fontId="0" fillId="24" borderId="23" xfId="0" applyNumberFormat="1" applyFill="1" applyBorder="1"/>
    <xf numFmtId="173" fontId="8" fillId="24" borderId="0" xfId="57" quotePrefix="1" applyNumberFormat="1" applyFont="1" applyFill="1" applyBorder="1"/>
    <xf numFmtId="9" fontId="8" fillId="24" borderId="0" xfId="57" quotePrefix="1" applyFont="1" applyFill="1" applyBorder="1"/>
    <xf numFmtId="17" fontId="0" fillId="24" borderId="0" xfId="0" applyNumberFormat="1" applyFill="1" applyBorder="1"/>
    <xf numFmtId="9" fontId="9" fillId="24" borderId="0" xfId="57" applyFont="1" applyFill="1" applyBorder="1"/>
    <xf numFmtId="9" fontId="8" fillId="24" borderId="0" xfId="57" applyNumberFormat="1" applyFont="1" applyFill="1" applyBorder="1"/>
    <xf numFmtId="1" fontId="8" fillId="24" borderId="0" xfId="57" quotePrefix="1" applyNumberFormat="1" applyFont="1" applyFill="1" applyBorder="1"/>
    <xf numFmtId="17" fontId="7" fillId="24" borderId="0" xfId="0" applyNumberFormat="1" applyFont="1" applyFill="1" applyBorder="1"/>
    <xf numFmtId="17" fontId="9" fillId="24" borderId="0" xfId="0" applyNumberFormat="1" applyFont="1" applyFill="1" applyBorder="1"/>
    <xf numFmtId="0" fontId="15" fillId="24" borderId="0" xfId="49" applyFill="1" applyBorder="1" applyAlignment="1" applyProtection="1"/>
    <xf numFmtId="0" fontId="0" fillId="24" borderId="0" xfId="0" applyFill="1" applyBorder="1" applyAlignment="1">
      <alignment horizontal="center"/>
    </xf>
    <xf numFmtId="3" fontId="0" fillId="24" borderId="0" xfId="0" applyNumberFormat="1" applyFill="1" applyBorder="1" applyAlignment="1"/>
    <xf numFmtId="0" fontId="0" fillId="24" borderId="23" xfId="0" applyFill="1" applyBorder="1" applyAlignment="1">
      <alignment horizontal="center"/>
    </xf>
    <xf numFmtId="3" fontId="0" fillId="24" borderId="0" xfId="0" quotePrefix="1" applyNumberFormat="1" applyFill="1" applyBorder="1"/>
    <xf numFmtId="3" fontId="0" fillId="24" borderId="0" xfId="0" applyNumberFormat="1" applyFill="1" applyBorder="1"/>
    <xf numFmtId="9" fontId="0" fillId="24" borderId="0" xfId="57" applyFont="1" applyFill="1" applyBorder="1" applyAlignment="1"/>
    <xf numFmtId="3" fontId="8" fillId="24" borderId="0" xfId="0" applyNumberFormat="1" applyFont="1" applyFill="1" applyBorder="1"/>
    <xf numFmtId="0" fontId="0" fillId="24" borderId="0" xfId="0" applyFill="1" applyBorder="1" applyAlignment="1">
      <alignment horizontal="right"/>
    </xf>
    <xf numFmtId="9" fontId="0" fillId="24" borderId="0" xfId="0" applyNumberFormat="1" applyFill="1" applyBorder="1"/>
    <xf numFmtId="17" fontId="0" fillId="24" borderId="0" xfId="0" applyNumberFormat="1" applyFill="1" applyBorder="1" applyAlignment="1">
      <alignment horizontal="center"/>
    </xf>
    <xf numFmtId="37" fontId="0" fillId="24" borderId="0" xfId="0" applyNumberFormat="1" applyFill="1" applyBorder="1"/>
    <xf numFmtId="10" fontId="0" fillId="24" borderId="0" xfId="0" applyNumberFormat="1" applyFill="1" applyBorder="1"/>
    <xf numFmtId="0" fontId="12" fillId="24" borderId="0" xfId="0" applyFont="1" applyFill="1" applyBorder="1" applyAlignment="1">
      <alignment horizontal="center"/>
    </xf>
    <xf numFmtId="0" fontId="0" fillId="24" borderId="0" xfId="0" applyFill="1" applyBorder="1" applyAlignment="1"/>
    <xf numFmtId="0" fontId="9" fillId="24" borderId="0" xfId="0" applyFont="1" applyFill="1" applyBorder="1" applyAlignment="1"/>
    <xf numFmtId="166" fontId="0" fillId="24" borderId="0" xfId="0" applyNumberFormat="1" applyFill="1" applyBorder="1"/>
    <xf numFmtId="9" fontId="0" fillId="24" borderId="0" xfId="57" applyNumberFormat="1" applyFont="1" applyFill="1" applyBorder="1"/>
    <xf numFmtId="4" fontId="8" fillId="24" borderId="0" xfId="0" applyNumberFormat="1" applyFont="1" applyFill="1" applyBorder="1"/>
    <xf numFmtId="9" fontId="8" fillId="24" borderId="0" xfId="57" applyFont="1" applyFill="1" applyBorder="1"/>
    <xf numFmtId="167" fontId="8" fillId="24" borderId="0" xfId="0" applyNumberFormat="1" applyFont="1" applyFill="1" applyBorder="1"/>
    <xf numFmtId="0" fontId="0" fillId="24" borderId="0" xfId="0" quotePrefix="1" applyFill="1" applyBorder="1"/>
    <xf numFmtId="170" fontId="0" fillId="24" borderId="0" xfId="0" applyNumberFormat="1" applyFill="1" applyBorder="1"/>
    <xf numFmtId="165" fontId="0" fillId="24" borderId="0" xfId="0" applyNumberFormat="1" applyFill="1" applyBorder="1"/>
    <xf numFmtId="165" fontId="0" fillId="24" borderId="0" xfId="0" quotePrefix="1" applyNumberFormat="1" applyFill="1" applyBorder="1"/>
    <xf numFmtId="4" fontId="0" fillId="24" borderId="0" xfId="0" applyNumberFormat="1" applyFill="1" applyBorder="1" applyAlignment="1">
      <alignment wrapText="1"/>
    </xf>
    <xf numFmtId="168" fontId="7" fillId="24" borderId="0" xfId="0" applyNumberFormat="1" applyFont="1" applyFill="1" applyBorder="1"/>
    <xf numFmtId="168" fontId="0" fillId="24" borderId="0" xfId="0" applyNumberFormat="1" applyFill="1" applyBorder="1"/>
    <xf numFmtId="178" fontId="0" fillId="24" borderId="0" xfId="0" applyNumberFormat="1" applyFill="1" applyBorder="1"/>
    <xf numFmtId="168" fontId="8" fillId="24" borderId="0" xfId="0" applyNumberFormat="1" applyFont="1" applyFill="1" applyBorder="1"/>
    <xf numFmtId="0" fontId="5" fillId="24" borderId="0" xfId="0" applyFont="1" applyFill="1" applyBorder="1"/>
    <xf numFmtId="0" fontId="0" fillId="24" borderId="0" xfId="0" quotePrefix="1" applyFill="1" applyBorder="1" applyAlignment="1">
      <alignment horizontal="right"/>
    </xf>
    <xf numFmtId="44" fontId="0" fillId="24" borderId="0" xfId="33" quotePrefix="1" applyFont="1" applyFill="1" applyBorder="1"/>
    <xf numFmtId="0" fontId="9" fillId="24" borderId="0" xfId="0" quotePrefix="1" applyFont="1" applyFill="1" applyBorder="1"/>
    <xf numFmtId="44" fontId="0" fillId="24" borderId="0" xfId="33" applyFont="1" applyFill="1" applyBorder="1"/>
    <xf numFmtId="3" fontId="0" fillId="24" borderId="0" xfId="0" applyNumberFormat="1" applyFill="1" applyBorder="1" applyAlignment="1">
      <alignment horizontal="center"/>
    </xf>
    <xf numFmtId="169" fontId="8" fillId="24" borderId="0" xfId="33" applyNumberFormat="1" applyFont="1" applyFill="1" applyBorder="1"/>
    <xf numFmtId="17" fontId="0" fillId="24" borderId="0" xfId="0" applyNumberFormat="1" applyFill="1" applyBorder="1" applyAlignment="1">
      <alignment horizontal="right"/>
    </xf>
    <xf numFmtId="44" fontId="0" fillId="24" borderId="0" xfId="0" applyNumberFormat="1" applyFill="1" applyBorder="1"/>
    <xf numFmtId="0" fontId="13" fillId="24" borderId="0" xfId="0" applyFont="1" applyFill="1" applyBorder="1" applyAlignment="1">
      <alignment horizontal="left"/>
    </xf>
    <xf numFmtId="43" fontId="0" fillId="24" borderId="0" xfId="0" applyNumberFormat="1" applyFill="1" applyBorder="1"/>
    <xf numFmtId="172" fontId="0" fillId="24" borderId="0" xfId="0" applyNumberFormat="1" applyFill="1" applyBorder="1"/>
    <xf numFmtId="17" fontId="13" fillId="24" borderId="0" xfId="0" applyNumberFormat="1" applyFont="1" applyFill="1" applyBorder="1" applyAlignment="1">
      <alignment horizontal="left"/>
    </xf>
    <xf numFmtId="169" fontId="0" fillId="24" borderId="0" xfId="33" applyNumberFormat="1" applyFont="1" applyFill="1" applyBorder="1"/>
    <xf numFmtId="169" fontId="0" fillId="24" borderId="0" xfId="0" applyNumberFormat="1" applyFill="1" applyBorder="1"/>
    <xf numFmtId="175" fontId="7" fillId="24" borderId="0" xfId="28" quotePrefix="1" applyNumberFormat="1" applyFont="1" applyFill="1" applyBorder="1"/>
    <xf numFmtId="43" fontId="7" fillId="24" borderId="0" xfId="28" quotePrefix="1" applyNumberFormat="1" applyFont="1" applyFill="1" applyBorder="1"/>
    <xf numFmtId="175" fontId="0" fillId="24" borderId="0" xfId="0" applyNumberFormat="1" applyFill="1" applyBorder="1"/>
    <xf numFmtId="175" fontId="7" fillId="24" borderId="0" xfId="0" applyNumberFormat="1" applyFont="1" applyFill="1" applyBorder="1"/>
    <xf numFmtId="0" fontId="7" fillId="24" borderId="0" xfId="0" applyFont="1" applyFill="1" applyBorder="1" applyAlignment="1">
      <alignment horizontal="right"/>
    </xf>
    <xf numFmtId="171" fontId="7" fillId="24" borderId="0" xfId="33" quotePrefix="1" applyNumberFormat="1" applyFont="1" applyFill="1" applyBorder="1"/>
    <xf numFmtId="0" fontId="7" fillId="24" borderId="0" xfId="0" applyFont="1" applyFill="1" applyBorder="1" applyAlignment="1">
      <alignment horizontal="center" wrapText="1"/>
    </xf>
    <xf numFmtId="174" fontId="0" fillId="24" borderId="0" xfId="28" applyNumberFormat="1" applyFont="1" applyFill="1" applyBorder="1"/>
    <xf numFmtId="0" fontId="5" fillId="24" borderId="0" xfId="0" applyFont="1" applyFill="1" applyBorder="1" applyAlignment="1">
      <alignment horizontal="left"/>
    </xf>
    <xf numFmtId="9" fontId="0" fillId="24" borderId="0" xfId="57" applyFont="1" applyFill="1" applyBorder="1"/>
    <xf numFmtId="169" fontId="0" fillId="24" borderId="0" xfId="57" applyNumberFormat="1" applyFont="1" applyFill="1" applyBorder="1"/>
    <xf numFmtId="0" fontId="9" fillId="24" borderId="0" xfId="0" applyFont="1" applyFill="1" applyBorder="1" applyAlignment="1">
      <alignment horizontal="right"/>
    </xf>
    <xf numFmtId="176" fontId="7" fillId="24" borderId="0" xfId="28" applyNumberFormat="1" applyFont="1" applyFill="1" applyBorder="1"/>
    <xf numFmtId="43" fontId="9" fillId="24" borderId="0" xfId="28" applyFont="1" applyFill="1" applyBorder="1"/>
    <xf numFmtId="169" fontId="0" fillId="24" borderId="0" xfId="33" quotePrefix="1" applyNumberFormat="1" applyFont="1" applyFill="1" applyBorder="1"/>
    <xf numFmtId="3" fontId="13" fillId="24" borderId="0" xfId="0" applyNumberFormat="1" applyFont="1" applyFill="1" applyBorder="1"/>
    <xf numFmtId="0" fontId="7" fillId="24" borderId="0" xfId="0" applyFont="1" applyFill="1" applyBorder="1" applyAlignment="1">
      <alignment horizontal="left"/>
    </xf>
    <xf numFmtId="0" fontId="0" fillId="24" borderId="0" xfId="0" applyFill="1" applyBorder="1" applyAlignment="1">
      <alignment horizontal="center" wrapText="1"/>
    </xf>
    <xf numFmtId="44" fontId="5" fillId="24" borderId="0" xfId="0" applyNumberFormat="1" applyFont="1" applyFill="1" applyBorder="1"/>
    <xf numFmtId="168" fontId="0" fillId="24" borderId="0" xfId="0" applyNumberFormat="1" applyFill="1" applyBorder="1" applyAlignment="1">
      <alignment horizontal="right"/>
    </xf>
    <xf numFmtId="0" fontId="25" fillId="24" borderId="0" xfId="0" applyFont="1" applyFill="1" applyBorder="1"/>
    <xf numFmtId="6" fontId="0" fillId="24" borderId="0" xfId="0" applyNumberFormat="1" applyFill="1" applyBorder="1"/>
    <xf numFmtId="8" fontId="0" fillId="24" borderId="0" xfId="0" applyNumberFormat="1" applyFill="1" applyBorder="1"/>
    <xf numFmtId="182" fontId="0" fillId="24" borderId="0" xfId="0" applyNumberFormat="1" applyFill="1" applyBorder="1"/>
    <xf numFmtId="44" fontId="8" fillId="24" borderId="23" xfId="33" applyNumberFormat="1" applyFont="1" applyFill="1" applyBorder="1"/>
    <xf numFmtId="0" fontId="0" fillId="24" borderId="23" xfId="0" quotePrefix="1" applyFill="1" applyBorder="1"/>
    <xf numFmtId="0" fontId="5" fillId="24" borderId="23" xfId="0" applyFont="1" applyFill="1" applyBorder="1" applyAlignment="1">
      <alignment horizontal="left"/>
    </xf>
    <xf numFmtId="0" fontId="5" fillId="0" borderId="23" xfId="0" applyFont="1" applyBorder="1"/>
    <xf numFmtId="0" fontId="5" fillId="0" borderId="23" xfId="0" applyFont="1" applyFill="1" applyBorder="1"/>
    <xf numFmtId="44" fontId="47" fillId="0" borderId="0" xfId="33" applyFont="1" applyFill="1"/>
    <xf numFmtId="0" fontId="5" fillId="0" borderId="0" xfId="0" quotePrefix="1" applyFont="1" applyFill="1"/>
    <xf numFmtId="0" fontId="5" fillId="0" borderId="25" xfId="0" applyFont="1" applyFill="1" applyBorder="1"/>
    <xf numFmtId="0" fontId="5" fillId="0" borderId="25" xfId="0" applyFont="1" applyBorder="1"/>
    <xf numFmtId="0" fontId="7" fillId="0" borderId="0" xfId="0" applyFont="1"/>
    <xf numFmtId="0" fontId="7" fillId="26" borderId="23" xfId="0" applyFont="1" applyFill="1" applyBorder="1" applyAlignment="1">
      <alignment horizontal="center" wrapText="1"/>
    </xf>
    <xf numFmtId="169" fontId="7" fillId="0" borderId="0" xfId="0" applyNumberFormat="1" applyFont="1" applyFill="1"/>
    <xf numFmtId="165" fontId="0" fillId="0" borderId="14" xfId="0" applyNumberFormat="1" applyFill="1" applyBorder="1"/>
    <xf numFmtId="0" fontId="7" fillId="0" borderId="0" xfId="85" applyFont="1"/>
    <xf numFmtId="0" fontId="5" fillId="0" borderId="0" xfId="85" applyFill="1"/>
    <xf numFmtId="0" fontId="9" fillId="0" borderId="0" xfId="85" applyFont="1" applyFill="1" applyAlignment="1">
      <alignment horizontal="center" wrapText="1"/>
    </xf>
    <xf numFmtId="0" fontId="5" fillId="26" borderId="37" xfId="0" applyFont="1" applyFill="1" applyBorder="1" applyProtection="1">
      <protection locked="0"/>
    </xf>
    <xf numFmtId="0" fontId="5" fillId="26" borderId="38" xfId="0" applyFont="1" applyFill="1" applyBorder="1" applyProtection="1">
      <protection locked="0"/>
    </xf>
    <xf numFmtId="0" fontId="5" fillId="0" borderId="23" xfId="0" applyFont="1" applyBorder="1" applyProtection="1">
      <protection locked="0"/>
    </xf>
    <xf numFmtId="0" fontId="5" fillId="29" borderId="23" xfId="0" applyFont="1" applyFill="1" applyBorder="1" applyProtection="1">
      <protection locked="0"/>
    </xf>
    <xf numFmtId="0" fontId="5" fillId="0" borderId="39" xfId="0" applyFont="1" applyBorder="1" applyProtection="1">
      <protection locked="0"/>
    </xf>
    <xf numFmtId="0" fontId="5" fillId="0" borderId="39" xfId="0" applyFont="1" applyFill="1" applyBorder="1" applyProtection="1">
      <protection locked="0"/>
    </xf>
    <xf numFmtId="0" fontId="5" fillId="29" borderId="20" xfId="0" applyFont="1" applyFill="1" applyBorder="1" applyProtection="1">
      <protection locked="0"/>
    </xf>
    <xf numFmtId="10" fontId="5" fillId="0" borderId="23" xfId="57" applyNumberFormat="1" applyFont="1" applyFill="1" applyBorder="1"/>
    <xf numFmtId="0" fontId="5" fillId="0" borderId="0" xfId="85" applyFont="1" applyFill="1"/>
    <xf numFmtId="0" fontId="5" fillId="0" borderId="23" xfId="0" applyFont="1" applyFill="1" applyBorder="1" applyAlignment="1">
      <alignment horizontal="center" wrapText="1"/>
    </xf>
    <xf numFmtId="0" fontId="12" fillId="24" borderId="0" xfId="0" applyFont="1" applyFill="1" applyBorder="1" applyAlignment="1">
      <alignment horizontal="left" wrapText="1"/>
    </xf>
    <xf numFmtId="0" fontId="10" fillId="24" borderId="0" xfId="0" applyFont="1" applyFill="1" applyBorder="1" applyAlignment="1">
      <alignment wrapText="1"/>
    </xf>
    <xf numFmtId="39" fontId="5" fillId="24" borderId="0" xfId="0" quotePrefix="1" applyNumberFormat="1" applyFont="1" applyFill="1" applyBorder="1"/>
    <xf numFmtId="0" fontId="5" fillId="24" borderId="23" xfId="0" applyFont="1" applyFill="1" applyBorder="1"/>
    <xf numFmtId="0" fontId="5" fillId="24" borderId="23" xfId="0" applyFont="1" applyFill="1" applyBorder="1" applyAlignment="1">
      <alignment wrapText="1"/>
    </xf>
    <xf numFmtId="0" fontId="5" fillId="24" borderId="0" xfId="0" applyFont="1" applyFill="1" applyBorder="1" applyAlignment="1">
      <alignment wrapText="1"/>
    </xf>
    <xf numFmtId="9" fontId="5" fillId="24" borderId="0" xfId="57" quotePrefix="1" applyFont="1" applyFill="1" applyBorder="1"/>
    <xf numFmtId="0" fontId="5" fillId="24" borderId="23" xfId="0" applyFont="1" applyFill="1" applyBorder="1" applyAlignment="1">
      <alignment horizontal="center"/>
    </xf>
    <xf numFmtId="174" fontId="8" fillId="24" borderId="0" xfId="28" applyNumberFormat="1" applyFont="1" applyFill="1" applyBorder="1" applyAlignment="1">
      <alignment horizontal="center"/>
    </xf>
    <xf numFmtId="173" fontId="5" fillId="24" borderId="0" xfId="0" applyNumberFormat="1" applyFont="1" applyFill="1" applyBorder="1"/>
    <xf numFmtId="0" fontId="5" fillId="24" borderId="0" xfId="0" quotePrefix="1" applyFont="1" applyFill="1" applyBorder="1"/>
    <xf numFmtId="177" fontId="5" fillId="24" borderId="0" xfId="0" applyNumberFormat="1" applyFont="1" applyFill="1" applyBorder="1"/>
    <xf numFmtId="166" fontId="5" fillId="24" borderId="0" xfId="0" applyNumberFormat="1" applyFont="1" applyFill="1" applyBorder="1"/>
    <xf numFmtId="9" fontId="5" fillId="24" borderId="0" xfId="57" applyNumberFormat="1" applyFont="1" applyFill="1" applyBorder="1"/>
    <xf numFmtId="167" fontId="5" fillId="24" borderId="0" xfId="0" applyNumberFormat="1" applyFont="1" applyFill="1" applyBorder="1"/>
    <xf numFmtId="168" fontId="5" fillId="24" borderId="0" xfId="0" applyNumberFormat="1" applyFont="1" applyFill="1" applyBorder="1"/>
    <xf numFmtId="3" fontId="5" fillId="24" borderId="0" xfId="0" applyNumberFormat="1" applyFont="1" applyFill="1" applyBorder="1" applyAlignment="1">
      <alignment horizontal="right"/>
    </xf>
    <xf numFmtId="168" fontId="5" fillId="24" borderId="0" xfId="0" applyNumberFormat="1" applyFont="1" applyFill="1" applyBorder="1" applyAlignment="1">
      <alignment horizontal="right"/>
    </xf>
    <xf numFmtId="0" fontId="5" fillId="24" borderId="0" xfId="0" applyFont="1" applyFill="1" applyBorder="1" applyAlignment="1">
      <alignment horizontal="right"/>
    </xf>
    <xf numFmtId="44" fontId="5" fillId="24" borderId="0" xfId="33" quotePrefix="1" applyFont="1" applyFill="1" applyBorder="1"/>
    <xf numFmtId="172" fontId="5" fillId="24" borderId="0" xfId="33" applyNumberFormat="1" applyFont="1" applyFill="1" applyBorder="1"/>
    <xf numFmtId="169" fontId="5" fillId="24" borderId="0" xfId="33" quotePrefix="1" applyNumberFormat="1" applyFont="1" applyFill="1" applyBorder="1"/>
    <xf numFmtId="175" fontId="5" fillId="24" borderId="0" xfId="28" quotePrefix="1" applyNumberFormat="1" applyFont="1" applyFill="1" applyBorder="1"/>
    <xf numFmtId="43" fontId="5" fillId="24" borderId="0" xfId="28" quotePrefix="1" applyFont="1" applyFill="1" applyBorder="1"/>
    <xf numFmtId="43" fontId="5" fillId="24" borderId="0" xfId="28" quotePrefix="1" applyNumberFormat="1" applyFont="1" applyFill="1" applyBorder="1"/>
    <xf numFmtId="43" fontId="5" fillId="24" borderId="0" xfId="28" applyNumberFormat="1" applyFont="1" applyFill="1" applyBorder="1" applyAlignment="1">
      <alignment horizontal="right"/>
    </xf>
    <xf numFmtId="172" fontId="5" fillId="24" borderId="0" xfId="33" quotePrefix="1" applyNumberFormat="1" applyFont="1" applyFill="1" applyBorder="1"/>
    <xf numFmtId="169" fontId="5" fillId="24" borderId="0" xfId="33" applyNumberFormat="1" applyFont="1" applyFill="1" applyBorder="1"/>
    <xf numFmtId="176" fontId="5" fillId="24" borderId="0" xfId="28" quotePrefix="1" applyNumberFormat="1" applyFont="1" applyFill="1" applyBorder="1"/>
    <xf numFmtId="182" fontId="8" fillId="24" borderId="0" xfId="0" applyNumberFormat="1" applyFont="1" applyFill="1" applyBorder="1"/>
    <xf numFmtId="6" fontId="8" fillId="24" borderId="0" xfId="0" applyNumberFormat="1" applyFont="1" applyFill="1" applyBorder="1"/>
    <xf numFmtId="0" fontId="10" fillId="24" borderId="0" xfId="0" applyFont="1" applyFill="1" applyBorder="1" applyAlignment="1">
      <alignment horizontal="right" vertical="center" wrapText="1"/>
    </xf>
    <xf numFmtId="0" fontId="5" fillId="0" borderId="25" xfId="0" applyFont="1" applyBorder="1" applyAlignment="1">
      <alignment horizontal="left"/>
    </xf>
    <xf numFmtId="0" fontId="5" fillId="0" borderId="23" xfId="0" applyFont="1" applyBorder="1" applyAlignment="1">
      <alignment wrapText="1"/>
    </xf>
    <xf numFmtId="185" fontId="5" fillId="0" borderId="23" xfId="0" applyNumberFormat="1" applyFont="1" applyFill="1" applyBorder="1"/>
    <xf numFmtId="185" fontId="5" fillId="0" borderId="23" xfId="0" applyNumberFormat="1" applyFont="1" applyBorder="1"/>
    <xf numFmtId="185" fontId="5" fillId="0" borderId="23" xfId="0" applyNumberFormat="1" applyFont="1" applyBorder="1" applyAlignment="1">
      <alignment horizontal="left"/>
    </xf>
    <xf numFmtId="185" fontId="5" fillId="0" borderId="23" xfId="57" applyNumberFormat="1" applyFont="1" applyFill="1" applyBorder="1"/>
    <xf numFmtId="0" fontId="0" fillId="0" borderId="23" xfId="0" applyBorder="1" applyAlignment="1">
      <alignment horizontal="center" wrapText="1"/>
    </xf>
    <xf numFmtId="14" fontId="0" fillId="0" borderId="0" xfId="0" applyNumberFormat="1"/>
    <xf numFmtId="169" fontId="5" fillId="0" borderId="0" xfId="33" applyNumberFormat="1" applyFont="1" applyFill="1"/>
    <xf numFmtId="14" fontId="5" fillId="0" borderId="0" xfId="0" applyNumberFormat="1" applyFont="1"/>
    <xf numFmtId="0" fontId="5" fillId="0" borderId="0" xfId="0" applyFont="1" applyFill="1" applyAlignment="1">
      <alignment horizontal="center"/>
    </xf>
    <xf numFmtId="169" fontId="47" fillId="0" borderId="0" xfId="33" applyNumberFormat="1" applyFont="1" applyFill="1"/>
    <xf numFmtId="0" fontId="47" fillId="0" borderId="0" xfId="0" applyFont="1" applyFill="1"/>
    <xf numFmtId="0" fontId="47" fillId="0" borderId="0" xfId="0" quotePrefix="1" applyFont="1" applyFill="1"/>
    <xf numFmtId="169" fontId="55" fillId="0" borderId="0" xfId="33" applyNumberFormat="1" applyFont="1" applyFill="1"/>
    <xf numFmtId="44" fontId="47" fillId="0" borderId="0" xfId="33" quotePrefix="1" applyFont="1" applyFill="1"/>
    <xf numFmtId="0" fontId="5" fillId="0" borderId="0" xfId="0" quotePrefix="1" applyFont="1"/>
    <xf numFmtId="0" fontId="7" fillId="0" borderId="0" xfId="85" applyFont="1" applyFill="1"/>
    <xf numFmtId="0" fontId="5" fillId="0" borderId="0" xfId="85" applyFill="1" applyAlignment="1">
      <alignment horizontal="right"/>
    </xf>
    <xf numFmtId="44" fontId="5" fillId="0" borderId="0" xfId="100" applyNumberFormat="1" applyFont="1" applyFill="1"/>
    <xf numFmtId="0" fontId="5" fillId="0" borderId="0" xfId="85" quotePrefix="1" applyFill="1"/>
    <xf numFmtId="44" fontId="5" fillId="0" borderId="0" xfId="100" applyFont="1" applyFill="1"/>
    <xf numFmtId="0" fontId="7" fillId="0" borderId="0" xfId="85" applyFont="1" applyFill="1" applyAlignment="1"/>
    <xf numFmtId="44" fontId="5" fillId="0" borderId="17" xfId="100" applyFont="1" applyFill="1" applyBorder="1"/>
    <xf numFmtId="44" fontId="5" fillId="0" borderId="0" xfId="85" applyNumberFormat="1" applyFill="1"/>
    <xf numFmtId="0" fontId="7" fillId="0" borderId="0" xfId="85" applyFont="1" applyFill="1" applyAlignment="1">
      <alignment horizontal="center"/>
    </xf>
    <xf numFmtId="168" fontId="8" fillId="0" borderId="0" xfId="85" applyNumberFormat="1" applyFont="1" applyFill="1"/>
    <xf numFmtId="3" fontId="8" fillId="0" borderId="0" xfId="85" applyNumberFormat="1" applyFont="1" applyFill="1"/>
    <xf numFmtId="3" fontId="5" fillId="0" borderId="0" xfId="85" applyNumberFormat="1" applyFill="1"/>
    <xf numFmtId="0" fontId="9" fillId="0" borderId="0" xfId="85" applyFont="1" applyFill="1"/>
    <xf numFmtId="172" fontId="5" fillId="0" borderId="0" xfId="100" applyNumberFormat="1" applyFill="1"/>
    <xf numFmtId="186" fontId="7" fillId="0" borderId="0" xfId="85" applyNumberFormat="1" applyFont="1" applyFill="1"/>
    <xf numFmtId="186" fontId="5" fillId="0" borderId="0" xfId="85" applyNumberFormat="1" applyFill="1"/>
    <xf numFmtId="172" fontId="7" fillId="0" borderId="0" xfId="100" applyNumberFormat="1" applyFont="1" applyFill="1"/>
    <xf numFmtId="0" fontId="5" fillId="0" borderId="0" xfId="85" applyFill="1" applyAlignment="1">
      <alignment horizontal="center"/>
    </xf>
    <xf numFmtId="3" fontId="5" fillId="0" borderId="0" xfId="85" applyNumberFormat="1" applyFont="1" applyFill="1"/>
    <xf numFmtId="169" fontId="5" fillId="0" borderId="0" xfId="100" applyNumberFormat="1" applyFill="1"/>
    <xf numFmtId="169" fontId="5" fillId="0" borderId="0" xfId="85" applyNumberFormat="1" applyFill="1"/>
    <xf numFmtId="0" fontId="25" fillId="0" borderId="0" xfId="85" applyFont="1" applyFill="1"/>
    <xf numFmtId="0" fontId="5" fillId="0" borderId="0" xfId="85" applyAlignment="1">
      <alignment vertical="center" wrapText="1"/>
    </xf>
    <xf numFmtId="44" fontId="7" fillId="0" borderId="0" xfId="85" applyNumberFormat="1" applyFont="1" applyFill="1"/>
    <xf numFmtId="9" fontId="5" fillId="0" borderId="0" xfId="103" applyFill="1"/>
    <xf numFmtId="9" fontId="5" fillId="0" borderId="0" xfId="103" applyFont="1" applyFill="1"/>
    <xf numFmtId="4" fontId="7" fillId="0" borderId="39" xfId="85" applyNumberFormat="1" applyFont="1" applyFill="1" applyBorder="1"/>
    <xf numFmtId="4" fontId="7" fillId="0" borderId="23" xfId="85" applyNumberFormat="1" applyFont="1" applyFill="1" applyBorder="1"/>
    <xf numFmtId="0" fontId="5" fillId="33" borderId="0" xfId="85" applyFill="1"/>
    <xf numFmtId="4" fontId="5" fillId="0" borderId="0" xfId="85" applyNumberFormat="1" applyFill="1"/>
    <xf numFmtId="2" fontId="5" fillId="0" borderId="0" xfId="85" applyNumberFormat="1" applyFill="1"/>
    <xf numFmtId="9" fontId="5" fillId="0" borderId="0" xfId="85" applyNumberFormat="1" applyFill="1"/>
    <xf numFmtId="0" fontId="7" fillId="0" borderId="21" xfId="85" applyFont="1" applyFill="1" applyBorder="1"/>
    <xf numFmtId="2" fontId="7" fillId="0" borderId="21" xfId="85" applyNumberFormat="1" applyFont="1" applyFill="1" applyBorder="1"/>
    <xf numFmtId="44" fontId="5" fillId="0" borderId="0" xfId="85" applyNumberFormat="1" applyFill="1" applyBorder="1"/>
    <xf numFmtId="44" fontId="7" fillId="0" borderId="0" xfId="85" applyNumberFormat="1" applyFont="1" applyFill="1" applyBorder="1"/>
    <xf numFmtId="17" fontId="5" fillId="0" borderId="0" xfId="85" applyNumberFormat="1" applyFill="1"/>
    <xf numFmtId="44" fontId="5" fillId="0" borderId="17" xfId="85" applyNumberFormat="1" applyFill="1" applyBorder="1"/>
    <xf numFmtId="44" fontId="7" fillId="0" borderId="23" xfId="85" applyNumberFormat="1" applyFont="1" applyFill="1" applyBorder="1"/>
    <xf numFmtId="0" fontId="5" fillId="0" borderId="17" xfId="85" applyFill="1" applyBorder="1"/>
    <xf numFmtId="167" fontId="5" fillId="0" borderId="12" xfId="68" applyNumberFormat="1" applyFont="1" applyFill="1" applyBorder="1"/>
    <xf numFmtId="10" fontId="5" fillId="0" borderId="0" xfId="68" applyNumberFormat="1" applyFont="1" applyFill="1" applyBorder="1"/>
    <xf numFmtId="17" fontId="9" fillId="0" borderId="0" xfId="85" applyNumberFormat="1" applyFont="1" applyFill="1"/>
    <xf numFmtId="181" fontId="0" fillId="0" borderId="0" xfId="57" applyNumberFormat="1" applyFont="1" applyFill="1"/>
    <xf numFmtId="170" fontId="7" fillId="0" borderId="23" xfId="85" applyNumberFormat="1" applyFont="1" applyFill="1" applyBorder="1"/>
    <xf numFmtId="167" fontId="5" fillId="0" borderId="0" xfId="0" applyNumberFormat="1" applyFont="1"/>
    <xf numFmtId="167" fontId="8" fillId="0" borderId="17" xfId="57" applyNumberFormat="1" applyFont="1" applyFill="1" applyBorder="1"/>
    <xf numFmtId="185" fontId="5" fillId="0" borderId="23" xfId="57" applyNumberFormat="1" applyFont="1" applyBorder="1"/>
    <xf numFmtId="44" fontId="0" fillId="0" borderId="0" xfId="0" applyNumberFormat="1"/>
    <xf numFmtId="0" fontId="0" fillId="25" borderId="0" xfId="0" applyFill="1"/>
    <xf numFmtId="0" fontId="47" fillId="25" borderId="23" xfId="0" applyFont="1" applyFill="1" applyBorder="1"/>
    <xf numFmtId="44" fontId="0" fillId="0" borderId="23" xfId="33" applyFont="1" applyBorder="1"/>
    <xf numFmtId="10" fontId="0" fillId="0" borderId="23" xfId="57" applyNumberFormat="1" applyFont="1" applyBorder="1"/>
    <xf numFmtId="44" fontId="0" fillId="0" borderId="23" xfId="0" applyNumberFormat="1" applyBorder="1"/>
    <xf numFmtId="10" fontId="0" fillId="0" borderId="23" xfId="0" applyNumberFormat="1" applyBorder="1"/>
    <xf numFmtId="0" fontId="0" fillId="25" borderId="23" xfId="0" applyFill="1" applyBorder="1"/>
    <xf numFmtId="0" fontId="7" fillId="0" borderId="23" xfId="0" applyFont="1" applyBorder="1"/>
    <xf numFmtId="0" fontId="7" fillId="25" borderId="23" xfId="0" applyFont="1" applyFill="1" applyBorder="1"/>
    <xf numFmtId="0" fontId="7" fillId="32" borderId="23" xfId="0" applyFont="1" applyFill="1" applyBorder="1" applyAlignment="1">
      <alignment horizontal="center"/>
    </xf>
    <xf numFmtId="0" fontId="7" fillId="32" borderId="23" xfId="0" applyFont="1" applyFill="1" applyBorder="1" applyAlignment="1">
      <alignment horizontal="center" wrapText="1"/>
    </xf>
    <xf numFmtId="44" fontId="47" fillId="25" borderId="23" xfId="33" applyFont="1" applyFill="1" applyBorder="1"/>
    <xf numFmtId="10" fontId="47" fillId="25" borderId="23" xfId="57" applyNumberFormat="1" applyFont="1" applyFill="1" applyBorder="1"/>
    <xf numFmtId="0" fontId="47" fillId="25" borderId="20" xfId="0" applyFont="1" applyFill="1" applyBorder="1"/>
    <xf numFmtId="43" fontId="0" fillId="0" borderId="0" xfId="28" applyFont="1"/>
    <xf numFmtId="43" fontId="0" fillId="0" borderId="0" xfId="28" applyNumberFormat="1" applyFont="1"/>
    <xf numFmtId="10" fontId="0" fillId="25" borderId="23" xfId="0" applyNumberFormat="1" applyFill="1" applyBorder="1"/>
    <xf numFmtId="44" fontId="0" fillId="0" borderId="23" xfId="33" applyNumberFormat="1" applyFont="1" applyBorder="1"/>
    <xf numFmtId="0" fontId="7" fillId="32" borderId="23" xfId="0" applyFont="1" applyFill="1" applyBorder="1"/>
    <xf numFmtId="10" fontId="7" fillId="32" borderId="23" xfId="0" applyNumberFormat="1" applyFont="1" applyFill="1" applyBorder="1"/>
    <xf numFmtId="10" fontId="58" fillId="32" borderId="23" xfId="0" applyNumberFormat="1" applyFont="1" applyFill="1" applyBorder="1"/>
    <xf numFmtId="10" fontId="58" fillId="32" borderId="23" xfId="57" applyNumberFormat="1" applyFont="1" applyFill="1" applyBorder="1"/>
    <xf numFmtId="44" fontId="58" fillId="32" borderId="23" xfId="0" applyNumberFormat="1" applyFont="1" applyFill="1" applyBorder="1"/>
    <xf numFmtId="10" fontId="47" fillId="25" borderId="23" xfId="0" applyNumberFormat="1" applyFont="1" applyFill="1" applyBorder="1"/>
    <xf numFmtId="0" fontId="0" fillId="0" borderId="22" xfId="0" applyBorder="1"/>
    <xf numFmtId="0" fontId="7" fillId="0" borderId="22" xfId="0" applyFont="1" applyBorder="1"/>
    <xf numFmtId="10" fontId="0" fillId="0" borderId="22" xfId="57" applyNumberFormat="1" applyFont="1" applyBorder="1"/>
    <xf numFmtId="44" fontId="0" fillId="0" borderId="22" xfId="33" applyFont="1" applyBorder="1"/>
    <xf numFmtId="44" fontId="0" fillId="0" borderId="22" xfId="0" applyNumberFormat="1" applyBorder="1"/>
    <xf numFmtId="0" fontId="0" fillId="25" borderId="22" xfId="0" applyFill="1" applyBorder="1"/>
    <xf numFmtId="0" fontId="0" fillId="0" borderId="29" xfId="0" applyBorder="1"/>
    <xf numFmtId="0" fontId="7" fillId="0" borderId="30" xfId="0" applyFont="1" applyBorder="1"/>
    <xf numFmtId="10" fontId="0" fillId="0" borderId="30" xfId="57" applyNumberFormat="1" applyFont="1" applyBorder="1"/>
    <xf numFmtId="44" fontId="0" fillId="0" borderId="30" xfId="33" applyFont="1" applyBorder="1"/>
    <xf numFmtId="44" fontId="0" fillId="0" borderId="30" xfId="0" applyNumberFormat="1" applyBorder="1"/>
    <xf numFmtId="44" fontId="0" fillId="0" borderId="31" xfId="0" applyNumberFormat="1" applyBorder="1"/>
    <xf numFmtId="0" fontId="0" fillId="0" borderId="32" xfId="0" applyBorder="1"/>
    <xf numFmtId="44" fontId="0" fillId="0" borderId="33" xfId="0" applyNumberFormat="1" applyBorder="1"/>
    <xf numFmtId="0" fontId="0" fillId="0" borderId="34" xfId="0" applyBorder="1"/>
    <xf numFmtId="0" fontId="7" fillId="0" borderId="25" xfId="0" applyFont="1" applyBorder="1"/>
    <xf numFmtId="10" fontId="0" fillId="0" borderId="25" xfId="57" applyNumberFormat="1" applyFont="1" applyBorder="1"/>
    <xf numFmtId="44" fontId="0" fillId="0" borderId="25" xfId="33" applyFont="1" applyBorder="1"/>
    <xf numFmtId="44" fontId="0" fillId="0" borderId="25" xfId="0" applyNumberFormat="1" applyBorder="1"/>
    <xf numFmtId="44" fontId="0" fillId="0" borderId="35" xfId="0" applyNumberFormat="1" applyBorder="1"/>
    <xf numFmtId="0" fontId="0" fillId="0" borderId="46" xfId="0" applyBorder="1"/>
    <xf numFmtId="0" fontId="7" fillId="0" borderId="27" xfId="0" applyFont="1" applyBorder="1"/>
    <xf numFmtId="10" fontId="0" fillId="0" borderId="27" xfId="57" applyNumberFormat="1" applyFont="1" applyBorder="1"/>
    <xf numFmtId="44" fontId="0" fillId="0" borderId="27" xfId="33" applyFont="1" applyBorder="1"/>
    <xf numFmtId="44" fontId="0" fillId="0" borderId="27" xfId="0" applyNumberFormat="1" applyBorder="1"/>
    <xf numFmtId="44" fontId="0" fillId="0" borderId="47" xfId="0" applyNumberFormat="1" applyBorder="1"/>
    <xf numFmtId="0" fontId="0" fillId="49" borderId="29" xfId="0" applyFill="1" applyBorder="1"/>
    <xf numFmtId="0" fontId="7" fillId="49" borderId="30" xfId="0" applyFont="1" applyFill="1" applyBorder="1"/>
    <xf numFmtId="10" fontId="0" fillId="49" borderId="30" xfId="57" applyNumberFormat="1" applyFont="1" applyFill="1" applyBorder="1"/>
    <xf numFmtId="44" fontId="0" fillId="49" borderId="30" xfId="33" applyFont="1" applyFill="1" applyBorder="1"/>
    <xf numFmtId="44" fontId="0" fillId="49" borderId="30" xfId="0" applyNumberFormat="1" applyFill="1" applyBorder="1"/>
    <xf numFmtId="44" fontId="0" fillId="49" borderId="31" xfId="0" applyNumberFormat="1" applyFill="1" applyBorder="1"/>
    <xf numFmtId="0" fontId="0" fillId="49" borderId="32" xfId="0" applyFill="1" applyBorder="1"/>
    <xf numFmtId="0" fontId="7" fillId="49" borderId="23" xfId="0" applyFont="1" applyFill="1" applyBorder="1"/>
    <xf numFmtId="10" fontId="0" fillId="49" borderId="23" xfId="57" applyNumberFormat="1" applyFont="1" applyFill="1" applyBorder="1"/>
    <xf numFmtId="44" fontId="0" fillId="49" borderId="23" xfId="33" applyFont="1" applyFill="1" applyBorder="1"/>
    <xf numFmtId="44" fontId="0" fillId="49" borderId="23" xfId="0" applyNumberFormat="1" applyFill="1" applyBorder="1"/>
    <xf numFmtId="44" fontId="0" fillId="49" borderId="33" xfId="0" applyNumberFormat="1" applyFill="1" applyBorder="1"/>
    <xf numFmtId="0" fontId="0" fillId="49" borderId="34" xfId="0" applyFill="1" applyBorder="1"/>
    <xf numFmtId="0" fontId="7" fillId="49" borderId="25" xfId="0" applyFont="1" applyFill="1" applyBorder="1"/>
    <xf numFmtId="10" fontId="0" fillId="49" borderId="25" xfId="57" applyNumberFormat="1" applyFont="1" applyFill="1" applyBorder="1"/>
    <xf numFmtId="44" fontId="0" fillId="49" borderId="25" xfId="33" applyFont="1" applyFill="1" applyBorder="1"/>
    <xf numFmtId="44" fontId="0" fillId="49" borderId="25" xfId="0" applyNumberFormat="1" applyFill="1" applyBorder="1"/>
    <xf numFmtId="44" fontId="0" fillId="49" borderId="35" xfId="0" applyNumberFormat="1" applyFill="1" applyBorder="1"/>
    <xf numFmtId="0" fontId="0" fillId="49" borderId="44" xfId="0" applyFill="1" applyBorder="1"/>
    <xf numFmtId="0" fontId="7" fillId="49" borderId="36" xfId="0" applyFont="1" applyFill="1" applyBorder="1"/>
    <xf numFmtId="10" fontId="0" fillId="49" borderId="36" xfId="57" applyNumberFormat="1" applyFont="1" applyFill="1" applyBorder="1"/>
    <xf numFmtId="44" fontId="0" fillId="49" borderId="36" xfId="33" applyFont="1" applyFill="1" applyBorder="1"/>
    <xf numFmtId="44" fontId="0" fillId="49" borderId="36" xfId="0" applyNumberFormat="1" applyFill="1" applyBorder="1"/>
    <xf numFmtId="44" fontId="0" fillId="49" borderId="45" xfId="0" applyNumberFormat="1" applyFill="1" applyBorder="1"/>
    <xf numFmtId="0" fontId="0" fillId="0" borderId="0" xfId="0" applyBorder="1"/>
    <xf numFmtId="9" fontId="5" fillId="0" borderId="0" xfId="57" applyFont="1"/>
    <xf numFmtId="9" fontId="0" fillId="0" borderId="0" xfId="0" applyNumberFormat="1"/>
    <xf numFmtId="10" fontId="0" fillId="0" borderId="0" xfId="57" applyNumberFormat="1" applyFont="1"/>
    <xf numFmtId="0" fontId="0" fillId="24" borderId="44" xfId="0" applyFill="1" applyBorder="1"/>
    <xf numFmtId="0" fontId="7" fillId="24" borderId="36" xfId="0" applyFont="1" applyFill="1" applyBorder="1"/>
    <xf numFmtId="10" fontId="0" fillId="24" borderId="36" xfId="57" applyNumberFormat="1" applyFont="1" applyFill="1" applyBorder="1"/>
    <xf numFmtId="44" fontId="0" fillId="24" borderId="36" xfId="33" applyFont="1" applyFill="1" applyBorder="1"/>
    <xf numFmtId="44" fontId="0" fillId="24" borderId="36" xfId="0" applyNumberFormat="1" applyFill="1" applyBorder="1"/>
    <xf numFmtId="44" fontId="0" fillId="24" borderId="45" xfId="0" applyNumberFormat="1" applyFill="1" applyBorder="1"/>
    <xf numFmtId="16" fontId="5" fillId="0" borderId="23" xfId="0" quotePrefix="1" applyNumberFormat="1" applyFont="1" applyBorder="1" applyAlignment="1">
      <alignment horizontal="right"/>
    </xf>
    <xf numFmtId="0" fontId="5" fillId="0" borderId="23" xfId="0" quotePrefix="1" applyFont="1" applyBorder="1" applyAlignment="1">
      <alignment horizontal="right"/>
    </xf>
    <xf numFmtId="0" fontId="0" fillId="0" borderId="23" xfId="0" applyBorder="1" applyAlignment="1">
      <alignment horizontal="right"/>
    </xf>
    <xf numFmtId="176" fontId="5" fillId="0" borderId="23" xfId="28" applyNumberFormat="1" applyFont="1" applyFill="1" applyBorder="1"/>
    <xf numFmtId="176" fontId="5" fillId="0" borderId="20" xfId="28" applyNumberFormat="1" applyFont="1" applyFill="1" applyBorder="1"/>
    <xf numFmtId="176" fontId="5" fillId="0" borderId="25" xfId="28" applyNumberFormat="1" applyFont="1" applyFill="1" applyBorder="1"/>
    <xf numFmtId="44" fontId="5" fillId="0" borderId="22" xfId="33" applyFont="1" applyBorder="1"/>
    <xf numFmtId="44" fontId="5" fillId="0" borderId="25" xfId="33" applyFont="1" applyBorder="1"/>
    <xf numFmtId="44" fontId="5" fillId="0" borderId="20" xfId="33" applyFont="1" applyBorder="1"/>
    <xf numFmtId="169" fontId="5" fillId="0" borderId="20" xfId="33" applyNumberFormat="1" applyFont="1" applyFill="1" applyBorder="1"/>
    <xf numFmtId="174" fontId="5" fillId="0" borderId="20" xfId="28" applyNumberFormat="1" applyFont="1" applyBorder="1"/>
    <xf numFmtId="174" fontId="5" fillId="0" borderId="23" xfId="28" applyNumberFormat="1" applyFont="1" applyBorder="1"/>
    <xf numFmtId="9" fontId="5" fillId="0" borderId="23" xfId="28" applyNumberFormat="1" applyFont="1" applyBorder="1"/>
    <xf numFmtId="184" fontId="5" fillId="0" borderId="23" xfId="28" applyNumberFormat="1" applyFont="1" applyBorder="1"/>
    <xf numFmtId="171" fontId="5" fillId="0" borderId="23" xfId="33" applyNumberFormat="1" applyFont="1" applyFill="1" applyBorder="1"/>
    <xf numFmtId="10" fontId="5" fillId="0" borderId="23" xfId="57" applyNumberFormat="1" applyFont="1" applyBorder="1"/>
    <xf numFmtId="174" fontId="5" fillId="0" borderId="25" xfId="28" applyNumberFormat="1" applyFont="1" applyBorder="1"/>
    <xf numFmtId="9" fontId="5" fillId="0" borderId="20" xfId="28" applyNumberFormat="1" applyFont="1" applyBorder="1"/>
    <xf numFmtId="9" fontId="5" fillId="0" borderId="25" xfId="28" applyNumberFormat="1" applyFont="1" applyBorder="1"/>
    <xf numFmtId="167" fontId="5" fillId="0" borderId="27" xfId="57" applyNumberFormat="1" applyFont="1" applyBorder="1"/>
    <xf numFmtId="184" fontId="5" fillId="0" borderId="27" xfId="28" applyNumberFormat="1" applyFont="1" applyBorder="1"/>
    <xf numFmtId="184" fontId="5" fillId="0" borderId="20" xfId="28" applyNumberFormat="1" applyFont="1" applyBorder="1"/>
    <xf numFmtId="184" fontId="5" fillId="0" borderId="25" xfId="28" applyNumberFormat="1" applyFont="1" applyBorder="1"/>
    <xf numFmtId="171" fontId="5" fillId="0" borderId="25" xfId="33" applyNumberFormat="1" applyFont="1" applyFill="1" applyBorder="1"/>
    <xf numFmtId="171" fontId="5" fillId="0" borderId="36" xfId="33" applyNumberFormat="1" applyFont="1" applyFill="1" applyBorder="1"/>
    <xf numFmtId="167" fontId="5" fillId="28" borderId="19" xfId="57" applyNumberFormat="1" applyFont="1" applyFill="1" applyBorder="1"/>
    <xf numFmtId="10" fontId="5" fillId="0" borderId="27" xfId="57" applyNumberFormat="1" applyFont="1" applyBorder="1"/>
    <xf numFmtId="9" fontId="5" fillId="0" borderId="23" xfId="57" applyFont="1" applyBorder="1"/>
    <xf numFmtId="173" fontId="5" fillId="0" borderId="23" xfId="57" applyNumberFormat="1" applyFont="1" applyBorder="1"/>
    <xf numFmtId="171" fontId="5" fillId="0" borderId="20" xfId="33" applyNumberFormat="1" applyFont="1" applyFill="1" applyBorder="1"/>
    <xf numFmtId="174" fontId="5" fillId="0" borderId="23" xfId="28" applyNumberFormat="1" applyFont="1" applyBorder="1" applyAlignment="1">
      <alignment wrapText="1"/>
    </xf>
    <xf numFmtId="176" fontId="5" fillId="0" borderId="22" xfId="28" applyNumberFormat="1" applyFont="1" applyFill="1" applyBorder="1"/>
    <xf numFmtId="2" fontId="5" fillId="0" borderId="23" xfId="33" applyNumberFormat="1" applyFont="1" applyFill="1" applyBorder="1"/>
    <xf numFmtId="44" fontId="5" fillId="0" borderId="25" xfId="33" applyFont="1" applyFill="1" applyBorder="1"/>
    <xf numFmtId="0" fontId="7" fillId="24" borderId="19" xfId="0" applyFont="1" applyFill="1" applyBorder="1"/>
    <xf numFmtId="0" fontId="0" fillId="25" borderId="20" xfId="0" applyFill="1" applyBorder="1"/>
    <xf numFmtId="0" fontId="7" fillId="32" borderId="20" xfId="0" applyFont="1" applyFill="1" applyBorder="1"/>
    <xf numFmtId="10" fontId="58" fillId="32" borderId="20" xfId="0" applyNumberFormat="1" applyFont="1" applyFill="1" applyBorder="1"/>
    <xf numFmtId="44" fontId="58" fillId="32" borderId="20" xfId="0" applyNumberFormat="1" applyFont="1" applyFill="1" applyBorder="1"/>
    <xf numFmtId="10" fontId="58" fillId="32" borderId="20" xfId="57" applyNumberFormat="1" applyFont="1" applyFill="1" applyBorder="1"/>
    <xf numFmtId="0" fontId="0" fillId="50" borderId="46" xfId="0" applyFill="1" applyBorder="1"/>
    <xf numFmtId="0" fontId="7" fillId="50" borderId="27" xfId="0" applyFont="1" applyFill="1" applyBorder="1"/>
    <xf numFmtId="10" fontId="0" fillId="50" borderId="27" xfId="57" applyNumberFormat="1" applyFont="1" applyFill="1" applyBorder="1"/>
    <xf numFmtId="44" fontId="0" fillId="50" borderId="27" xfId="33" applyFont="1" applyFill="1" applyBorder="1"/>
    <xf numFmtId="44" fontId="0" fillId="50" borderId="27" xfId="0" applyNumberFormat="1" applyFill="1" applyBorder="1"/>
    <xf numFmtId="44" fontId="0" fillId="50" borderId="47" xfId="0" applyNumberFormat="1" applyFill="1" applyBorder="1"/>
    <xf numFmtId="44" fontId="0" fillId="25" borderId="23" xfId="33" applyNumberFormat="1" applyFont="1" applyFill="1" applyBorder="1"/>
    <xf numFmtId="10" fontId="0" fillId="25" borderId="23" xfId="57" applyNumberFormat="1" applyFont="1" applyFill="1" applyBorder="1"/>
    <xf numFmtId="44" fontId="0" fillId="25" borderId="23" xfId="0" applyNumberFormat="1" applyFill="1" applyBorder="1"/>
    <xf numFmtId="0" fontId="7" fillId="24" borderId="23" xfId="0" applyFont="1" applyFill="1" applyBorder="1"/>
    <xf numFmtId="44" fontId="5" fillId="0" borderId="0" xfId="57" applyNumberFormat="1" applyFont="1"/>
    <xf numFmtId="44" fontId="0" fillId="0" borderId="0" xfId="33" applyFont="1"/>
    <xf numFmtId="10" fontId="59" fillId="32" borderId="23" xfId="57" applyNumberFormat="1" applyFont="1" applyFill="1" applyBorder="1"/>
    <xf numFmtId="16" fontId="5" fillId="0" borderId="0" xfId="0" quotePrefix="1" applyNumberFormat="1" applyFont="1"/>
    <xf numFmtId="44" fontId="0" fillId="0" borderId="0" xfId="57" applyNumberFormat="1" applyFont="1"/>
    <xf numFmtId="10" fontId="0" fillId="0" borderId="0" xfId="33" applyNumberFormat="1" applyFont="1"/>
    <xf numFmtId="16" fontId="0" fillId="0" borderId="0" xfId="0" applyNumberFormat="1"/>
    <xf numFmtId="10" fontId="0" fillId="0" borderId="0" xfId="0" applyNumberFormat="1"/>
    <xf numFmtId="0" fontId="7" fillId="0" borderId="0" xfId="0" applyFont="1" applyFill="1" applyAlignment="1">
      <alignment horizontal="right"/>
    </xf>
    <xf numFmtId="0" fontId="25" fillId="0" borderId="0" xfId="0" applyFont="1"/>
    <xf numFmtId="43" fontId="5" fillId="0" borderId="0" xfId="28" quotePrefix="1" applyFont="1" applyFill="1"/>
    <xf numFmtId="172" fontId="5" fillId="0" borderId="0" xfId="33" quotePrefix="1" applyNumberFormat="1" applyFont="1" applyFill="1"/>
    <xf numFmtId="9" fontId="7" fillId="0" borderId="0" xfId="57" applyFont="1" applyFill="1" applyAlignment="1">
      <alignment horizontal="center"/>
    </xf>
    <xf numFmtId="9" fontId="12" fillId="0" borderId="0" xfId="57" applyFont="1" applyFill="1"/>
    <xf numFmtId="9" fontId="0" fillId="0" borderId="0" xfId="57" applyFont="1" applyFill="1" applyAlignment="1">
      <alignment horizontal="right"/>
    </xf>
    <xf numFmtId="9" fontId="7" fillId="0" borderId="0" xfId="57" applyFont="1" applyFill="1" applyAlignment="1">
      <alignment horizontal="right"/>
    </xf>
    <xf numFmtId="9" fontId="6" fillId="0" borderId="0" xfId="57" applyFont="1" applyFill="1" applyAlignment="1">
      <alignment horizontal="left"/>
    </xf>
    <xf numFmtId="10" fontId="12" fillId="0" borderId="0" xfId="57" applyNumberFormat="1" applyFont="1" applyFill="1"/>
    <xf numFmtId="167" fontId="5" fillId="0" borderId="23" xfId="0" applyNumberFormat="1" applyFont="1" applyBorder="1"/>
    <xf numFmtId="167" fontId="7" fillId="0" borderId="0" xfId="0" applyNumberFormat="1" applyFont="1"/>
    <xf numFmtId="171" fontId="5" fillId="24" borderId="36" xfId="33" applyNumberFormat="1" applyFont="1" applyFill="1" applyBorder="1"/>
    <xf numFmtId="171" fontId="5" fillId="0" borderId="23" xfId="0" applyNumberFormat="1" applyFont="1" applyBorder="1" applyProtection="1">
      <protection locked="0"/>
    </xf>
    <xf numFmtId="44" fontId="5" fillId="0" borderId="26" xfId="33" applyFont="1" applyFill="1" applyBorder="1"/>
    <xf numFmtId="167" fontId="5" fillId="28" borderId="15" xfId="57" applyNumberFormat="1" applyFont="1" applyFill="1" applyBorder="1"/>
    <xf numFmtId="10" fontId="5" fillId="0" borderId="28" xfId="57" applyNumberFormat="1" applyFont="1" applyBorder="1"/>
    <xf numFmtId="167" fontId="7" fillId="28" borderId="19" xfId="57" applyNumberFormat="1" applyFont="1" applyFill="1" applyBorder="1"/>
    <xf numFmtId="172" fontId="5" fillId="0" borderId="25" xfId="33" applyNumberFormat="1" applyFont="1" applyFill="1" applyBorder="1"/>
    <xf numFmtId="0" fontId="5" fillId="25" borderId="23" xfId="0" applyFont="1" applyFill="1" applyBorder="1"/>
    <xf numFmtId="0" fontId="7" fillId="0" borderId="0" xfId="0" applyFont="1" applyFill="1" applyAlignment="1"/>
    <xf numFmtId="44" fontId="7" fillId="0" borderId="0" xfId="0" applyNumberFormat="1" applyFont="1" applyFill="1"/>
    <xf numFmtId="0" fontId="0" fillId="0" borderId="19" xfId="0" applyBorder="1"/>
    <xf numFmtId="10" fontId="0" fillId="24" borderId="23" xfId="57" applyNumberFormat="1" applyFont="1" applyFill="1" applyBorder="1"/>
    <xf numFmtId="44" fontId="0" fillId="24" borderId="23" xfId="33" applyFont="1" applyFill="1" applyBorder="1"/>
    <xf numFmtId="44" fontId="0" fillId="24" borderId="23" xfId="0" applyNumberFormat="1" applyFill="1" applyBorder="1"/>
    <xf numFmtId="44" fontId="47" fillId="25" borderId="23" xfId="0" applyNumberFormat="1" applyFont="1" applyFill="1" applyBorder="1"/>
    <xf numFmtId="44" fontId="47" fillId="25" borderId="23" xfId="33" applyNumberFormat="1" applyFont="1" applyFill="1" applyBorder="1"/>
    <xf numFmtId="44" fontId="0" fillId="0" borderId="0" xfId="33" applyFont="1" applyBorder="1"/>
    <xf numFmtId="0" fontId="5" fillId="0" borderId="42" xfId="0" applyFont="1" applyBorder="1"/>
    <xf numFmtId="0" fontId="0" fillId="0" borderId="48" xfId="0" applyBorder="1"/>
    <xf numFmtId="44" fontId="0" fillId="0" borderId="49" xfId="0" applyNumberFormat="1" applyBorder="1"/>
    <xf numFmtId="0" fontId="5" fillId="0" borderId="40" xfId="0" applyFont="1" applyBorder="1"/>
    <xf numFmtId="44" fontId="0" fillId="0" borderId="50" xfId="0" applyNumberFormat="1" applyBorder="1"/>
    <xf numFmtId="0" fontId="0" fillId="0" borderId="50" xfId="0" applyBorder="1"/>
    <xf numFmtId="0" fontId="0" fillId="0" borderId="40" xfId="0" applyBorder="1"/>
    <xf numFmtId="0" fontId="7" fillId="0" borderId="41" xfId="0" applyFont="1" applyBorder="1"/>
    <xf numFmtId="0" fontId="7" fillId="0" borderId="51" xfId="0" applyFont="1" applyBorder="1"/>
    <xf numFmtId="44" fontId="7" fillId="0" borderId="52" xfId="0" applyNumberFormat="1" applyFont="1" applyBorder="1"/>
    <xf numFmtId="185" fontId="0" fillId="0" borderId="50" xfId="57" applyNumberFormat="1" applyFont="1" applyBorder="1"/>
    <xf numFmtId="44" fontId="0" fillId="0" borderId="53" xfId="0" applyNumberFormat="1" applyBorder="1"/>
    <xf numFmtId="44" fontId="0" fillId="0" borderId="17" xfId="0" applyNumberFormat="1" applyBorder="1"/>
    <xf numFmtId="10" fontId="58" fillId="25" borderId="23" xfId="0" applyNumberFormat="1" applyFont="1" applyFill="1" applyBorder="1"/>
    <xf numFmtId="44" fontId="58" fillId="25" borderId="23" xfId="0" applyNumberFormat="1" applyFont="1" applyFill="1" applyBorder="1"/>
    <xf numFmtId="10" fontId="0" fillId="0" borderId="49" xfId="57" applyNumberFormat="1" applyFont="1" applyBorder="1"/>
    <xf numFmtId="10" fontId="0" fillId="0" borderId="50" xfId="0" applyNumberFormat="1" applyBorder="1"/>
    <xf numFmtId="10" fontId="0" fillId="0" borderId="53" xfId="0" applyNumberFormat="1" applyBorder="1"/>
    <xf numFmtId="10" fontId="7" fillId="0" borderId="52" xfId="0" applyNumberFormat="1" applyFont="1" applyBorder="1"/>
    <xf numFmtId="44" fontId="7" fillId="24" borderId="0" xfId="0" applyNumberFormat="1" applyFont="1" applyFill="1" applyBorder="1"/>
    <xf numFmtId="10" fontId="60" fillId="24" borderId="0" xfId="0" applyNumberFormat="1" applyFont="1" applyFill="1"/>
    <xf numFmtId="0" fontId="60" fillId="0" borderId="0" xfId="0" applyFont="1"/>
    <xf numFmtId="44" fontId="7" fillId="24" borderId="0" xfId="0" applyNumberFormat="1" applyFont="1" applyFill="1" applyBorder="1" applyAlignment="1">
      <alignment horizontal="center"/>
    </xf>
    <xf numFmtId="0" fontId="0" fillId="0" borderId="53" xfId="0" applyBorder="1"/>
    <xf numFmtId="44" fontId="0" fillId="0" borderId="17" xfId="33" applyFont="1" applyBorder="1"/>
    <xf numFmtId="185" fontId="7" fillId="0" borderId="53" xfId="57" applyNumberFormat="1" applyFont="1" applyBorder="1"/>
    <xf numFmtId="185" fontId="0" fillId="0" borderId="0" xfId="0" applyNumberFormat="1"/>
    <xf numFmtId="171" fontId="7" fillId="0" borderId="52" xfId="0" applyNumberFormat="1" applyFont="1" applyBorder="1"/>
    <xf numFmtId="0" fontId="7" fillId="24" borderId="20" xfId="0" applyFont="1" applyFill="1" applyBorder="1"/>
    <xf numFmtId="10" fontId="0" fillId="24" borderId="20" xfId="57" applyNumberFormat="1" applyFont="1" applyFill="1" applyBorder="1"/>
    <xf numFmtId="44" fontId="0" fillId="0" borderId="0" xfId="0" applyNumberFormat="1" applyBorder="1"/>
    <xf numFmtId="0" fontId="5" fillId="24" borderId="23" xfId="0" applyFont="1" applyFill="1" applyBorder="1" applyAlignment="1">
      <alignment horizontal="right"/>
    </xf>
    <xf numFmtId="0" fontId="52" fillId="24" borderId="23" xfId="85" applyFont="1" applyFill="1" applyBorder="1" applyAlignment="1">
      <alignment vertical="center"/>
    </xf>
    <xf numFmtId="166" fontId="8" fillId="24" borderId="23" xfId="0" applyNumberFormat="1" applyFont="1" applyFill="1" applyBorder="1"/>
    <xf numFmtId="178" fontId="5" fillId="24" borderId="0" xfId="33" applyNumberFormat="1" applyFont="1" applyFill="1" applyAlignment="1">
      <alignment horizontal="center" wrapText="1"/>
    </xf>
    <xf numFmtId="0" fontId="61" fillId="24" borderId="0" xfId="0" applyFont="1" applyFill="1" applyBorder="1"/>
    <xf numFmtId="44" fontId="8" fillId="24" borderId="14" xfId="33" applyFont="1" applyFill="1" applyBorder="1"/>
    <xf numFmtId="0" fontId="8" fillId="24" borderId="14" xfId="33" applyNumberFormat="1" applyFont="1" applyFill="1" applyBorder="1"/>
    <xf numFmtId="0" fontId="0" fillId="24" borderId="23" xfId="0" applyFill="1" applyBorder="1" applyAlignment="1">
      <alignment horizontal="right"/>
    </xf>
    <xf numFmtId="0" fontId="62" fillId="24" borderId="0" xfId="0" applyFont="1" applyFill="1"/>
    <xf numFmtId="0" fontId="9" fillId="24" borderId="0" xfId="0" applyFont="1" applyFill="1" applyAlignment="1"/>
    <xf numFmtId="0" fontId="61" fillId="24" borderId="0" xfId="0" applyFont="1" applyFill="1" applyAlignment="1"/>
    <xf numFmtId="0" fontId="10" fillId="24" borderId="0" xfId="0" applyFont="1" applyFill="1"/>
    <xf numFmtId="10" fontId="8" fillId="24" borderId="23" xfId="57" applyNumberFormat="1" applyFont="1" applyFill="1" applyBorder="1"/>
    <xf numFmtId="10" fontId="8" fillId="24" borderId="23" xfId="57" quotePrefix="1" applyNumberFormat="1" applyFont="1" applyFill="1" applyBorder="1"/>
    <xf numFmtId="38" fontId="8" fillId="24" borderId="23" xfId="0" applyNumberFormat="1" applyFont="1" applyFill="1" applyBorder="1" applyAlignment="1">
      <alignment horizontal="right"/>
    </xf>
    <xf numFmtId="10" fontId="8" fillId="24" borderId="23" xfId="0" applyNumberFormat="1" applyFont="1" applyFill="1" applyBorder="1"/>
    <xf numFmtId="40" fontId="8" fillId="24" borderId="23" xfId="0" applyNumberFormat="1" applyFont="1" applyFill="1" applyBorder="1" applyAlignment="1">
      <alignment horizontal="right"/>
    </xf>
    <xf numFmtId="9" fontId="8" fillId="24" borderId="23" xfId="57" applyNumberFormat="1" applyFont="1" applyFill="1" applyBorder="1"/>
    <xf numFmtId="167" fontId="8" fillId="24" borderId="23" xfId="57" applyNumberFormat="1" applyFont="1" applyFill="1" applyBorder="1"/>
    <xf numFmtId="181" fontId="8" fillId="24" borderId="23" xfId="57" applyNumberFormat="1" applyFont="1" applyFill="1" applyBorder="1"/>
    <xf numFmtId="168" fontId="8" fillId="24" borderId="23" xfId="0" applyNumberFormat="1" applyFont="1" applyFill="1" applyBorder="1"/>
    <xf numFmtId="183" fontId="8" fillId="24" borderId="23" xfId="0" applyNumberFormat="1" applyFont="1" applyFill="1" applyBorder="1"/>
    <xf numFmtId="187" fontId="48" fillId="24" borderId="23" xfId="0" applyNumberFormat="1" applyFont="1" applyFill="1" applyBorder="1" applyAlignment="1">
      <alignment horizontal="left"/>
    </xf>
    <xf numFmtId="0" fontId="8" fillId="24" borderId="23" xfId="0" applyFont="1" applyFill="1" applyBorder="1"/>
    <xf numFmtId="178" fontId="8" fillId="24" borderId="23" xfId="0" applyNumberFormat="1" applyFont="1" applyFill="1" applyBorder="1"/>
    <xf numFmtId="0" fontId="8" fillId="24" borderId="0" xfId="0" applyFont="1" applyFill="1" applyBorder="1"/>
    <xf numFmtId="178" fontId="8" fillId="24" borderId="0" xfId="0" applyNumberFormat="1" applyFont="1" applyFill="1" applyBorder="1"/>
    <xf numFmtId="44" fontId="8" fillId="24" borderId="23" xfId="33" applyFont="1" applyFill="1" applyBorder="1"/>
    <xf numFmtId="0" fontId="8" fillId="24" borderId="23" xfId="33" applyNumberFormat="1" applyFont="1" applyFill="1" applyBorder="1"/>
    <xf numFmtId="0" fontId="8" fillId="24" borderId="23" xfId="33" applyNumberFormat="1" applyFont="1" applyFill="1" applyBorder="1" applyAlignment="1">
      <alignment horizontal="right"/>
    </xf>
    <xf numFmtId="9" fontId="0" fillId="24" borderId="23" xfId="57" applyFont="1" applyFill="1" applyBorder="1"/>
    <xf numFmtId="166" fontId="8" fillId="24" borderId="23" xfId="33" applyNumberFormat="1" applyFont="1" applyFill="1" applyBorder="1"/>
    <xf numFmtId="0" fontId="7" fillId="24" borderId="0" xfId="0" applyFont="1" applyFill="1"/>
    <xf numFmtId="0" fontId="8" fillId="24" borderId="0" xfId="28" applyNumberFormat="1" applyFont="1" applyFill="1" applyBorder="1"/>
    <xf numFmtId="0" fontId="9" fillId="0" borderId="23" xfId="0" applyFont="1" applyFill="1" applyBorder="1" applyAlignment="1">
      <alignment horizontal="center" wrapText="1"/>
    </xf>
    <xf numFmtId="0" fontId="63" fillId="0" borderId="0" xfId="0" applyFont="1" applyFill="1"/>
    <xf numFmtId="0" fontId="0" fillId="24" borderId="0" xfId="0" applyFill="1" applyAlignment="1">
      <alignment horizontal="left"/>
    </xf>
    <xf numFmtId="0" fontId="0" fillId="24" borderId="0" xfId="0" applyFill="1"/>
    <xf numFmtId="0" fontId="7" fillId="24" borderId="0" xfId="0" applyFont="1" applyFill="1" applyAlignment="1">
      <alignment horizontal="center"/>
    </xf>
    <xf numFmtId="0" fontId="6" fillId="24" borderId="0" xfId="0" applyFont="1" applyFill="1"/>
    <xf numFmtId="0" fontId="11" fillId="24" borderId="0" xfId="0" applyFont="1" applyFill="1" applyAlignment="1">
      <alignment horizontal="left"/>
    </xf>
    <xf numFmtId="0" fontId="9" fillId="24" borderId="0" xfId="0" applyFont="1" applyFill="1"/>
    <xf numFmtId="0" fontId="12" fillId="24" borderId="0" xfId="0" applyFont="1" applyFill="1" applyAlignment="1">
      <alignment horizontal="left"/>
    </xf>
    <xf numFmtId="39" fontId="6" fillId="24" borderId="0" xfId="0" quotePrefix="1" applyNumberFormat="1" applyFont="1" applyFill="1"/>
    <xf numFmtId="0" fontId="9" fillId="24" borderId="0" xfId="0" applyFont="1" applyFill="1" applyAlignment="1">
      <alignment horizontal="left"/>
    </xf>
    <xf numFmtId="0" fontId="9" fillId="24" borderId="0" xfId="0" applyFont="1" applyFill="1" applyAlignment="1">
      <alignment horizontal="center" wrapText="1"/>
    </xf>
    <xf numFmtId="0" fontId="6" fillId="24" borderId="0" xfId="0" applyFont="1" applyFill="1" applyAlignment="1">
      <alignment wrapText="1"/>
    </xf>
    <xf numFmtId="0" fontId="9" fillId="24" borderId="0" xfId="0" quotePrefix="1" applyFont="1" applyFill="1"/>
    <xf numFmtId="0" fontId="14" fillId="24" borderId="0" xfId="0" applyFont="1" applyFill="1" applyAlignment="1">
      <alignment horizontal="center"/>
    </xf>
    <xf numFmtId="0" fontId="9" fillId="24" borderId="0" xfId="0" applyFont="1" applyFill="1" applyAlignment="1">
      <alignment horizontal="center"/>
    </xf>
    <xf numFmtId="17" fontId="0" fillId="24" borderId="0" xfId="0" applyNumberFormat="1" applyFill="1"/>
    <xf numFmtId="10" fontId="8" fillId="24" borderId="0" xfId="57" applyNumberFormat="1" applyFont="1" applyFill="1"/>
    <xf numFmtId="173" fontId="8" fillId="24" borderId="0" xfId="57" quotePrefix="1" applyNumberFormat="1" applyFont="1" applyFill="1"/>
    <xf numFmtId="9" fontId="8" fillId="24" borderId="0" xfId="57" quotePrefix="1" applyFont="1" applyFill="1"/>
    <xf numFmtId="9" fontId="6" fillId="24" borderId="0" xfId="57" quotePrefix="1" applyFont="1" applyFill="1"/>
    <xf numFmtId="9" fontId="8" fillId="24" borderId="0" xfId="57" applyNumberFormat="1" applyFont="1" applyFill="1"/>
    <xf numFmtId="9" fontId="8" fillId="24" borderId="0" xfId="57" quotePrefix="1" applyFont="1" applyFill="1" applyAlignment="1">
      <alignment horizontal="center"/>
    </xf>
    <xf numFmtId="1" fontId="8" fillId="24" borderId="0" xfId="57" quotePrefix="1" applyNumberFormat="1" applyFont="1" applyFill="1"/>
    <xf numFmtId="17" fontId="7" fillId="24" borderId="0" xfId="0" applyNumberFormat="1" applyFont="1" applyFill="1"/>
    <xf numFmtId="17" fontId="9" fillId="24" borderId="0" xfId="0" applyNumberFormat="1" applyFont="1" applyFill="1"/>
    <xf numFmtId="0" fontId="15" fillId="24" borderId="0" xfId="49" applyFill="1" applyAlignment="1" applyProtection="1"/>
    <xf numFmtId="0" fontId="0" fillId="24" borderId="0" xfId="0" applyFill="1" applyAlignment="1">
      <alignment horizontal="center"/>
    </xf>
    <xf numFmtId="0" fontId="6" fillId="24" borderId="0" xfId="0" applyFont="1" applyFill="1" applyAlignment="1">
      <alignment horizontal="center"/>
    </xf>
    <xf numFmtId="3" fontId="0" fillId="24" borderId="0" xfId="0" applyNumberFormat="1" applyFill="1" applyAlignment="1"/>
    <xf numFmtId="38" fontId="8" fillId="24" borderId="0" xfId="0" applyNumberFormat="1" applyFont="1" applyFill="1" applyAlignment="1">
      <alignment horizontal="right"/>
    </xf>
    <xf numFmtId="174" fontId="6" fillId="24" borderId="0" xfId="28" applyNumberFormat="1" applyFont="1" applyFill="1"/>
    <xf numFmtId="173" fontId="0" fillId="24" borderId="0" xfId="0" applyNumberFormat="1" applyFill="1"/>
    <xf numFmtId="0" fontId="0" fillId="24" borderId="0" xfId="0" applyFill="1" applyAlignment="1">
      <alignment horizontal="right"/>
    </xf>
    <xf numFmtId="3" fontId="0" fillId="24" borderId="0" xfId="0" quotePrefix="1" applyNumberFormat="1" applyFill="1"/>
    <xf numFmtId="3" fontId="0" fillId="24" borderId="0" xfId="0" applyNumberFormat="1" applyFill="1"/>
    <xf numFmtId="9" fontId="0" fillId="24" borderId="0" xfId="57" applyFont="1" applyFill="1" applyAlignment="1"/>
    <xf numFmtId="174" fontId="20" fillId="24" borderId="0" xfId="28" applyNumberFormat="1" applyFont="1" applyFill="1" applyAlignment="1">
      <alignment horizontal="center"/>
    </xf>
    <xf numFmtId="173" fontId="8" fillId="24" borderId="0" xfId="57" applyNumberFormat="1" applyFont="1" applyFill="1"/>
    <xf numFmtId="173" fontId="8" fillId="24" borderId="0" xfId="0" applyNumberFormat="1" applyFont="1" applyFill="1"/>
    <xf numFmtId="173" fontId="6" fillId="24" borderId="0" xfId="0" applyNumberFormat="1" applyFont="1" applyFill="1"/>
    <xf numFmtId="3" fontId="8" fillId="24" borderId="0" xfId="0" applyNumberFormat="1" applyFont="1" applyFill="1"/>
    <xf numFmtId="0" fontId="6" fillId="24" borderId="0" xfId="0" quotePrefix="1" applyFont="1" applyFill="1"/>
    <xf numFmtId="9" fontId="0" fillId="24" borderId="0" xfId="0" applyNumberFormat="1" applyFill="1"/>
    <xf numFmtId="17" fontId="0" fillId="24" borderId="0" xfId="0" applyNumberFormat="1" applyFill="1" applyAlignment="1">
      <alignment horizontal="center"/>
    </xf>
    <xf numFmtId="9" fontId="0" fillId="24" borderId="0" xfId="57" applyFont="1" applyFill="1"/>
    <xf numFmtId="10" fontId="0" fillId="24" borderId="0" xfId="0" applyNumberFormat="1" applyFill="1"/>
    <xf numFmtId="0" fontId="12" fillId="24" borderId="0" xfId="0" applyFont="1" applyFill="1" applyAlignment="1">
      <alignment horizontal="center"/>
    </xf>
    <xf numFmtId="0" fontId="0" fillId="24" borderId="0" xfId="0" applyFill="1" applyAlignment="1"/>
    <xf numFmtId="40" fontId="8" fillId="24" borderId="0" xfId="0" applyNumberFormat="1" applyFont="1" applyFill="1" applyAlignment="1">
      <alignment horizontal="right"/>
    </xf>
    <xf numFmtId="166" fontId="8" fillId="24" borderId="0" xfId="0" applyNumberFormat="1" applyFont="1" applyFill="1"/>
    <xf numFmtId="177" fontId="6" fillId="24" borderId="0" xfId="0" applyNumberFormat="1" applyFont="1" applyFill="1"/>
    <xf numFmtId="166" fontId="6" fillId="24" borderId="0" xfId="0" applyNumberFormat="1" applyFont="1" applyFill="1"/>
    <xf numFmtId="9" fontId="6" fillId="24" borderId="0" xfId="57" applyNumberFormat="1" applyFont="1" applyFill="1"/>
    <xf numFmtId="166" fontId="8" fillId="24" borderId="22" xfId="0" applyNumberFormat="1" applyFont="1" applyFill="1" applyBorder="1"/>
    <xf numFmtId="9" fontId="8" fillId="24" borderId="22" xfId="57" applyNumberFormat="1" applyFont="1" applyFill="1" applyBorder="1"/>
    <xf numFmtId="166" fontId="0" fillId="24" borderId="19" xfId="0" applyNumberFormat="1" applyFill="1" applyBorder="1"/>
    <xf numFmtId="9" fontId="0" fillId="24" borderId="19" xfId="57" applyNumberFormat="1" applyFont="1" applyFill="1" applyBorder="1"/>
    <xf numFmtId="166" fontId="0" fillId="24" borderId="20" xfId="0" applyNumberFormat="1" applyFill="1" applyBorder="1"/>
    <xf numFmtId="9" fontId="0" fillId="24" borderId="20" xfId="57" applyNumberFormat="1" applyFont="1" applyFill="1" applyBorder="1"/>
    <xf numFmtId="166" fontId="0" fillId="24" borderId="0" xfId="0" applyNumberFormat="1" applyFill="1"/>
    <xf numFmtId="4" fontId="8" fillId="24" borderId="0" xfId="0" applyNumberFormat="1" applyFont="1" applyFill="1"/>
    <xf numFmtId="9" fontId="8" fillId="24" borderId="0" xfId="57" applyFont="1" applyFill="1"/>
    <xf numFmtId="167" fontId="8" fillId="24" borderId="0" xfId="0" applyNumberFormat="1" applyFont="1" applyFill="1"/>
    <xf numFmtId="0" fontId="0" fillId="24" borderId="17" xfId="0" applyFill="1" applyBorder="1"/>
    <xf numFmtId="10" fontId="0" fillId="24" borderId="0" xfId="0" applyNumberFormat="1" applyFill="1" applyAlignment="1">
      <alignment horizontal="center"/>
    </xf>
    <xf numFmtId="167" fontId="20" fillId="24" borderId="21" xfId="57" applyNumberFormat="1" applyFont="1" applyFill="1" applyBorder="1"/>
    <xf numFmtId="0" fontId="5" fillId="24" borderId="0" xfId="0" applyFont="1" applyFill="1"/>
    <xf numFmtId="167" fontId="5" fillId="24" borderId="0" xfId="0" applyNumberFormat="1" applyFont="1" applyFill="1"/>
    <xf numFmtId="167" fontId="6" fillId="24" borderId="0" xfId="0" applyNumberFormat="1" applyFont="1" applyFill="1"/>
    <xf numFmtId="0" fontId="0" fillId="24" borderId="0" xfId="0" quotePrefix="1" applyFill="1"/>
    <xf numFmtId="170" fontId="0" fillId="24" borderId="0" xfId="0" applyNumberFormat="1" applyFill="1"/>
    <xf numFmtId="165" fontId="0" fillId="24" borderId="0" xfId="0" applyNumberFormat="1" applyFill="1"/>
    <xf numFmtId="167" fontId="8" fillId="24" borderId="21" xfId="57" applyNumberFormat="1" applyFont="1" applyFill="1" applyBorder="1"/>
    <xf numFmtId="181" fontId="5" fillId="24" borderId="0" xfId="57" applyNumberFormat="1" applyFont="1" applyFill="1"/>
    <xf numFmtId="165" fontId="0" fillId="24" borderId="0" xfId="0" quotePrefix="1" applyNumberFormat="1" applyFill="1"/>
    <xf numFmtId="44" fontId="6" fillId="24" borderId="0" xfId="33" quotePrefix="1" applyFont="1" applyFill="1"/>
    <xf numFmtId="17" fontId="0" fillId="24" borderId="0" xfId="0" applyNumberFormat="1" applyFill="1" applyAlignment="1">
      <alignment horizontal="right"/>
    </xf>
    <xf numFmtId="44" fontId="0" fillId="24" borderId="0" xfId="33" applyFont="1" applyFill="1"/>
    <xf numFmtId="44" fontId="6" fillId="24" borderId="0" xfId="33" applyFont="1" applyFill="1"/>
    <xf numFmtId="44" fontId="6" fillId="24" borderId="0" xfId="33" quotePrefix="1" applyNumberFormat="1" applyFont="1" applyFill="1"/>
    <xf numFmtId="169" fontId="0" fillId="24" borderId="0" xfId="0" applyNumberFormat="1" applyFill="1"/>
    <xf numFmtId="169" fontId="6" fillId="24" borderId="0" xfId="33" quotePrefix="1" applyNumberFormat="1" applyFont="1" applyFill="1"/>
    <xf numFmtId="169" fontId="6" fillId="24" borderId="0" xfId="33" applyNumberFormat="1" applyFont="1" applyFill="1"/>
    <xf numFmtId="39" fontId="0" fillId="24" borderId="0" xfId="0" applyNumberFormat="1" applyFill="1"/>
    <xf numFmtId="173" fontId="7" fillId="24" borderId="0" xfId="0" applyNumberFormat="1" applyFont="1" applyFill="1" applyAlignment="1">
      <alignment horizontal="center"/>
    </xf>
    <xf numFmtId="169" fontId="0" fillId="24" borderId="0" xfId="33" applyNumberFormat="1" applyFont="1" applyFill="1"/>
    <xf numFmtId="169" fontId="16" fillId="24" borderId="0" xfId="33" applyNumberFormat="1" applyFont="1" applyFill="1"/>
    <xf numFmtId="0" fontId="5" fillId="24" borderId="0" xfId="0" applyFont="1" applyFill="1" applyAlignment="1">
      <alignment horizontal="right"/>
    </xf>
    <xf numFmtId="168" fontId="20" fillId="24" borderId="0" xfId="0" applyNumberFormat="1" applyFont="1" applyFill="1"/>
    <xf numFmtId="168" fontId="7" fillId="24" borderId="0" xfId="0" applyNumberFormat="1" applyFont="1" applyFill="1"/>
    <xf numFmtId="168" fontId="6" fillId="24" borderId="0" xfId="0" applyNumberFormat="1" applyFont="1" applyFill="1"/>
    <xf numFmtId="168" fontId="0" fillId="24" borderId="0" xfId="0" applyNumberFormat="1" applyFill="1"/>
    <xf numFmtId="0" fontId="8" fillId="24" borderId="0" xfId="0" applyFont="1" applyFill="1"/>
    <xf numFmtId="178" fontId="20" fillId="24" borderId="0" xfId="0" applyNumberFormat="1" applyFont="1" applyFill="1"/>
    <xf numFmtId="178" fontId="0" fillId="24" borderId="0" xfId="0" applyNumberFormat="1" applyFill="1"/>
    <xf numFmtId="1" fontId="6" fillId="24" borderId="0" xfId="0" applyNumberFormat="1" applyFont="1" applyFill="1"/>
    <xf numFmtId="183" fontId="20" fillId="24" borderId="0" xfId="0" applyNumberFormat="1" applyFont="1" applyFill="1"/>
    <xf numFmtId="178" fontId="0" fillId="24" borderId="17" xfId="0" applyNumberFormat="1" applyFill="1" applyBorder="1"/>
    <xf numFmtId="168" fontId="8" fillId="24" borderId="0" xfId="0" applyNumberFormat="1" applyFont="1" applyFill="1"/>
    <xf numFmtId="3" fontId="6" fillId="24" borderId="0" xfId="0" applyNumberFormat="1" applyFont="1" applyFill="1" applyAlignment="1">
      <alignment horizontal="right"/>
    </xf>
    <xf numFmtId="0" fontId="0" fillId="24" borderId="0" xfId="0" quotePrefix="1" applyFill="1" applyAlignment="1">
      <alignment horizontal="right"/>
    </xf>
    <xf numFmtId="3" fontId="6" fillId="24" borderId="0" xfId="0" applyNumberFormat="1" applyFont="1" applyFill="1"/>
    <xf numFmtId="44" fontId="8" fillId="24" borderId="0" xfId="33" applyFont="1" applyFill="1"/>
    <xf numFmtId="168" fontId="6" fillId="24" borderId="0" xfId="0" applyNumberFormat="1" applyFont="1" applyFill="1" applyAlignment="1">
      <alignment horizontal="right"/>
    </xf>
    <xf numFmtId="178" fontId="6" fillId="24" borderId="0" xfId="33" applyNumberFormat="1" applyFont="1" applyFill="1"/>
    <xf numFmtId="0" fontId="6" fillId="24" borderId="0" xfId="0" quotePrefix="1" applyFont="1" applyFill="1" applyAlignment="1">
      <alignment horizontal="center"/>
    </xf>
    <xf numFmtId="168" fontId="6" fillId="24" borderId="0" xfId="0" quotePrefix="1" applyNumberFormat="1" applyFont="1" applyFill="1" applyAlignment="1">
      <alignment horizontal="center"/>
    </xf>
    <xf numFmtId="44" fontId="8" fillId="24" borderId="0" xfId="33" applyNumberFormat="1" applyFont="1" applyFill="1"/>
    <xf numFmtId="44" fontId="6" fillId="24" borderId="0" xfId="0" applyNumberFormat="1" applyFont="1" applyFill="1"/>
    <xf numFmtId="164" fontId="0" fillId="24" borderId="0" xfId="0" applyNumberFormat="1" applyFill="1"/>
    <xf numFmtId="44" fontId="0" fillId="24" borderId="0" xfId="0" applyNumberFormat="1" applyFill="1"/>
    <xf numFmtId="44" fontId="0" fillId="24" borderId="0" xfId="33" quotePrefix="1" applyFont="1" applyFill="1"/>
    <xf numFmtId="0" fontId="6" fillId="24" borderId="0" xfId="0" applyFont="1" applyFill="1" applyAlignment="1">
      <alignment horizontal="right"/>
    </xf>
    <xf numFmtId="0" fontId="13" fillId="24" borderId="0" xfId="0" applyFont="1" applyFill="1" applyAlignment="1">
      <alignment horizontal="center"/>
    </xf>
    <xf numFmtId="0" fontId="7" fillId="24" borderId="0" xfId="0" applyFont="1" applyFill="1" applyAlignment="1">
      <alignment horizontal="centerContinuous"/>
    </xf>
    <xf numFmtId="0" fontId="6" fillId="24" borderId="0" xfId="0" applyFont="1" applyFill="1" applyAlignment="1">
      <alignment horizontal="centerContinuous"/>
    </xf>
    <xf numFmtId="0" fontId="5" fillId="24" borderId="0" xfId="0" applyFont="1" applyFill="1" applyAlignment="1"/>
    <xf numFmtId="3" fontId="0" fillId="24" borderId="0" xfId="0" applyNumberFormat="1" applyFill="1" applyAlignment="1">
      <alignment horizontal="center"/>
    </xf>
    <xf numFmtId="3" fontId="0" fillId="24" borderId="17" xfId="0" applyNumberFormat="1" applyFill="1" applyBorder="1" applyAlignment="1">
      <alignment horizontal="center"/>
    </xf>
    <xf numFmtId="0" fontId="6" fillId="24" borderId="0" xfId="0" applyFont="1" applyFill="1" applyAlignment="1">
      <alignment horizontal="left"/>
    </xf>
    <xf numFmtId="44" fontId="5" fillId="24" borderId="0" xfId="33" applyNumberFormat="1" applyFont="1" applyFill="1"/>
    <xf numFmtId="169" fontId="8" fillId="24" borderId="0" xfId="33" applyNumberFormat="1" applyFont="1" applyFill="1"/>
    <xf numFmtId="44" fontId="0" fillId="24" borderId="0" xfId="33" quotePrefix="1" applyFont="1" applyFill="1" applyAlignment="1">
      <alignment horizontal="right"/>
    </xf>
    <xf numFmtId="44" fontId="0" fillId="24" borderId="0" xfId="33" applyFont="1" applyFill="1" applyAlignment="1">
      <alignment horizontal="center"/>
    </xf>
    <xf numFmtId="10" fontId="0" fillId="24" borderId="0" xfId="57" applyNumberFormat="1" applyFont="1" applyFill="1"/>
    <xf numFmtId="0" fontId="13" fillId="24" borderId="0" xfId="0" applyFont="1" applyFill="1" applyAlignment="1">
      <alignment horizontal="left"/>
    </xf>
    <xf numFmtId="172" fontId="6" fillId="24" borderId="0" xfId="33" applyNumberFormat="1" applyFont="1" applyFill="1"/>
    <xf numFmtId="43" fontId="0" fillId="24" borderId="0" xfId="0" applyNumberFormat="1" applyFill="1"/>
    <xf numFmtId="172" fontId="0" fillId="24" borderId="0" xfId="0" applyNumberFormat="1" applyFill="1"/>
    <xf numFmtId="17" fontId="13" fillId="24" borderId="0" xfId="0" applyNumberFormat="1" applyFont="1" applyFill="1" applyAlignment="1">
      <alignment horizontal="left"/>
    </xf>
    <xf numFmtId="175" fontId="6" fillId="24" borderId="0" xfId="28" quotePrefix="1" applyNumberFormat="1" applyFont="1" applyFill="1" applyBorder="1"/>
    <xf numFmtId="43" fontId="6" fillId="24" borderId="0" xfId="28" quotePrefix="1" applyFont="1" applyFill="1"/>
    <xf numFmtId="43" fontId="6" fillId="24" borderId="0" xfId="28" quotePrefix="1" applyNumberFormat="1" applyFont="1" applyFill="1" applyBorder="1"/>
    <xf numFmtId="43" fontId="6" fillId="24" borderId="0" xfId="28" applyNumberFormat="1" applyFont="1" applyFill="1" applyBorder="1" applyAlignment="1">
      <alignment horizontal="right"/>
    </xf>
    <xf numFmtId="175" fontId="0" fillId="24" borderId="0" xfId="0" applyNumberFormat="1" applyFill="1"/>
    <xf numFmtId="175" fontId="7" fillId="24" borderId="0" xfId="0" applyNumberFormat="1" applyFont="1" applyFill="1"/>
    <xf numFmtId="0" fontId="7" fillId="24" borderId="0" xfId="0" applyFont="1" applyFill="1" applyAlignment="1">
      <alignment horizontal="right"/>
    </xf>
    <xf numFmtId="43" fontId="6" fillId="24" borderId="0" xfId="28" quotePrefix="1" applyNumberFormat="1" applyFont="1" applyFill="1"/>
    <xf numFmtId="175" fontId="6" fillId="24" borderId="0" xfId="28" quotePrefix="1" applyNumberFormat="1" applyFont="1" applyFill="1"/>
    <xf numFmtId="0" fontId="7" fillId="24" borderId="0" xfId="0" applyFont="1" applyFill="1" applyAlignment="1">
      <alignment horizontal="center" wrapText="1"/>
    </xf>
    <xf numFmtId="172" fontId="6" fillId="24" borderId="0" xfId="33" quotePrefix="1" applyNumberFormat="1" applyFont="1" applyFill="1"/>
    <xf numFmtId="174" fontId="0" fillId="24" borderId="0" xfId="28" applyNumberFormat="1" applyFont="1" applyFill="1"/>
    <xf numFmtId="0" fontId="5" fillId="24" borderId="0" xfId="0" applyFont="1" applyFill="1" applyAlignment="1">
      <alignment horizontal="left"/>
    </xf>
    <xf numFmtId="43" fontId="5" fillId="24" borderId="0" xfId="28" quotePrefix="1" applyFont="1" applyFill="1"/>
    <xf numFmtId="169" fontId="0" fillId="24" borderId="0" xfId="57" applyNumberFormat="1" applyFont="1" applyFill="1"/>
    <xf numFmtId="0" fontId="9" fillId="24" borderId="0" xfId="0" applyFont="1" applyFill="1" applyAlignment="1">
      <alignment horizontal="right"/>
    </xf>
    <xf numFmtId="176" fontId="7" fillId="24" borderId="0" xfId="28" applyNumberFormat="1" applyFont="1" applyFill="1"/>
    <xf numFmtId="43" fontId="9" fillId="24" borderId="0" xfId="28" applyFont="1" applyFill="1"/>
    <xf numFmtId="176" fontId="6" fillId="24" borderId="0" xfId="28" quotePrefix="1" applyNumberFormat="1" applyFont="1" applyFill="1"/>
    <xf numFmtId="169" fontId="0" fillId="24" borderId="0" xfId="33" quotePrefix="1" applyNumberFormat="1" applyFont="1" applyFill="1"/>
    <xf numFmtId="3" fontId="13" fillId="24" borderId="0" xfId="0" applyNumberFormat="1" applyFont="1" applyFill="1"/>
    <xf numFmtId="0" fontId="7" fillId="32" borderId="39" xfId="0" applyFont="1" applyFill="1" applyBorder="1" applyAlignment="1">
      <alignment horizontal="center" wrapText="1"/>
    </xf>
    <xf numFmtId="0" fontId="7" fillId="32" borderId="21" xfId="0" applyFont="1" applyFill="1" applyBorder="1" applyAlignment="1">
      <alignment horizontal="center" wrapText="1"/>
    </xf>
    <xf numFmtId="0" fontId="7" fillId="32" borderId="24" xfId="0" applyFont="1" applyFill="1" applyBorder="1" applyAlignment="1">
      <alignment horizontal="center" wrapText="1"/>
    </xf>
    <xf numFmtId="0" fontId="0" fillId="24" borderId="23" xfId="0" applyFill="1" applyBorder="1" applyAlignment="1">
      <alignment horizontal="right"/>
    </xf>
    <xf numFmtId="0" fontId="5" fillId="24" borderId="0" xfId="0" applyFont="1" applyFill="1" applyBorder="1" applyAlignment="1">
      <alignment horizontal="left"/>
    </xf>
    <xf numFmtId="0" fontId="0" fillId="24" borderId="0" xfId="0" applyFill="1" applyBorder="1" applyAlignment="1">
      <alignment horizontal="left"/>
    </xf>
    <xf numFmtId="0" fontId="5" fillId="24" borderId="39" xfId="0" applyFont="1" applyFill="1" applyBorder="1" applyAlignment="1">
      <alignment horizontal="center"/>
    </xf>
    <xf numFmtId="0" fontId="5" fillId="24" borderId="24" xfId="0" applyFont="1" applyFill="1" applyBorder="1" applyAlignment="1">
      <alignment horizontal="center"/>
    </xf>
    <xf numFmtId="4" fontId="0" fillId="24" borderId="0" xfId="0" applyNumberFormat="1" applyFill="1" applyAlignment="1">
      <alignment horizontal="center" wrapText="1"/>
    </xf>
  </cellXfs>
  <cellStyles count="16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2 2" xfId="157" xr:uid="{00000000-0005-0000-0000-00001D000000}"/>
    <cellStyle name="Comma 3" xfId="30" xr:uid="{00000000-0005-0000-0000-00001E000000}"/>
    <cellStyle name="Comma 3 2" xfId="75" xr:uid="{00000000-0005-0000-0000-00001F000000}"/>
    <cellStyle name="Comma 4" xfId="31" xr:uid="{00000000-0005-0000-0000-000020000000}"/>
    <cellStyle name="Comma 4 2" xfId="99" xr:uid="{00000000-0005-0000-0000-000021000000}"/>
    <cellStyle name="Comma 5" xfId="71" xr:uid="{00000000-0005-0000-0000-000022000000}"/>
    <cellStyle name="Comma 5 2" xfId="74" xr:uid="{00000000-0005-0000-0000-000023000000}"/>
    <cellStyle name="Comma 5 3" xfId="146" xr:uid="{00000000-0005-0000-0000-000024000000}"/>
    <cellStyle name="Comma 6" xfId="83" xr:uid="{00000000-0005-0000-0000-000025000000}"/>
    <cellStyle name="Comma0" xfId="32" xr:uid="{00000000-0005-0000-0000-000026000000}"/>
    <cellStyle name="Currency" xfId="33" builtinId="4"/>
    <cellStyle name="Currency 2" xfId="34" xr:uid="{00000000-0005-0000-0000-000028000000}"/>
    <cellStyle name="Currency 2 2" xfId="35" xr:uid="{00000000-0005-0000-0000-000029000000}"/>
    <cellStyle name="Currency 2 2 2" xfId="100" xr:uid="{00000000-0005-0000-0000-00002A000000}"/>
    <cellStyle name="Currency 2 3" xfId="76" xr:uid="{00000000-0005-0000-0000-00002B000000}"/>
    <cellStyle name="Currency 3" xfId="36" xr:uid="{00000000-0005-0000-0000-00002C000000}"/>
    <cellStyle name="Currency 3 2" xfId="67" xr:uid="{00000000-0005-0000-0000-00002D000000}"/>
    <cellStyle name="Currency 4" xfId="37" xr:uid="{00000000-0005-0000-0000-00002E000000}"/>
    <cellStyle name="Currency 4 2" xfId="101" xr:uid="{00000000-0005-0000-0000-00002F000000}"/>
    <cellStyle name="Currency 5" xfId="69" xr:uid="{00000000-0005-0000-0000-000030000000}"/>
    <cellStyle name="Currency 5 2" xfId="72" xr:uid="{00000000-0005-0000-0000-000031000000}"/>
    <cellStyle name="Currency 5 3" xfId="147" xr:uid="{00000000-0005-0000-0000-000032000000}"/>
    <cellStyle name="Currency0" xfId="38" xr:uid="{00000000-0005-0000-0000-000033000000}"/>
    <cellStyle name="Date" xfId="39" xr:uid="{00000000-0005-0000-0000-000034000000}"/>
    <cellStyle name="Explanatory Text 2" xfId="40" xr:uid="{00000000-0005-0000-0000-000035000000}"/>
    <cellStyle name="Fixed" xfId="41" xr:uid="{00000000-0005-0000-0000-000036000000}"/>
    <cellStyle name="Good 2" xfId="42" xr:uid="{00000000-0005-0000-0000-000037000000}"/>
    <cellStyle name="Heading 1" xfId="43" builtinId="16" customBuiltin="1"/>
    <cellStyle name="Heading 1 2" xfId="44" xr:uid="{00000000-0005-0000-0000-000039000000}"/>
    <cellStyle name="Heading 1 3" xfId="87" xr:uid="{00000000-0005-0000-0000-00003A000000}"/>
    <cellStyle name="Heading 2" xfId="45" builtinId="17" customBuiltin="1"/>
    <cellStyle name="Heading 2 2" xfId="46" xr:uid="{00000000-0005-0000-0000-00003C000000}"/>
    <cellStyle name="Heading 2 3" xfId="88" xr:uid="{00000000-0005-0000-0000-00003D000000}"/>
    <cellStyle name="Heading 3 2" xfId="47" xr:uid="{00000000-0005-0000-0000-00003E000000}"/>
    <cellStyle name="Heading 4 2" xfId="48" xr:uid="{00000000-0005-0000-0000-00003F000000}"/>
    <cellStyle name="Hyperlink" xfId="49" builtinId="8"/>
    <cellStyle name="Hyperlink 2" xfId="97" xr:uid="{00000000-0005-0000-0000-000041000000}"/>
    <cellStyle name="Input 2" xfId="50" xr:uid="{00000000-0005-0000-0000-000042000000}"/>
    <cellStyle name="Linked Cell 2" xfId="51" xr:uid="{00000000-0005-0000-0000-000043000000}"/>
    <cellStyle name="Neutral 2" xfId="52" xr:uid="{00000000-0005-0000-0000-000044000000}"/>
    <cellStyle name="Normal" xfId="0" builtinId="0"/>
    <cellStyle name="Normal 2" xfId="53" xr:uid="{00000000-0005-0000-0000-000046000000}"/>
    <cellStyle name="Normal 2 2" xfId="77" xr:uid="{00000000-0005-0000-0000-000047000000}"/>
    <cellStyle name="Normal 2 2 2" xfId="89" xr:uid="{00000000-0005-0000-0000-000048000000}"/>
    <cellStyle name="Normal 2 2 2 2" xfId="149" xr:uid="{00000000-0005-0000-0000-000049000000}"/>
    <cellStyle name="Normal 2 2 3" xfId="90" xr:uid="{00000000-0005-0000-0000-00004A000000}"/>
    <cellStyle name="Normal 2 2 3 2" xfId="150" xr:uid="{00000000-0005-0000-0000-00004B000000}"/>
    <cellStyle name="Normal 2 2 4" xfId="91" xr:uid="{00000000-0005-0000-0000-00004C000000}"/>
    <cellStyle name="Normal 2 2 4 2" xfId="151" xr:uid="{00000000-0005-0000-0000-00004D000000}"/>
    <cellStyle name="Normal 2 2 5" xfId="148" xr:uid="{00000000-0005-0000-0000-00004E000000}"/>
    <cellStyle name="Normal 2 3" xfId="78" xr:uid="{00000000-0005-0000-0000-00004F000000}"/>
    <cellStyle name="Normal 2 3 2" xfId="92" xr:uid="{00000000-0005-0000-0000-000050000000}"/>
    <cellStyle name="Normal 2 3 2 2" xfId="152" xr:uid="{00000000-0005-0000-0000-000051000000}"/>
    <cellStyle name="Normal 2 3 3" xfId="105" xr:uid="{00000000-0005-0000-0000-000052000000}"/>
    <cellStyle name="Normal 2 4" xfId="85" xr:uid="{00000000-0005-0000-0000-000053000000}"/>
    <cellStyle name="Normal 2 4 2" xfId="107" xr:uid="{00000000-0005-0000-0000-000054000000}"/>
    <cellStyle name="Normal 2 4 3" xfId="153" xr:uid="{00000000-0005-0000-0000-000055000000}"/>
    <cellStyle name="Normal 2 5" xfId="98" xr:uid="{00000000-0005-0000-0000-000056000000}"/>
    <cellStyle name="Normal 2 6" xfId="108" xr:uid="{00000000-0005-0000-0000-000057000000}"/>
    <cellStyle name="Normal 3" xfId="54" xr:uid="{00000000-0005-0000-0000-000058000000}"/>
    <cellStyle name="Normal 3 2" xfId="86" xr:uid="{00000000-0005-0000-0000-000059000000}"/>
    <cellStyle name="Normal 3 2 2" xfId="102" xr:uid="{00000000-0005-0000-0000-00005A000000}"/>
    <cellStyle name="Normal 3 3" xfId="93" xr:uid="{00000000-0005-0000-0000-00005B000000}"/>
    <cellStyle name="Normal 3 4" xfId="154" xr:uid="{00000000-0005-0000-0000-00005C000000}"/>
    <cellStyle name="Normal 4" xfId="79" xr:uid="{00000000-0005-0000-0000-00005D000000}"/>
    <cellStyle name="Normal 4 2" xfId="94" xr:uid="{00000000-0005-0000-0000-00005E000000}"/>
    <cellStyle name="Normal 4 3" xfId="106" xr:uid="{00000000-0005-0000-0000-00005F000000}"/>
    <cellStyle name="Normal 5" xfId="82" xr:uid="{00000000-0005-0000-0000-000060000000}"/>
    <cellStyle name="Note 2" xfId="55" xr:uid="{00000000-0005-0000-0000-000061000000}"/>
    <cellStyle name="Note 2 2" xfId="80" xr:uid="{00000000-0005-0000-0000-000062000000}"/>
    <cellStyle name="Output 2" xfId="56" xr:uid="{00000000-0005-0000-0000-000063000000}"/>
    <cellStyle name="Percent" xfId="57" builtinId="5"/>
    <cellStyle name="Percent 2" xfId="58" xr:uid="{00000000-0005-0000-0000-000065000000}"/>
    <cellStyle name="Percent 2 2" xfId="59" xr:uid="{00000000-0005-0000-0000-000066000000}"/>
    <cellStyle name="Percent 2 2 2" xfId="103" xr:uid="{00000000-0005-0000-0000-000067000000}"/>
    <cellStyle name="Percent 2 3" xfId="81" xr:uid="{00000000-0005-0000-0000-000068000000}"/>
    <cellStyle name="Percent 3" xfId="60" xr:uid="{00000000-0005-0000-0000-000069000000}"/>
    <cellStyle name="Percent 3 2" xfId="61" xr:uid="{00000000-0005-0000-0000-00006A000000}"/>
    <cellStyle name="Percent 3 2 2" xfId="68" xr:uid="{00000000-0005-0000-0000-00006B000000}"/>
    <cellStyle name="Percent 4" xfId="62" xr:uid="{00000000-0005-0000-0000-00006C000000}"/>
    <cellStyle name="Percent 4 2" xfId="104" xr:uid="{00000000-0005-0000-0000-00006D000000}"/>
    <cellStyle name="Percent 5" xfId="70" xr:uid="{00000000-0005-0000-0000-00006E000000}"/>
    <cellStyle name="Percent 5 2" xfId="73" xr:uid="{00000000-0005-0000-0000-00006F000000}"/>
    <cellStyle name="Percent 5 3" xfId="155" xr:uid="{00000000-0005-0000-0000-000070000000}"/>
    <cellStyle name="Percent 6" xfId="84" xr:uid="{00000000-0005-0000-0000-000071000000}"/>
    <cellStyle name="Percent 7" xfId="156" xr:uid="{00000000-0005-0000-0000-000072000000}"/>
    <cellStyle name="SAPBEXaggData" xfId="95" xr:uid="{00000000-0005-0000-0000-000073000000}"/>
    <cellStyle name="SAPBEXaggDataEmph" xfId="109" xr:uid="{00000000-0005-0000-0000-000074000000}"/>
    <cellStyle name="SAPBEXaggItem" xfId="110" xr:uid="{00000000-0005-0000-0000-000075000000}"/>
    <cellStyle name="SAPBEXaggItemX" xfId="111" xr:uid="{00000000-0005-0000-0000-000076000000}"/>
    <cellStyle name="SAPBEXchaText" xfId="112" xr:uid="{00000000-0005-0000-0000-000077000000}"/>
    <cellStyle name="SAPBEXexcBad7" xfId="113" xr:uid="{00000000-0005-0000-0000-000078000000}"/>
    <cellStyle name="SAPBEXexcBad8" xfId="114" xr:uid="{00000000-0005-0000-0000-000079000000}"/>
    <cellStyle name="SAPBEXexcBad9" xfId="115" xr:uid="{00000000-0005-0000-0000-00007A000000}"/>
    <cellStyle name="SAPBEXexcCritical4" xfId="116" xr:uid="{00000000-0005-0000-0000-00007B000000}"/>
    <cellStyle name="SAPBEXexcCritical5" xfId="117" xr:uid="{00000000-0005-0000-0000-00007C000000}"/>
    <cellStyle name="SAPBEXexcCritical6" xfId="118" xr:uid="{00000000-0005-0000-0000-00007D000000}"/>
    <cellStyle name="SAPBEXexcGood1" xfId="119" xr:uid="{00000000-0005-0000-0000-00007E000000}"/>
    <cellStyle name="SAPBEXexcGood2" xfId="120" xr:uid="{00000000-0005-0000-0000-00007F000000}"/>
    <cellStyle name="SAPBEXexcGood3" xfId="121" xr:uid="{00000000-0005-0000-0000-000080000000}"/>
    <cellStyle name="SAPBEXfilterDrill" xfId="122" xr:uid="{00000000-0005-0000-0000-000081000000}"/>
    <cellStyle name="SAPBEXfilterItem" xfId="123" xr:uid="{00000000-0005-0000-0000-000082000000}"/>
    <cellStyle name="SAPBEXfilterText" xfId="124" xr:uid="{00000000-0005-0000-0000-000083000000}"/>
    <cellStyle name="SAPBEXformats" xfId="125" xr:uid="{00000000-0005-0000-0000-000084000000}"/>
    <cellStyle name="SAPBEXheaderItem" xfId="126" xr:uid="{00000000-0005-0000-0000-000085000000}"/>
    <cellStyle name="SAPBEXheaderItem 2" xfId="158" xr:uid="{00000000-0005-0000-0000-000086000000}"/>
    <cellStyle name="SAPBEXheaderText" xfId="127" xr:uid="{00000000-0005-0000-0000-000087000000}"/>
    <cellStyle name="SAPBEXheaderText 2" xfId="159" xr:uid="{00000000-0005-0000-0000-000088000000}"/>
    <cellStyle name="SAPBEXHLevel0" xfId="128" xr:uid="{00000000-0005-0000-0000-000089000000}"/>
    <cellStyle name="SAPBEXHLevel0X" xfId="129" xr:uid="{00000000-0005-0000-0000-00008A000000}"/>
    <cellStyle name="SAPBEXHLevel1" xfId="130" xr:uid="{00000000-0005-0000-0000-00008B000000}"/>
    <cellStyle name="SAPBEXHLevel1X" xfId="131" xr:uid="{00000000-0005-0000-0000-00008C000000}"/>
    <cellStyle name="SAPBEXHLevel2" xfId="132" xr:uid="{00000000-0005-0000-0000-00008D000000}"/>
    <cellStyle name="SAPBEXHLevel2X" xfId="133" xr:uid="{00000000-0005-0000-0000-00008E000000}"/>
    <cellStyle name="SAPBEXHLevel3" xfId="134" xr:uid="{00000000-0005-0000-0000-00008F000000}"/>
    <cellStyle name="SAPBEXHLevel3X" xfId="135" xr:uid="{00000000-0005-0000-0000-000090000000}"/>
    <cellStyle name="SAPBEXresData" xfId="136" xr:uid="{00000000-0005-0000-0000-000091000000}"/>
    <cellStyle name="SAPBEXresDataEmph" xfId="137" xr:uid="{00000000-0005-0000-0000-000092000000}"/>
    <cellStyle name="SAPBEXresItem" xfId="138" xr:uid="{00000000-0005-0000-0000-000093000000}"/>
    <cellStyle name="SAPBEXresItemX" xfId="139" xr:uid="{00000000-0005-0000-0000-000094000000}"/>
    <cellStyle name="SAPBEXstdData" xfId="140" xr:uid="{00000000-0005-0000-0000-000095000000}"/>
    <cellStyle name="SAPBEXstdDataEmph" xfId="141" xr:uid="{00000000-0005-0000-0000-000096000000}"/>
    <cellStyle name="SAPBEXstdItem" xfId="142" xr:uid="{00000000-0005-0000-0000-000097000000}"/>
    <cellStyle name="SAPBEXstdItemX" xfId="143" xr:uid="{00000000-0005-0000-0000-000098000000}"/>
    <cellStyle name="SAPBEXtitle" xfId="144" xr:uid="{00000000-0005-0000-0000-000099000000}"/>
    <cellStyle name="SAPBEXundefined" xfId="145" xr:uid="{00000000-0005-0000-0000-00009A000000}"/>
    <cellStyle name="Title 2" xfId="63" xr:uid="{00000000-0005-0000-0000-00009B000000}"/>
    <cellStyle name="Total" xfId="64" builtinId="25" customBuiltin="1"/>
    <cellStyle name="Total 2" xfId="65" xr:uid="{00000000-0005-0000-0000-00009D000000}"/>
    <cellStyle name="Total 3" xfId="96" xr:uid="{00000000-0005-0000-0000-00009E000000}"/>
    <cellStyle name="Warning Text 2" xfId="66" xr:uid="{00000000-0005-0000-0000-00009F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161BF6"/>
      <color rgb="FF143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Estimated BGS-RSCP Impacts By Rate Class 2/16</a:t>
            </a:r>
            <a:r>
              <a:rPr lang="en-US" sz="2400" baseline="0"/>
              <a:t> Auction-RS, GLP &amp;  LPL-S</a:t>
            </a:r>
            <a:endParaRPr lang="en-US" sz="2400"/>
          </a:p>
        </c:rich>
      </c:tx>
      <c:overlay val="0"/>
    </c:title>
    <c:autoTitleDeleted val="0"/>
    <c:plotArea>
      <c:layout>
        <c:manualLayout>
          <c:layoutTarget val="inner"/>
          <c:xMode val="edge"/>
          <c:yMode val="edge"/>
          <c:x val="5.2387323782709466E-2"/>
          <c:y val="6.7584861535194815E-2"/>
          <c:w val="0.92277877021454169"/>
          <c:h val="0.86663153512946989"/>
        </c:manualLayout>
      </c:layout>
      <c:barChart>
        <c:barDir val="col"/>
        <c:grouping val="stacked"/>
        <c:varyColors val="0"/>
        <c:ser>
          <c:idx val="0"/>
          <c:order val="0"/>
          <c:tx>
            <c:strRef>
              <c:f>'Bridge for 0301 NITS Changes'!$B$32</c:f>
              <c:strCache>
                <c:ptCount val="1"/>
                <c:pt idx="0">
                  <c:v>Customer Usage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CC7A-49CF-86E9-5EC648C366D0}"/>
                </c:ext>
              </c:extLst>
            </c:dLbl>
            <c:dLbl>
              <c:idx val="2"/>
              <c:layout>
                <c:manualLayout>
                  <c:x val="0"/>
                  <c:y val="-1.01633376400810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7A-49CF-86E9-5EC648C366D0}"/>
                </c:ext>
              </c:extLst>
            </c:dLbl>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'Bridge for 0301 NITS Changes'!$C$30:$E$30</c:f>
              <c:strCache>
                <c:ptCount val="3"/>
                <c:pt idx="0">
                  <c:v>RS</c:v>
                </c:pt>
                <c:pt idx="1">
                  <c:v>GLP</c:v>
                </c:pt>
                <c:pt idx="2">
                  <c:v>LPL-S</c:v>
                </c:pt>
              </c:strCache>
            </c:strRef>
          </c:cat>
          <c:val>
            <c:numRef>
              <c:f>'Bridge for 0301 NITS Changes'!$C$32:$E$32</c:f>
              <c:numCache>
                <c:formatCode>0.00%</c:formatCode>
                <c:ptCount val="3"/>
                <c:pt idx="0">
                  <c:v>0</c:v>
                </c:pt>
                <c:pt idx="1">
                  <c:v>0</c:v>
                </c:pt>
                <c:pt idx="2">
                  <c:v>0</c:v>
                </c:pt>
              </c:numCache>
            </c:numRef>
          </c:val>
          <c:extLst>
            <c:ext xmlns:c16="http://schemas.microsoft.com/office/drawing/2014/chart" uri="{C3380CC4-5D6E-409C-BE32-E72D297353CC}">
              <c16:uniqueId val="{00000002-CC7A-49CF-86E9-5EC648C366D0}"/>
            </c:ext>
          </c:extLst>
        </c:ser>
        <c:ser>
          <c:idx val="1"/>
          <c:order val="1"/>
          <c:tx>
            <c:strRef>
              <c:f>'Bridge for 0301 NITS Changes'!$B$33</c:f>
              <c:strCache>
                <c:ptCount val="1"/>
                <c:pt idx="0">
                  <c:v>Forwards Related</c:v>
                </c:pt>
              </c:strCache>
            </c:strRef>
          </c:tx>
          <c:invertIfNegative val="0"/>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'Bridge for 0301 NITS Changes'!$C$30:$E$30</c:f>
              <c:strCache>
                <c:ptCount val="3"/>
                <c:pt idx="0">
                  <c:v>RS</c:v>
                </c:pt>
                <c:pt idx="1">
                  <c:v>GLP</c:v>
                </c:pt>
                <c:pt idx="2">
                  <c:v>LPL-S</c:v>
                </c:pt>
              </c:strCache>
            </c:strRef>
          </c:cat>
          <c:val>
            <c:numRef>
              <c:f>'Bridge for 0301 NITS Changes'!$C$33:$E$33</c:f>
              <c:numCache>
                <c:formatCode>0.00%</c:formatCode>
                <c:ptCount val="3"/>
                <c:pt idx="0">
                  <c:v>0</c:v>
                </c:pt>
                <c:pt idx="1">
                  <c:v>0</c:v>
                </c:pt>
                <c:pt idx="2">
                  <c:v>0</c:v>
                </c:pt>
              </c:numCache>
            </c:numRef>
          </c:val>
          <c:extLst>
            <c:ext xmlns:c16="http://schemas.microsoft.com/office/drawing/2014/chart" uri="{C3380CC4-5D6E-409C-BE32-E72D297353CC}">
              <c16:uniqueId val="{00000003-CC7A-49CF-86E9-5EC648C366D0}"/>
            </c:ext>
          </c:extLst>
        </c:ser>
        <c:ser>
          <c:idx val="2"/>
          <c:order val="2"/>
          <c:tx>
            <c:strRef>
              <c:f>'Bridge for 0301 NITS Changes'!$B$34</c:f>
              <c:strCache>
                <c:ptCount val="1"/>
                <c:pt idx="0">
                  <c:v>Generation Obligation</c:v>
                </c:pt>
              </c:strCache>
            </c:strRef>
          </c:tx>
          <c:invertIfNegative val="0"/>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'Bridge for 0301 NITS Changes'!$C$30:$E$30</c:f>
              <c:strCache>
                <c:ptCount val="3"/>
                <c:pt idx="0">
                  <c:v>RS</c:v>
                </c:pt>
                <c:pt idx="1">
                  <c:v>GLP</c:v>
                </c:pt>
                <c:pt idx="2">
                  <c:v>LPL-S</c:v>
                </c:pt>
              </c:strCache>
            </c:strRef>
          </c:cat>
          <c:val>
            <c:numRef>
              <c:f>'Bridge for 0301 NITS Changes'!$C$34:$E$34</c:f>
              <c:numCache>
                <c:formatCode>0.00%</c:formatCode>
                <c:ptCount val="3"/>
                <c:pt idx="0">
                  <c:v>0</c:v>
                </c:pt>
                <c:pt idx="1">
                  <c:v>0</c:v>
                </c:pt>
                <c:pt idx="2">
                  <c:v>0</c:v>
                </c:pt>
              </c:numCache>
            </c:numRef>
          </c:val>
          <c:extLst>
            <c:ext xmlns:c16="http://schemas.microsoft.com/office/drawing/2014/chart" uri="{C3380CC4-5D6E-409C-BE32-E72D297353CC}">
              <c16:uniqueId val="{00000004-CC7A-49CF-86E9-5EC648C366D0}"/>
            </c:ext>
          </c:extLst>
        </c:ser>
        <c:ser>
          <c:idx val="3"/>
          <c:order val="3"/>
          <c:tx>
            <c:strRef>
              <c:f>'Bridge for 0301 NITS Changes'!$B$36</c:f>
              <c:strCache>
                <c:ptCount val="1"/>
                <c:pt idx="0">
                  <c:v>Transmission Obligation</c:v>
                </c:pt>
              </c:strCache>
            </c:strRef>
          </c:tx>
          <c:invertIfNegative val="0"/>
          <c:dLbls>
            <c:dLbl>
              <c:idx val="2"/>
              <c:layout>
                <c:manualLayout>
                  <c:x val="-2.931936818223688E-3"/>
                  <c:y val="-1.5131902650163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7A-49CF-86E9-5EC648C366D0}"/>
                </c:ext>
              </c:extLst>
            </c:dLbl>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'Bridge for 0301 NITS Changes'!$C$30:$E$30</c:f>
              <c:strCache>
                <c:ptCount val="3"/>
                <c:pt idx="0">
                  <c:v>RS</c:v>
                </c:pt>
                <c:pt idx="1">
                  <c:v>GLP</c:v>
                </c:pt>
                <c:pt idx="2">
                  <c:v>LPL-S</c:v>
                </c:pt>
              </c:strCache>
            </c:strRef>
          </c:cat>
          <c:val>
            <c:numRef>
              <c:f>'Bridge for 0301 NITS Changes'!$C$36:$E$36</c:f>
              <c:numCache>
                <c:formatCode>0.00%</c:formatCode>
                <c:ptCount val="3"/>
                <c:pt idx="0">
                  <c:v>0</c:v>
                </c:pt>
                <c:pt idx="1">
                  <c:v>0</c:v>
                </c:pt>
                <c:pt idx="2">
                  <c:v>0</c:v>
                </c:pt>
              </c:numCache>
            </c:numRef>
          </c:val>
          <c:extLst>
            <c:ext xmlns:c16="http://schemas.microsoft.com/office/drawing/2014/chart" uri="{C3380CC4-5D6E-409C-BE32-E72D297353CC}">
              <c16:uniqueId val="{00000006-CC7A-49CF-86E9-5EC648C366D0}"/>
            </c:ext>
          </c:extLst>
        </c:ser>
        <c:ser>
          <c:idx val="4"/>
          <c:order val="4"/>
          <c:tx>
            <c:strRef>
              <c:f>'Bridge for 0301 NITS Changes'!$B$37</c:f>
              <c:strCache>
                <c:ptCount val="1"/>
                <c:pt idx="0">
                  <c:v>NITS</c:v>
                </c:pt>
              </c:strCache>
            </c:strRef>
          </c:tx>
          <c:invertIfNegative val="0"/>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'Bridge for 0301 NITS Changes'!$C$30:$E$30</c:f>
              <c:strCache>
                <c:ptCount val="3"/>
                <c:pt idx="0">
                  <c:v>RS</c:v>
                </c:pt>
                <c:pt idx="1">
                  <c:v>GLP</c:v>
                </c:pt>
                <c:pt idx="2">
                  <c:v>LPL-S</c:v>
                </c:pt>
              </c:strCache>
            </c:strRef>
          </c:cat>
          <c:val>
            <c:numRef>
              <c:f>'Bridge for 0301 NITS Changes'!$C$37:$E$37</c:f>
              <c:numCache>
                <c:formatCode>0.00%</c:formatCode>
                <c:ptCount val="3"/>
                <c:pt idx="0">
                  <c:v>0</c:v>
                </c:pt>
                <c:pt idx="1">
                  <c:v>0</c:v>
                </c:pt>
                <c:pt idx="2">
                  <c:v>0</c:v>
                </c:pt>
              </c:numCache>
            </c:numRef>
          </c:val>
          <c:extLst>
            <c:ext xmlns:c16="http://schemas.microsoft.com/office/drawing/2014/chart" uri="{C3380CC4-5D6E-409C-BE32-E72D297353CC}">
              <c16:uniqueId val="{00000007-CC7A-49CF-86E9-5EC648C366D0}"/>
            </c:ext>
          </c:extLst>
        </c:ser>
        <c:dLbls>
          <c:showLegendKey val="0"/>
          <c:showVal val="0"/>
          <c:showCatName val="0"/>
          <c:showSerName val="0"/>
          <c:showPercent val="0"/>
          <c:showBubbleSize val="0"/>
        </c:dLbls>
        <c:gapWidth val="150"/>
        <c:overlap val="100"/>
        <c:axId val="286331648"/>
        <c:axId val="286333184"/>
      </c:barChart>
      <c:catAx>
        <c:axId val="286331648"/>
        <c:scaling>
          <c:orientation val="minMax"/>
        </c:scaling>
        <c:delete val="1"/>
        <c:axPos val="b"/>
        <c:numFmt formatCode="General" sourceLinked="0"/>
        <c:majorTickMark val="out"/>
        <c:minorTickMark val="none"/>
        <c:tickLblPos val="nextTo"/>
        <c:crossAx val="286333184"/>
        <c:crosses val="autoZero"/>
        <c:auto val="1"/>
        <c:lblAlgn val="ctr"/>
        <c:lblOffset val="100"/>
        <c:noMultiLvlLbl val="0"/>
      </c:catAx>
      <c:valAx>
        <c:axId val="286333184"/>
        <c:scaling>
          <c:orientation val="minMax"/>
        </c:scaling>
        <c:delete val="0"/>
        <c:axPos val="l"/>
        <c:majorGridlines/>
        <c:numFmt formatCode="0.00%" sourceLinked="1"/>
        <c:majorTickMark val="out"/>
        <c:minorTickMark val="none"/>
        <c:tickLblPos val="nextTo"/>
        <c:txPr>
          <a:bodyPr/>
          <a:lstStyle/>
          <a:p>
            <a:pPr>
              <a:defRPr sz="1800" b="1"/>
            </a:pPr>
            <a:endParaRPr lang="en-US"/>
          </a:p>
        </c:txPr>
        <c:crossAx val="286331648"/>
        <c:crosses val="autoZero"/>
        <c:crossBetween val="between"/>
      </c:valAx>
      <c:spPr>
        <a:ln>
          <a:solidFill>
            <a:schemeClr val="tx1"/>
          </a:solidFill>
        </a:ln>
      </c:spPr>
    </c:plotArea>
    <c:legend>
      <c:legendPos val="b"/>
      <c:layout>
        <c:manualLayout>
          <c:xMode val="edge"/>
          <c:yMode val="edge"/>
          <c:x val="7.1500858457248698E-2"/>
          <c:y val="0.88184239704318901"/>
          <c:w val="0.89999994613239442"/>
          <c:h val="0.11138204453009035"/>
        </c:manualLayout>
      </c:layout>
      <c:overlay val="0"/>
      <c:spPr>
        <a:gradFill>
          <a:gsLst>
            <a:gs pos="0">
              <a:schemeClr val="accent1">
                <a:tint val="66000"/>
                <a:satMod val="160000"/>
              </a:schemeClr>
            </a:gs>
            <a:gs pos="100000">
              <a:srgbClr val="D9E2F3"/>
            </a:gs>
            <a:gs pos="68000">
              <a:schemeClr val="accent1">
                <a:tint val="44500"/>
                <a:satMod val="160000"/>
              </a:schemeClr>
            </a:gs>
            <a:gs pos="100000">
              <a:schemeClr val="accent1">
                <a:tint val="23500"/>
                <a:satMod val="160000"/>
              </a:schemeClr>
            </a:gs>
          </a:gsLst>
          <a:lin ang="5400000" scaled="0"/>
        </a:gradFill>
        <a:ln>
          <a:solidFill>
            <a:schemeClr val="tx1"/>
          </a:solidFill>
        </a:ln>
      </c:spPr>
      <c:txPr>
        <a:bodyPr/>
        <a:lstStyle/>
        <a:p>
          <a:pPr>
            <a:defRPr sz="2000"/>
          </a:pPr>
          <a:endParaRPr lang="en-US"/>
        </a:p>
      </c:txPr>
    </c:legend>
    <c:plotVisOnly val="1"/>
    <c:dispBlanksAs val="gap"/>
    <c:showDLblsOverMax val="0"/>
  </c:chart>
  <c:printSettings>
    <c:headerFooter/>
    <c:pageMargins b="0.75" l="0.7" r="0.7" t="0.75" header="0.3" footer="0.3"/>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GLP BGS-RSCP  Total Annual </a:t>
            </a:r>
            <a:r>
              <a:rPr lang="en-US" baseline="0"/>
              <a:t>Cost </a:t>
            </a:r>
          </a:p>
          <a:p>
            <a:pPr>
              <a:defRPr/>
            </a:pPr>
            <a:r>
              <a:rPr lang="en-US" baseline="0"/>
              <a:t> Feb 1, 2016 to June 1, 2016</a:t>
            </a:r>
            <a:endParaRPr lang="en-US"/>
          </a:p>
        </c:rich>
      </c:tx>
      <c:layout>
        <c:manualLayout>
          <c:xMode val="edge"/>
          <c:yMode val="edge"/>
          <c:x val="0.17819658403141539"/>
          <c:y val="7.5880762045996289E-3"/>
        </c:manualLayout>
      </c:layout>
      <c:overlay val="0"/>
    </c:title>
    <c:autoTitleDeleted val="0"/>
    <c:plotArea>
      <c:layout>
        <c:manualLayout>
          <c:layoutTarget val="inner"/>
          <c:xMode val="edge"/>
          <c:yMode val="edge"/>
          <c:x val="5.2585954262099298E-2"/>
          <c:y val="0.20305691923508606"/>
          <c:w val="0.93333082651359067"/>
          <c:h val="0.63221789608936241"/>
        </c:manualLayout>
      </c:layout>
      <c:barChart>
        <c:barDir val="col"/>
        <c:grouping val="clustered"/>
        <c:varyColors val="0"/>
        <c:ser>
          <c:idx val="0"/>
          <c:order val="0"/>
          <c:spPr>
            <a:ln>
              <a:solidFill>
                <a:schemeClr val="tx1"/>
              </a:solidFill>
            </a:ln>
          </c:spPr>
          <c:invertIfNegative val="0"/>
          <c:cat>
            <c:strRef>
              <c:f>'Bridge for 0301 NITS Changes'!$J$76:$J$78</c:f>
              <c:strCache>
                <c:ptCount val="3"/>
                <c:pt idx="0">
                  <c:v>February 1</c:v>
                </c:pt>
                <c:pt idx="1">
                  <c:v>3/1 NITS TEC Adder</c:v>
                </c:pt>
                <c:pt idx="2">
                  <c:v>6/1 Estimated BGS Impact</c:v>
                </c:pt>
              </c:strCache>
            </c:strRef>
          </c:cat>
          <c:val>
            <c:numRef>
              <c:f>'Bridge for 0301 NITS Changes'!$K$76:$K$78</c:f>
              <c:numCache>
                <c:formatCode>General</c:formatCode>
                <c:ptCount val="3"/>
              </c:numCache>
            </c:numRef>
          </c:val>
          <c:extLst>
            <c:ext xmlns:c16="http://schemas.microsoft.com/office/drawing/2014/chart" uri="{C3380CC4-5D6E-409C-BE32-E72D297353CC}">
              <c16:uniqueId val="{00000000-581A-405B-85C8-BDAB289F4A3F}"/>
            </c:ext>
          </c:extLst>
        </c:ser>
        <c:ser>
          <c:idx val="1"/>
          <c:order val="1"/>
          <c:spPr>
            <a:solidFill>
              <a:srgbClr val="FF0000"/>
            </a:solidFill>
            <a:ln>
              <a:noFill/>
            </a:ln>
          </c:spPr>
          <c:invertIfNegative val="0"/>
          <c:cat>
            <c:strRef>
              <c:f>'Bridge for 0301 NITS Changes'!$J$76:$J$78</c:f>
              <c:strCache>
                <c:ptCount val="3"/>
                <c:pt idx="0">
                  <c:v>February 1</c:v>
                </c:pt>
                <c:pt idx="1">
                  <c:v>3/1 NITS TEC Adder</c:v>
                </c:pt>
                <c:pt idx="2">
                  <c:v>6/1 Estimated BGS Impact</c:v>
                </c:pt>
              </c:strCache>
            </c:strRef>
          </c:cat>
          <c:val>
            <c:numRef>
              <c:f>'Bridge for 0301 NITS Changes'!$L$76:$L$78</c:f>
              <c:numCache>
                <c:formatCode>_("$"* #,##0.00_);_("$"* \(#,##0.00\);_("$"* "-"??_);_(@_)</c:formatCode>
                <c:ptCount val="3"/>
                <c:pt idx="0">
                  <c:v>0</c:v>
                </c:pt>
                <c:pt idx="1">
                  <c:v>0</c:v>
                </c:pt>
                <c:pt idx="2">
                  <c:v>0</c:v>
                </c:pt>
              </c:numCache>
            </c:numRef>
          </c:val>
          <c:extLst>
            <c:ext xmlns:c16="http://schemas.microsoft.com/office/drawing/2014/chart" uri="{C3380CC4-5D6E-409C-BE32-E72D297353CC}">
              <c16:uniqueId val="{00000001-581A-405B-85C8-BDAB289F4A3F}"/>
            </c:ext>
          </c:extLst>
        </c:ser>
        <c:dLbls>
          <c:showLegendKey val="0"/>
          <c:showVal val="0"/>
          <c:showCatName val="0"/>
          <c:showSerName val="0"/>
          <c:showPercent val="0"/>
          <c:showBubbleSize val="0"/>
        </c:dLbls>
        <c:gapWidth val="150"/>
        <c:axId val="279193088"/>
        <c:axId val="279194624"/>
      </c:barChart>
      <c:lineChart>
        <c:grouping val="standard"/>
        <c:varyColors val="0"/>
        <c:ser>
          <c:idx val="2"/>
          <c:order val="2"/>
          <c:spPr>
            <a:ln>
              <a:noFill/>
            </a:ln>
          </c:spPr>
          <c:marker>
            <c:symbol val="none"/>
          </c:marker>
          <c:dLbls>
            <c:dLbl>
              <c:idx val="0"/>
              <c:layout>
                <c:manualLayout>
                  <c:x val="5.3994488796497868E-2"/>
                  <c:y val="2.7222216268106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1A-405B-85C8-BDAB289F4A3F}"/>
                </c:ext>
              </c:extLst>
            </c:dLbl>
            <c:dLbl>
              <c:idx val="1"/>
              <c:layout>
                <c:manualLayout>
                  <c:x val="5.6565654929664436E-2"/>
                  <c:y val="-3.88888803830094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1A-405B-85C8-BDAB289F4A3F}"/>
                </c:ext>
              </c:extLst>
            </c:dLbl>
            <c:dLbl>
              <c:idx val="2"/>
              <c:layout>
                <c:manualLayout>
                  <c:x val="-1.7998162932165957E-2"/>
                  <c:y val="4.2777768421310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1A-405B-85C8-BDAB289F4A3F}"/>
                </c:ext>
              </c:extLst>
            </c:dLbl>
            <c:spPr>
              <a:solidFill>
                <a:schemeClr val="bg1"/>
              </a:solidFill>
              <a:ln>
                <a:solidFill>
                  <a:schemeClr val="accent1"/>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'Bridge for 0301 NITS Changes'!$J$76:$J$78</c:f>
              <c:strCache>
                <c:ptCount val="3"/>
                <c:pt idx="0">
                  <c:v>February 1</c:v>
                </c:pt>
                <c:pt idx="1">
                  <c:v>3/1 NITS TEC Adder</c:v>
                </c:pt>
                <c:pt idx="2">
                  <c:v>6/1 Estimated BGS Impact</c:v>
                </c:pt>
              </c:strCache>
            </c:strRef>
          </c:cat>
          <c:val>
            <c:numRef>
              <c:f>'Bridge for 0301 NITS Changes'!$M$76:$M$78</c:f>
              <c:numCache>
                <c:formatCode>0.00%</c:formatCode>
                <c:ptCount val="3"/>
                <c:pt idx="0">
                  <c:v>0</c:v>
                </c:pt>
                <c:pt idx="1">
                  <c:v>0</c:v>
                </c:pt>
                <c:pt idx="2">
                  <c:v>0</c:v>
                </c:pt>
              </c:numCache>
            </c:numRef>
          </c:val>
          <c:smooth val="0"/>
          <c:extLst>
            <c:ext xmlns:c16="http://schemas.microsoft.com/office/drawing/2014/chart" uri="{C3380CC4-5D6E-409C-BE32-E72D297353CC}">
              <c16:uniqueId val="{00000005-581A-405B-85C8-BDAB289F4A3F}"/>
            </c:ext>
          </c:extLst>
        </c:ser>
        <c:dLbls>
          <c:showLegendKey val="0"/>
          <c:showVal val="0"/>
          <c:showCatName val="0"/>
          <c:showSerName val="0"/>
          <c:showPercent val="0"/>
          <c:showBubbleSize val="0"/>
        </c:dLbls>
        <c:marker val="1"/>
        <c:smooth val="0"/>
        <c:axId val="279202048"/>
        <c:axId val="279200512"/>
      </c:lineChart>
      <c:catAx>
        <c:axId val="279193088"/>
        <c:scaling>
          <c:orientation val="minMax"/>
        </c:scaling>
        <c:delete val="0"/>
        <c:axPos val="b"/>
        <c:numFmt formatCode="General" sourceLinked="0"/>
        <c:majorTickMark val="out"/>
        <c:minorTickMark val="cross"/>
        <c:tickLblPos val="nextTo"/>
        <c:txPr>
          <a:bodyPr/>
          <a:lstStyle/>
          <a:p>
            <a:pPr>
              <a:defRPr sz="1200" b="1"/>
            </a:pPr>
            <a:endParaRPr lang="en-US"/>
          </a:p>
        </c:txPr>
        <c:crossAx val="279194624"/>
        <c:crossesAt val="-5.000000000000001E-2"/>
        <c:auto val="1"/>
        <c:lblAlgn val="ctr"/>
        <c:lblOffset val="100"/>
        <c:noMultiLvlLbl val="0"/>
      </c:catAx>
      <c:valAx>
        <c:axId val="279194624"/>
        <c:scaling>
          <c:orientation val="minMax"/>
        </c:scaling>
        <c:delete val="0"/>
        <c:axPos val="l"/>
        <c:majorGridlines/>
        <c:numFmt formatCode="&quot;$&quot;#,##0" sourceLinked="0"/>
        <c:majorTickMark val="out"/>
        <c:minorTickMark val="cross"/>
        <c:tickLblPos val="nextTo"/>
        <c:txPr>
          <a:bodyPr/>
          <a:lstStyle/>
          <a:p>
            <a:pPr>
              <a:defRPr sz="1400" b="1"/>
            </a:pPr>
            <a:endParaRPr lang="en-US"/>
          </a:p>
        </c:txPr>
        <c:crossAx val="279193088"/>
        <c:crossesAt val="1"/>
        <c:crossBetween val="between"/>
        <c:majorUnit val="100"/>
      </c:valAx>
      <c:valAx>
        <c:axId val="279200512"/>
        <c:scaling>
          <c:orientation val="minMax"/>
          <c:max val="5.000000000000001E-2"/>
          <c:min val="-2.0000000000000004E-2"/>
        </c:scaling>
        <c:delete val="0"/>
        <c:axPos val="r"/>
        <c:numFmt formatCode="0.00%" sourceLinked="1"/>
        <c:majorTickMark val="out"/>
        <c:minorTickMark val="none"/>
        <c:tickLblPos val="nextTo"/>
        <c:crossAx val="279202048"/>
        <c:crosses val="max"/>
        <c:crossBetween val="between"/>
      </c:valAx>
      <c:catAx>
        <c:axId val="279202048"/>
        <c:scaling>
          <c:orientation val="minMax"/>
        </c:scaling>
        <c:delete val="1"/>
        <c:axPos val="b"/>
        <c:numFmt formatCode="General" sourceLinked="1"/>
        <c:majorTickMark val="out"/>
        <c:minorTickMark val="none"/>
        <c:tickLblPos val="nextTo"/>
        <c:crossAx val="279200512"/>
        <c:crosses val="autoZero"/>
        <c:auto val="1"/>
        <c:lblAlgn val="ctr"/>
        <c:lblOffset val="100"/>
        <c:noMultiLvlLbl val="0"/>
      </c:catAx>
    </c:plotArea>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LPL-S BGS-RSCP  Total Annual </a:t>
            </a:r>
            <a:r>
              <a:rPr lang="en-US" baseline="0"/>
              <a:t>Cost </a:t>
            </a:r>
          </a:p>
          <a:p>
            <a:pPr>
              <a:defRPr/>
            </a:pPr>
            <a:r>
              <a:rPr lang="en-US" baseline="0"/>
              <a:t> Feb 1, 2016 to June 1, 2016</a:t>
            </a:r>
            <a:endParaRPr lang="en-US"/>
          </a:p>
        </c:rich>
      </c:tx>
      <c:layout>
        <c:manualLayout>
          <c:xMode val="edge"/>
          <c:yMode val="edge"/>
          <c:x val="0.17819658403141539"/>
          <c:y val="7.5880762045996289E-3"/>
        </c:manualLayout>
      </c:layout>
      <c:overlay val="0"/>
    </c:title>
    <c:autoTitleDeleted val="0"/>
    <c:plotArea>
      <c:layout>
        <c:manualLayout>
          <c:layoutTarget val="inner"/>
          <c:xMode val="edge"/>
          <c:yMode val="edge"/>
          <c:x val="5.2585954262099298E-2"/>
          <c:y val="0.20305691923508606"/>
          <c:w val="0.93333082651359067"/>
          <c:h val="0.63221789608936241"/>
        </c:manualLayout>
      </c:layout>
      <c:barChart>
        <c:barDir val="col"/>
        <c:grouping val="clustered"/>
        <c:varyColors val="0"/>
        <c:ser>
          <c:idx val="0"/>
          <c:order val="0"/>
          <c:spPr>
            <a:ln>
              <a:solidFill>
                <a:schemeClr val="tx1"/>
              </a:solidFill>
            </a:ln>
          </c:spPr>
          <c:invertIfNegative val="0"/>
          <c:cat>
            <c:strRef>
              <c:f>'Bridge for 0301 NITS Changes'!$J$104:$J$106</c:f>
              <c:strCache>
                <c:ptCount val="3"/>
                <c:pt idx="0">
                  <c:v>February 1</c:v>
                </c:pt>
                <c:pt idx="1">
                  <c:v>3/1 NITS TEC Adder</c:v>
                </c:pt>
                <c:pt idx="2">
                  <c:v>6/1 Estimated BGS Impact</c:v>
                </c:pt>
              </c:strCache>
            </c:strRef>
          </c:cat>
          <c:val>
            <c:numRef>
              <c:f>'Bridge for 0301 NITS Changes'!$K$104:$K$106</c:f>
              <c:numCache>
                <c:formatCode>General</c:formatCode>
                <c:ptCount val="3"/>
              </c:numCache>
            </c:numRef>
          </c:val>
          <c:extLst>
            <c:ext xmlns:c16="http://schemas.microsoft.com/office/drawing/2014/chart" uri="{C3380CC4-5D6E-409C-BE32-E72D297353CC}">
              <c16:uniqueId val="{00000000-76BE-4995-A038-0995B560532A}"/>
            </c:ext>
          </c:extLst>
        </c:ser>
        <c:ser>
          <c:idx val="1"/>
          <c:order val="1"/>
          <c:spPr>
            <a:solidFill>
              <a:srgbClr val="00B050"/>
            </a:solidFill>
            <a:ln>
              <a:noFill/>
            </a:ln>
          </c:spPr>
          <c:invertIfNegative val="0"/>
          <c:cat>
            <c:strRef>
              <c:f>'Bridge for 0301 NITS Changes'!$J$104:$J$106</c:f>
              <c:strCache>
                <c:ptCount val="3"/>
                <c:pt idx="0">
                  <c:v>February 1</c:v>
                </c:pt>
                <c:pt idx="1">
                  <c:v>3/1 NITS TEC Adder</c:v>
                </c:pt>
                <c:pt idx="2">
                  <c:v>6/1 Estimated BGS Impact</c:v>
                </c:pt>
              </c:strCache>
            </c:strRef>
          </c:cat>
          <c:val>
            <c:numRef>
              <c:f>'Bridge for 0301 NITS Changes'!$L$104:$L$106</c:f>
              <c:numCache>
                <c:formatCode>_("$"* #,##0.00_);_("$"* \(#,##0.00\);_("$"* "-"??_);_(@_)</c:formatCode>
                <c:ptCount val="3"/>
                <c:pt idx="0">
                  <c:v>0</c:v>
                </c:pt>
                <c:pt idx="1">
                  <c:v>0</c:v>
                </c:pt>
                <c:pt idx="2">
                  <c:v>0</c:v>
                </c:pt>
              </c:numCache>
            </c:numRef>
          </c:val>
          <c:extLst>
            <c:ext xmlns:c16="http://schemas.microsoft.com/office/drawing/2014/chart" uri="{C3380CC4-5D6E-409C-BE32-E72D297353CC}">
              <c16:uniqueId val="{00000001-76BE-4995-A038-0995B560532A}"/>
            </c:ext>
          </c:extLst>
        </c:ser>
        <c:dLbls>
          <c:showLegendKey val="0"/>
          <c:showVal val="0"/>
          <c:showCatName val="0"/>
          <c:showSerName val="0"/>
          <c:showPercent val="0"/>
          <c:showBubbleSize val="0"/>
        </c:dLbls>
        <c:gapWidth val="150"/>
        <c:axId val="279221376"/>
        <c:axId val="279222912"/>
      </c:barChart>
      <c:lineChart>
        <c:grouping val="standard"/>
        <c:varyColors val="0"/>
        <c:ser>
          <c:idx val="2"/>
          <c:order val="2"/>
          <c:spPr>
            <a:ln>
              <a:noFill/>
            </a:ln>
          </c:spPr>
          <c:marker>
            <c:symbol val="none"/>
          </c:marker>
          <c:dLbls>
            <c:dLbl>
              <c:idx val="0"/>
              <c:layout>
                <c:manualLayout>
                  <c:x val="3.3425159731165346E-2"/>
                  <c:y val="6.99999846894170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BE-4995-A038-0995B560532A}"/>
                </c:ext>
              </c:extLst>
            </c:dLbl>
            <c:dLbl>
              <c:idx val="1"/>
              <c:layout>
                <c:manualLayout>
                  <c:x val="3.0853993597998782E-2"/>
                  <c:y val="-5.44444325362133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BE-4995-A038-0995B560532A}"/>
                </c:ext>
              </c:extLst>
            </c:dLbl>
            <c:dLbl>
              <c:idx val="2"/>
              <c:layout>
                <c:manualLayout>
                  <c:x val="-2.314069765252532E-2"/>
                  <c:y val="-6.6111096651116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BE-4995-A038-0995B560532A}"/>
                </c:ext>
              </c:extLst>
            </c:dLbl>
            <c:spPr>
              <a:solidFill>
                <a:schemeClr val="bg1"/>
              </a:solidFill>
              <a:ln>
                <a:solidFill>
                  <a:schemeClr val="accent1"/>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'Bridge for 0301 NITS Changes'!$J$104:$J$106</c:f>
              <c:strCache>
                <c:ptCount val="3"/>
                <c:pt idx="0">
                  <c:v>February 1</c:v>
                </c:pt>
                <c:pt idx="1">
                  <c:v>3/1 NITS TEC Adder</c:v>
                </c:pt>
                <c:pt idx="2">
                  <c:v>6/1 Estimated BGS Impact</c:v>
                </c:pt>
              </c:strCache>
            </c:strRef>
          </c:cat>
          <c:val>
            <c:numRef>
              <c:f>'Bridge for 0301 NITS Changes'!$M$104:$M$106</c:f>
              <c:numCache>
                <c:formatCode>0.00%</c:formatCode>
                <c:ptCount val="3"/>
                <c:pt idx="0">
                  <c:v>0</c:v>
                </c:pt>
                <c:pt idx="1">
                  <c:v>0</c:v>
                </c:pt>
                <c:pt idx="2">
                  <c:v>0</c:v>
                </c:pt>
              </c:numCache>
            </c:numRef>
          </c:val>
          <c:smooth val="0"/>
          <c:extLst>
            <c:ext xmlns:c16="http://schemas.microsoft.com/office/drawing/2014/chart" uri="{C3380CC4-5D6E-409C-BE32-E72D297353CC}">
              <c16:uniqueId val="{00000005-76BE-4995-A038-0995B560532A}"/>
            </c:ext>
          </c:extLst>
        </c:ser>
        <c:dLbls>
          <c:showLegendKey val="0"/>
          <c:showVal val="0"/>
          <c:showCatName val="0"/>
          <c:showSerName val="0"/>
          <c:showPercent val="0"/>
          <c:showBubbleSize val="0"/>
        </c:dLbls>
        <c:marker val="1"/>
        <c:smooth val="0"/>
        <c:axId val="279226240"/>
        <c:axId val="279224704"/>
      </c:lineChart>
      <c:catAx>
        <c:axId val="279221376"/>
        <c:scaling>
          <c:orientation val="minMax"/>
        </c:scaling>
        <c:delete val="0"/>
        <c:axPos val="b"/>
        <c:numFmt formatCode="General" sourceLinked="0"/>
        <c:majorTickMark val="out"/>
        <c:minorTickMark val="cross"/>
        <c:tickLblPos val="nextTo"/>
        <c:txPr>
          <a:bodyPr/>
          <a:lstStyle/>
          <a:p>
            <a:pPr>
              <a:defRPr sz="1200" b="1"/>
            </a:pPr>
            <a:endParaRPr lang="en-US"/>
          </a:p>
        </c:txPr>
        <c:crossAx val="279222912"/>
        <c:crossesAt val="-5.000000000000001E-2"/>
        <c:auto val="1"/>
        <c:lblAlgn val="ctr"/>
        <c:lblOffset val="100"/>
        <c:noMultiLvlLbl val="0"/>
      </c:catAx>
      <c:valAx>
        <c:axId val="279222912"/>
        <c:scaling>
          <c:orientation val="minMax"/>
        </c:scaling>
        <c:delete val="0"/>
        <c:axPos val="l"/>
        <c:majorGridlines/>
        <c:numFmt formatCode="&quot;$&quot;#,##0" sourceLinked="0"/>
        <c:majorTickMark val="out"/>
        <c:minorTickMark val="cross"/>
        <c:tickLblPos val="nextTo"/>
        <c:txPr>
          <a:bodyPr/>
          <a:lstStyle/>
          <a:p>
            <a:pPr>
              <a:defRPr sz="1400" b="1"/>
            </a:pPr>
            <a:endParaRPr lang="en-US"/>
          </a:p>
        </c:txPr>
        <c:crossAx val="279221376"/>
        <c:crossesAt val="1"/>
        <c:crossBetween val="between"/>
      </c:valAx>
      <c:valAx>
        <c:axId val="279224704"/>
        <c:scaling>
          <c:orientation val="minMax"/>
          <c:max val="5.000000000000001E-2"/>
          <c:min val="-2.0000000000000004E-2"/>
        </c:scaling>
        <c:delete val="0"/>
        <c:axPos val="r"/>
        <c:numFmt formatCode="0.00%" sourceLinked="1"/>
        <c:majorTickMark val="out"/>
        <c:minorTickMark val="none"/>
        <c:tickLblPos val="nextTo"/>
        <c:crossAx val="279226240"/>
        <c:crosses val="max"/>
        <c:crossBetween val="between"/>
      </c:valAx>
      <c:catAx>
        <c:axId val="279226240"/>
        <c:scaling>
          <c:orientation val="minMax"/>
        </c:scaling>
        <c:delete val="1"/>
        <c:axPos val="b"/>
        <c:numFmt formatCode="General" sourceLinked="1"/>
        <c:majorTickMark val="out"/>
        <c:minorTickMark val="none"/>
        <c:tickLblPos val="nextTo"/>
        <c:crossAx val="279224704"/>
        <c:crosses val="autoZero"/>
        <c:auto val="1"/>
        <c:lblAlgn val="ctr"/>
        <c:lblOffset val="100"/>
        <c:noMultiLvlLbl val="0"/>
      </c:catAx>
    </c:plotArea>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Estimated BGS-RSCP Impacts By Rate Class 2/16</a:t>
            </a:r>
            <a:r>
              <a:rPr lang="en-US" sz="2400" baseline="0"/>
              <a:t> Auction-RS, GLP &amp;  LPL-S</a:t>
            </a:r>
            <a:endParaRPr lang="en-US" sz="2400"/>
          </a:p>
        </c:rich>
      </c:tx>
      <c:overlay val="0"/>
    </c:title>
    <c:autoTitleDeleted val="0"/>
    <c:plotArea>
      <c:layout>
        <c:manualLayout>
          <c:layoutTarget val="inner"/>
          <c:xMode val="edge"/>
          <c:yMode val="edge"/>
          <c:x val="5.2387323782709466E-2"/>
          <c:y val="6.7584861535194815E-2"/>
          <c:w val="0.92277877021454169"/>
          <c:h val="0.86663153512946989"/>
        </c:manualLayout>
      </c:layout>
      <c:barChart>
        <c:barDir val="col"/>
        <c:grouping val="stacked"/>
        <c:varyColors val="0"/>
        <c:ser>
          <c:idx val="0"/>
          <c:order val="0"/>
          <c:tx>
            <c:strRef>
              <c:f>'Summary w Bridge to 0301'!$B$38</c:f>
              <c:strCache>
                <c:ptCount val="1"/>
                <c:pt idx="0">
                  <c:v>Auction Roll Off</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583A-4D09-A5ED-F515879721C8}"/>
                </c:ext>
              </c:extLst>
            </c:dLbl>
            <c:dLbl>
              <c:idx val="2"/>
              <c:layout>
                <c:manualLayout>
                  <c:x val="0"/>
                  <c:y val="-1.01633376400810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3A-4D09-A5ED-F515879721C8}"/>
                </c:ext>
              </c:extLst>
            </c:dLbl>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w Bridge to 0301'!$C$36:$E$36</c:f>
              <c:strCache>
                <c:ptCount val="3"/>
                <c:pt idx="0">
                  <c:v>RS</c:v>
                </c:pt>
                <c:pt idx="1">
                  <c:v>GLP</c:v>
                </c:pt>
                <c:pt idx="2">
                  <c:v>LPL-S</c:v>
                </c:pt>
              </c:strCache>
            </c:strRef>
          </c:cat>
          <c:val>
            <c:numRef>
              <c:f>'Summary w Bridge to 0301'!$C$38:$E$38</c:f>
              <c:numCache>
                <c:formatCode>0.00%</c:formatCode>
                <c:ptCount val="3"/>
                <c:pt idx="0">
                  <c:v>0</c:v>
                </c:pt>
                <c:pt idx="1">
                  <c:v>0</c:v>
                </c:pt>
                <c:pt idx="2">
                  <c:v>0</c:v>
                </c:pt>
              </c:numCache>
            </c:numRef>
          </c:val>
          <c:extLst>
            <c:ext xmlns:c16="http://schemas.microsoft.com/office/drawing/2014/chart" uri="{C3380CC4-5D6E-409C-BE32-E72D297353CC}">
              <c16:uniqueId val="{00000002-583A-4D09-A5ED-F515879721C8}"/>
            </c:ext>
          </c:extLst>
        </c:ser>
        <c:ser>
          <c:idx val="1"/>
          <c:order val="1"/>
          <c:tx>
            <c:strRef>
              <c:f>'Summary w Bridge to 0301'!$B$39</c:f>
              <c:strCache>
                <c:ptCount val="1"/>
                <c:pt idx="0">
                  <c:v>Energy Usage </c:v>
                </c:pt>
              </c:strCache>
            </c:strRef>
          </c:tx>
          <c:invertIfNegative val="0"/>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w Bridge to 0301'!$C$36:$E$36</c:f>
              <c:strCache>
                <c:ptCount val="3"/>
                <c:pt idx="0">
                  <c:v>RS</c:v>
                </c:pt>
                <c:pt idx="1">
                  <c:v>GLP</c:v>
                </c:pt>
                <c:pt idx="2">
                  <c:v>LPL-S</c:v>
                </c:pt>
              </c:strCache>
            </c:strRef>
          </c:cat>
          <c:val>
            <c:numRef>
              <c:f>'Summary w Bridge to 0301'!$C$39:$E$39</c:f>
              <c:numCache>
                <c:formatCode>0.00%</c:formatCode>
                <c:ptCount val="3"/>
                <c:pt idx="0">
                  <c:v>0</c:v>
                </c:pt>
                <c:pt idx="1">
                  <c:v>0</c:v>
                </c:pt>
                <c:pt idx="2">
                  <c:v>0</c:v>
                </c:pt>
              </c:numCache>
            </c:numRef>
          </c:val>
          <c:extLst>
            <c:ext xmlns:c16="http://schemas.microsoft.com/office/drawing/2014/chart" uri="{C3380CC4-5D6E-409C-BE32-E72D297353CC}">
              <c16:uniqueId val="{00000003-583A-4D09-A5ED-F515879721C8}"/>
            </c:ext>
          </c:extLst>
        </c:ser>
        <c:ser>
          <c:idx val="2"/>
          <c:order val="2"/>
          <c:tx>
            <c:strRef>
              <c:f>'Summary w Bridge to 0301'!$B$40</c:f>
              <c:strCache>
                <c:ptCount val="1"/>
                <c:pt idx="0">
                  <c:v>Forward Energy </c:v>
                </c:pt>
              </c:strCache>
            </c:strRef>
          </c:tx>
          <c:invertIfNegative val="0"/>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w Bridge to 0301'!$C$36:$E$36</c:f>
              <c:strCache>
                <c:ptCount val="3"/>
                <c:pt idx="0">
                  <c:v>RS</c:v>
                </c:pt>
                <c:pt idx="1">
                  <c:v>GLP</c:v>
                </c:pt>
                <c:pt idx="2">
                  <c:v>LPL-S</c:v>
                </c:pt>
              </c:strCache>
            </c:strRef>
          </c:cat>
          <c:val>
            <c:numRef>
              <c:f>'Summary w Bridge to 0301'!$C$40:$E$40</c:f>
              <c:numCache>
                <c:formatCode>0.00%</c:formatCode>
                <c:ptCount val="3"/>
                <c:pt idx="0">
                  <c:v>0</c:v>
                </c:pt>
                <c:pt idx="1">
                  <c:v>0</c:v>
                </c:pt>
                <c:pt idx="2">
                  <c:v>0</c:v>
                </c:pt>
              </c:numCache>
            </c:numRef>
          </c:val>
          <c:extLst>
            <c:ext xmlns:c16="http://schemas.microsoft.com/office/drawing/2014/chart" uri="{C3380CC4-5D6E-409C-BE32-E72D297353CC}">
              <c16:uniqueId val="{00000004-583A-4D09-A5ED-F515879721C8}"/>
            </c:ext>
          </c:extLst>
        </c:ser>
        <c:ser>
          <c:idx val="3"/>
          <c:order val="3"/>
          <c:tx>
            <c:strRef>
              <c:f>'Summary w Bridge to 0301'!$B$42</c:f>
              <c:strCache>
                <c:ptCount val="1"/>
                <c:pt idx="0">
                  <c:v>Cap Price</c:v>
                </c:pt>
              </c:strCache>
            </c:strRef>
          </c:tx>
          <c:invertIfNegative val="0"/>
          <c:dLbls>
            <c:dLbl>
              <c:idx val="2"/>
              <c:layout>
                <c:manualLayout>
                  <c:x val="-2.931936818223688E-3"/>
                  <c:y val="-1.5131902650163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3A-4D09-A5ED-F515879721C8}"/>
                </c:ext>
              </c:extLst>
            </c:dLbl>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w Bridge to 0301'!$C$36:$E$36</c:f>
              <c:strCache>
                <c:ptCount val="3"/>
                <c:pt idx="0">
                  <c:v>RS</c:v>
                </c:pt>
                <c:pt idx="1">
                  <c:v>GLP</c:v>
                </c:pt>
                <c:pt idx="2">
                  <c:v>LPL-S</c:v>
                </c:pt>
              </c:strCache>
            </c:strRef>
          </c:cat>
          <c:val>
            <c:numRef>
              <c:f>'Summary w Bridge to 0301'!$C$42:$E$42</c:f>
              <c:numCache>
                <c:formatCode>0.00%</c:formatCode>
                <c:ptCount val="3"/>
                <c:pt idx="0">
                  <c:v>0</c:v>
                </c:pt>
                <c:pt idx="1">
                  <c:v>0</c:v>
                </c:pt>
                <c:pt idx="2">
                  <c:v>0</c:v>
                </c:pt>
              </c:numCache>
            </c:numRef>
          </c:val>
          <c:extLst>
            <c:ext xmlns:c16="http://schemas.microsoft.com/office/drawing/2014/chart" uri="{C3380CC4-5D6E-409C-BE32-E72D297353CC}">
              <c16:uniqueId val="{00000006-583A-4D09-A5ED-F515879721C8}"/>
            </c:ext>
          </c:extLst>
        </c:ser>
        <c:ser>
          <c:idx val="4"/>
          <c:order val="4"/>
          <c:tx>
            <c:strRef>
              <c:f>'Summary w Bridge to 0301'!$B$43</c:f>
              <c:strCache>
                <c:ptCount val="1"/>
                <c:pt idx="0">
                  <c:v>Trans Oblig</c:v>
                </c:pt>
              </c:strCache>
            </c:strRef>
          </c:tx>
          <c:invertIfNegative val="0"/>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w Bridge to 0301'!$C$36:$E$36</c:f>
              <c:strCache>
                <c:ptCount val="3"/>
                <c:pt idx="0">
                  <c:v>RS</c:v>
                </c:pt>
                <c:pt idx="1">
                  <c:v>GLP</c:v>
                </c:pt>
                <c:pt idx="2">
                  <c:v>LPL-S</c:v>
                </c:pt>
              </c:strCache>
            </c:strRef>
          </c:cat>
          <c:val>
            <c:numRef>
              <c:f>'Summary w Bridge to 0301'!$C$43:$E$43</c:f>
              <c:numCache>
                <c:formatCode>0.00%</c:formatCode>
                <c:ptCount val="3"/>
                <c:pt idx="0">
                  <c:v>0</c:v>
                </c:pt>
                <c:pt idx="1">
                  <c:v>0</c:v>
                </c:pt>
                <c:pt idx="2">
                  <c:v>0</c:v>
                </c:pt>
              </c:numCache>
            </c:numRef>
          </c:val>
          <c:extLst>
            <c:ext xmlns:c16="http://schemas.microsoft.com/office/drawing/2014/chart" uri="{C3380CC4-5D6E-409C-BE32-E72D297353CC}">
              <c16:uniqueId val="{00000007-583A-4D09-A5ED-F515879721C8}"/>
            </c:ext>
          </c:extLst>
        </c:ser>
        <c:dLbls>
          <c:showLegendKey val="0"/>
          <c:showVal val="0"/>
          <c:showCatName val="0"/>
          <c:showSerName val="0"/>
          <c:showPercent val="0"/>
          <c:showBubbleSize val="0"/>
        </c:dLbls>
        <c:gapWidth val="150"/>
        <c:overlap val="100"/>
        <c:axId val="279732224"/>
        <c:axId val="279733760"/>
      </c:barChart>
      <c:catAx>
        <c:axId val="279732224"/>
        <c:scaling>
          <c:orientation val="minMax"/>
        </c:scaling>
        <c:delete val="1"/>
        <c:axPos val="b"/>
        <c:numFmt formatCode="General" sourceLinked="0"/>
        <c:majorTickMark val="out"/>
        <c:minorTickMark val="none"/>
        <c:tickLblPos val="nextTo"/>
        <c:crossAx val="279733760"/>
        <c:crosses val="autoZero"/>
        <c:auto val="1"/>
        <c:lblAlgn val="ctr"/>
        <c:lblOffset val="100"/>
        <c:noMultiLvlLbl val="0"/>
      </c:catAx>
      <c:valAx>
        <c:axId val="279733760"/>
        <c:scaling>
          <c:orientation val="minMax"/>
        </c:scaling>
        <c:delete val="0"/>
        <c:axPos val="l"/>
        <c:majorGridlines/>
        <c:numFmt formatCode="0.00%" sourceLinked="1"/>
        <c:majorTickMark val="out"/>
        <c:minorTickMark val="none"/>
        <c:tickLblPos val="nextTo"/>
        <c:txPr>
          <a:bodyPr/>
          <a:lstStyle/>
          <a:p>
            <a:pPr>
              <a:defRPr sz="1800" b="1"/>
            </a:pPr>
            <a:endParaRPr lang="en-US"/>
          </a:p>
        </c:txPr>
        <c:crossAx val="279732224"/>
        <c:crosses val="autoZero"/>
        <c:crossBetween val="between"/>
      </c:valAx>
      <c:spPr>
        <a:ln>
          <a:solidFill>
            <a:schemeClr val="tx1"/>
          </a:solidFill>
        </a:ln>
      </c:spPr>
    </c:plotArea>
    <c:legend>
      <c:legendPos val="b"/>
      <c:layout>
        <c:manualLayout>
          <c:xMode val="edge"/>
          <c:yMode val="edge"/>
          <c:x val="7.1500858457248698E-2"/>
          <c:y val="0.88184239704318901"/>
          <c:w val="0.89999994613239442"/>
          <c:h val="0.11138204453009035"/>
        </c:manualLayout>
      </c:layout>
      <c:overlay val="0"/>
      <c:spPr>
        <a:gradFill>
          <a:gsLst>
            <a:gs pos="0">
              <a:schemeClr val="accent1">
                <a:tint val="66000"/>
                <a:satMod val="160000"/>
              </a:schemeClr>
            </a:gs>
            <a:gs pos="100000">
              <a:srgbClr val="D9E2F3"/>
            </a:gs>
            <a:gs pos="68000">
              <a:schemeClr val="accent1">
                <a:tint val="44500"/>
                <a:satMod val="160000"/>
              </a:schemeClr>
            </a:gs>
            <a:gs pos="100000">
              <a:schemeClr val="accent1">
                <a:tint val="23500"/>
                <a:satMod val="160000"/>
              </a:schemeClr>
            </a:gs>
          </a:gsLst>
          <a:lin ang="5400000" scaled="0"/>
        </a:gradFill>
        <a:ln>
          <a:solidFill>
            <a:schemeClr val="tx1"/>
          </a:solidFill>
        </a:ln>
      </c:spPr>
      <c:txPr>
        <a:bodyPr/>
        <a:lstStyle/>
        <a:p>
          <a:pPr>
            <a:defRPr sz="2000"/>
          </a:pPr>
          <a:endParaRPr lang="en-US"/>
        </a:p>
      </c:txPr>
    </c:legend>
    <c:plotVisOnly val="1"/>
    <c:dispBlanksAs val="gap"/>
    <c:showDLblsOverMax val="0"/>
  </c:chart>
  <c:printSettings>
    <c:headerFooter/>
    <c:pageMargins b="0.75" l="0.7" r="0.7" t="0.75" header="0.3" footer="0.3"/>
    <c:pageSetup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BGS - RSCP Estimated % Change in Rates for Expected 2016 Results w/CP</a:t>
            </a:r>
          </a:p>
        </c:rich>
      </c:tx>
      <c:overlay val="0"/>
    </c:title>
    <c:autoTitleDeleted val="0"/>
    <c:plotArea>
      <c:layout>
        <c:manualLayout>
          <c:layoutTarget val="inner"/>
          <c:xMode val="edge"/>
          <c:yMode val="edge"/>
          <c:x val="8.5708366332004626E-2"/>
          <c:y val="6.9576029652461277E-2"/>
          <c:w val="0.92228779302596053"/>
          <c:h val="0.78607505195038141"/>
        </c:manualLayout>
      </c:layout>
      <c:lineChart>
        <c:grouping val="standard"/>
        <c:varyColors val="0"/>
        <c:ser>
          <c:idx val="0"/>
          <c:order val="0"/>
          <c:spPr>
            <a:ln w="63500">
              <a:solidFill>
                <a:srgbClr val="00B050"/>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A62F-4EBA-B4FB-86E9E7A44E87}"/>
            </c:ext>
          </c:extLst>
        </c:ser>
        <c:ser>
          <c:idx val="1"/>
          <c:order val="1"/>
          <c:spPr>
            <a:ln w="50800">
              <a:solidFill>
                <a:srgbClr val="143AF8"/>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A62F-4EBA-B4FB-86E9E7A44E87}"/>
            </c:ext>
          </c:extLst>
        </c:ser>
        <c:ser>
          <c:idx val="2"/>
          <c:order val="2"/>
          <c:spPr>
            <a:ln w="50800" cmpd="sng">
              <a:solidFill>
                <a:srgbClr val="FF0000"/>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A62F-4EBA-B4FB-86E9E7A44E87}"/>
            </c:ext>
          </c:extLst>
        </c:ser>
        <c:dLbls>
          <c:showLegendKey val="0"/>
          <c:showVal val="0"/>
          <c:showCatName val="0"/>
          <c:showSerName val="0"/>
          <c:showPercent val="0"/>
          <c:showBubbleSize val="0"/>
        </c:dLbls>
        <c:smooth val="0"/>
        <c:axId val="279749760"/>
        <c:axId val="279751296"/>
      </c:lineChart>
      <c:catAx>
        <c:axId val="279749760"/>
        <c:scaling>
          <c:orientation val="minMax"/>
        </c:scaling>
        <c:delete val="0"/>
        <c:axPos val="b"/>
        <c:numFmt formatCode="General" sourceLinked="1"/>
        <c:majorTickMark val="out"/>
        <c:minorTickMark val="none"/>
        <c:tickLblPos val="nextTo"/>
        <c:spPr>
          <a:ln w="50800"/>
        </c:spPr>
        <c:txPr>
          <a:bodyPr/>
          <a:lstStyle/>
          <a:p>
            <a:pPr>
              <a:defRPr sz="1800" b="1"/>
            </a:pPr>
            <a:endParaRPr lang="en-US"/>
          </a:p>
        </c:txPr>
        <c:crossAx val="279751296"/>
        <c:crossesAt val="-0.1"/>
        <c:auto val="1"/>
        <c:lblAlgn val="ctr"/>
        <c:lblOffset val="100"/>
        <c:noMultiLvlLbl val="0"/>
      </c:catAx>
      <c:valAx>
        <c:axId val="279751296"/>
        <c:scaling>
          <c:orientation val="minMax"/>
        </c:scaling>
        <c:delete val="0"/>
        <c:axPos val="l"/>
        <c:majorGridlines>
          <c:spPr>
            <a:ln w="25400"/>
          </c:spPr>
        </c:majorGridlines>
        <c:minorGridlines>
          <c:spPr>
            <a:ln>
              <a:noFill/>
            </a:ln>
          </c:spPr>
        </c:minorGridlines>
        <c:title>
          <c:tx>
            <c:rich>
              <a:bodyPr rot="0" vert="horz"/>
              <a:lstStyle/>
              <a:p>
                <a:pPr>
                  <a:defRPr/>
                </a:pPr>
                <a:r>
                  <a:rPr lang="en-US" sz="1400"/>
                  <a:t>$/MWh</a:t>
                </a:r>
              </a:p>
            </c:rich>
          </c:tx>
          <c:layout>
            <c:manualLayout>
              <c:xMode val="edge"/>
              <c:yMode val="edge"/>
              <c:x val="0.44674798654580317"/>
              <c:y val="8.3451720819394157E-2"/>
            </c:manualLayout>
          </c:layout>
          <c:overlay val="0"/>
          <c:spPr>
            <a:ln>
              <a:solidFill>
                <a:schemeClr val="tx1">
                  <a:tint val="75000"/>
                  <a:shade val="95000"/>
                  <a:satMod val="105000"/>
                </a:schemeClr>
              </a:solidFill>
            </a:ln>
          </c:spPr>
        </c:title>
        <c:numFmt formatCode="General" sourceLinked="1"/>
        <c:majorTickMark val="none"/>
        <c:minorTickMark val="cross"/>
        <c:tickLblPos val="nextTo"/>
        <c:txPr>
          <a:bodyPr/>
          <a:lstStyle/>
          <a:p>
            <a:pPr>
              <a:defRPr sz="1800" b="1"/>
            </a:pPr>
            <a:endParaRPr lang="en-US"/>
          </a:p>
        </c:txPr>
        <c:crossAx val="279749760"/>
        <c:crosses val="autoZero"/>
        <c:crossBetween val="between"/>
      </c:valAx>
      <c:spPr>
        <a:ln>
          <a:solidFill>
            <a:schemeClr val="tx1"/>
          </a:solidFill>
        </a:ln>
      </c:spPr>
    </c:plotArea>
    <c:legend>
      <c:legendPos val="b"/>
      <c:layout>
        <c:manualLayout>
          <c:xMode val="edge"/>
          <c:yMode val="edge"/>
          <c:x val="9.5164334129882219E-2"/>
          <c:y val="0.12553236432126411"/>
          <c:w val="0.23119381948205703"/>
          <c:h val="6.7455221912423521E-2"/>
        </c:manualLayout>
      </c:layout>
      <c:overlay val="0"/>
      <c:spPr>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a:solidFill>
            <a:schemeClr val="tx1"/>
          </a:solidFill>
        </a:ln>
      </c:spPr>
      <c:txPr>
        <a:bodyPr/>
        <a:lstStyle/>
        <a:p>
          <a:pPr>
            <a:defRPr sz="2400" b="1"/>
          </a:pPr>
          <a:endParaRPr lang="en-US"/>
        </a:p>
      </c:txPr>
    </c:legend>
    <c:plotVisOnly val="1"/>
    <c:dispBlanksAs val="zero"/>
    <c:showDLblsOverMax val="0"/>
  </c:chart>
  <c:printSettings>
    <c:headerFooter/>
    <c:pageMargins b="0.75" l="0.7" r="0.7" t="0.75" header="0.3" footer="0.3"/>
    <c:pageSetup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GLP BGS-RSCP Rate Impact by Category with CP Adder</a:t>
            </a:r>
          </a:p>
        </c:rich>
      </c:tx>
      <c:overlay val="0"/>
    </c:title>
    <c:autoTitleDeleted val="0"/>
    <c:plotArea>
      <c:layout>
        <c:manualLayout>
          <c:layoutTarget val="inner"/>
          <c:xMode val="edge"/>
          <c:yMode val="edge"/>
          <c:x val="5.0171125220460563E-2"/>
          <c:y val="0.11958808098449017"/>
          <c:w val="0.93333082651359067"/>
          <c:h val="0.7118926962376585"/>
        </c:manualLayout>
      </c:layout>
      <c:barChart>
        <c:barDir val="col"/>
        <c:grouping val="clustered"/>
        <c:varyColors val="0"/>
        <c:ser>
          <c:idx val="0"/>
          <c:order val="0"/>
          <c:tx>
            <c:strRef>
              <c:f>'Summary w Bridge to 0301'!$D$87</c:f>
              <c:strCache>
                <c:ptCount val="1"/>
                <c:pt idx="0">
                  <c:v>End</c:v>
                </c:pt>
              </c:strCache>
            </c:strRef>
          </c:tx>
          <c:spPr>
            <a:ln>
              <a:solidFill>
                <a:schemeClr val="tx1"/>
              </a:solidFill>
            </a:ln>
          </c:spPr>
          <c:invertIfNegative val="0"/>
          <c:cat>
            <c:strRef>
              <c:f>'Summary w Bridge to 0301'!$B$88:$B$99</c:f>
              <c:strCache>
                <c:ptCount val="12"/>
                <c:pt idx="0">
                  <c:v>Initial</c:v>
                </c:pt>
                <c:pt idx="1">
                  <c:v>Auction Roll Off</c:v>
                </c:pt>
                <c:pt idx="2">
                  <c:v>Energy Usage </c:v>
                </c:pt>
                <c:pt idx="3">
                  <c:v>Forward Energy </c:v>
                </c:pt>
                <c:pt idx="4">
                  <c:v>Cap Oblig</c:v>
                </c:pt>
                <c:pt idx="5">
                  <c:v>Cap Price</c:v>
                </c:pt>
                <c:pt idx="6">
                  <c:v>Trans Oblig</c:v>
                </c:pt>
                <c:pt idx="7">
                  <c:v>NITS</c:v>
                </c:pt>
                <c:pt idx="8">
                  <c:v>RPS &amp; Anc</c:v>
                </c:pt>
                <c:pt idx="9">
                  <c:v>CP Adder</c:v>
                </c:pt>
                <c:pt idx="10">
                  <c:v>Winning Bid</c:v>
                </c:pt>
                <c:pt idx="11">
                  <c:v>Final</c:v>
                </c:pt>
              </c:strCache>
            </c:strRef>
          </c:cat>
          <c:val>
            <c:numRef>
              <c:f>'Summary w Bridge to 0301'!$D$88:$D$99</c:f>
              <c:numCache>
                <c:formatCode>0.00%</c:formatCode>
                <c:ptCount val="12"/>
                <c:pt idx="0" formatCode="0%">
                  <c:v>0</c:v>
                </c:pt>
                <c:pt idx="11">
                  <c:v>0</c:v>
                </c:pt>
              </c:numCache>
            </c:numRef>
          </c:val>
          <c:extLst>
            <c:ext xmlns:c16="http://schemas.microsoft.com/office/drawing/2014/chart" uri="{C3380CC4-5D6E-409C-BE32-E72D297353CC}">
              <c16:uniqueId val="{00000000-7200-4CE9-982B-DDB0D9C54D61}"/>
            </c:ext>
          </c:extLst>
        </c:ser>
        <c:dLbls>
          <c:showLegendKey val="0"/>
          <c:showVal val="0"/>
          <c:showCatName val="0"/>
          <c:showSerName val="0"/>
          <c:showPercent val="0"/>
          <c:showBubbleSize val="0"/>
        </c:dLbls>
        <c:gapWidth val="150"/>
        <c:axId val="279842176"/>
        <c:axId val="279852160"/>
      </c:barChart>
      <c:lineChart>
        <c:grouping val="standard"/>
        <c:varyColors val="0"/>
        <c:ser>
          <c:idx val="1"/>
          <c:order val="1"/>
          <c:tx>
            <c:strRef>
              <c:f>'Summary w Bridge to 0301'!$E$87</c:f>
              <c:strCache>
                <c:ptCount val="1"/>
                <c:pt idx="0">
                  <c:v>Before</c:v>
                </c:pt>
              </c:strCache>
            </c:strRef>
          </c:tx>
          <c:spPr>
            <a:ln>
              <a:noFill/>
            </a:ln>
          </c:spPr>
          <c:marker>
            <c:symbol val="none"/>
          </c:marker>
          <c:cat>
            <c:strRef>
              <c:f>'Summary w Bridge to 0301'!$B$88:$B$99</c:f>
              <c:strCache>
                <c:ptCount val="12"/>
                <c:pt idx="0">
                  <c:v>Initial</c:v>
                </c:pt>
                <c:pt idx="1">
                  <c:v>Auction Roll Off</c:v>
                </c:pt>
                <c:pt idx="2">
                  <c:v>Energy Usage </c:v>
                </c:pt>
                <c:pt idx="3">
                  <c:v>Forward Energy </c:v>
                </c:pt>
                <c:pt idx="4">
                  <c:v>Cap Oblig</c:v>
                </c:pt>
                <c:pt idx="5">
                  <c:v>Cap Price</c:v>
                </c:pt>
                <c:pt idx="6">
                  <c:v>Trans Oblig</c:v>
                </c:pt>
                <c:pt idx="7">
                  <c:v>NITS</c:v>
                </c:pt>
                <c:pt idx="8">
                  <c:v>RPS &amp; Anc</c:v>
                </c:pt>
                <c:pt idx="9">
                  <c:v>CP Adder</c:v>
                </c:pt>
                <c:pt idx="10">
                  <c:v>Winning Bid</c:v>
                </c:pt>
                <c:pt idx="11">
                  <c:v>Final</c:v>
                </c:pt>
              </c:strCache>
            </c:strRef>
          </c:cat>
          <c:val>
            <c:numRef>
              <c:f>'Summary w Bridge to 0301'!$E$88:$E$99</c:f>
              <c:numCache>
                <c:formatCode>0.00%</c:formatCode>
                <c:ptCount val="12"/>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200-4CE9-982B-DDB0D9C54D61}"/>
            </c:ext>
          </c:extLst>
        </c:ser>
        <c:ser>
          <c:idx val="2"/>
          <c:order val="2"/>
          <c:tx>
            <c:strRef>
              <c:f>'Summary w Bridge to 0301'!$F$87</c:f>
              <c:strCache>
                <c:ptCount val="1"/>
                <c:pt idx="0">
                  <c:v>After</c:v>
                </c:pt>
              </c:strCache>
            </c:strRef>
          </c:tx>
          <c:spPr>
            <a:ln>
              <a:noFill/>
            </a:ln>
          </c:spPr>
          <c:marker>
            <c:symbol val="none"/>
          </c:marker>
          <c:cat>
            <c:strRef>
              <c:f>'Summary w Bridge to 0301'!$B$88:$B$99</c:f>
              <c:strCache>
                <c:ptCount val="12"/>
                <c:pt idx="0">
                  <c:v>Initial</c:v>
                </c:pt>
                <c:pt idx="1">
                  <c:v>Auction Roll Off</c:v>
                </c:pt>
                <c:pt idx="2">
                  <c:v>Energy Usage </c:v>
                </c:pt>
                <c:pt idx="3">
                  <c:v>Forward Energy </c:v>
                </c:pt>
                <c:pt idx="4">
                  <c:v>Cap Oblig</c:v>
                </c:pt>
                <c:pt idx="5">
                  <c:v>Cap Price</c:v>
                </c:pt>
                <c:pt idx="6">
                  <c:v>Trans Oblig</c:v>
                </c:pt>
                <c:pt idx="7">
                  <c:v>NITS</c:v>
                </c:pt>
                <c:pt idx="8">
                  <c:v>RPS &amp; Anc</c:v>
                </c:pt>
                <c:pt idx="9">
                  <c:v>CP Adder</c:v>
                </c:pt>
                <c:pt idx="10">
                  <c:v>Winning Bid</c:v>
                </c:pt>
                <c:pt idx="11">
                  <c:v>Final</c:v>
                </c:pt>
              </c:strCache>
            </c:strRef>
          </c:cat>
          <c:val>
            <c:numRef>
              <c:f>'Summary w Bridge to 0301'!$F$88:$F$99</c:f>
              <c:numCache>
                <c:formatCode>0.00%</c:formatCode>
                <c:ptCount val="12"/>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7200-4CE9-982B-DDB0D9C54D61}"/>
            </c:ext>
          </c:extLst>
        </c:ser>
        <c:dLbls>
          <c:showLegendKey val="0"/>
          <c:showVal val="0"/>
          <c:showCatName val="0"/>
          <c:showSerName val="0"/>
          <c:showPercent val="0"/>
          <c:showBubbleSize val="0"/>
        </c:dLbls>
        <c:upDownBars>
          <c:gapWidth val="150"/>
          <c:upBars>
            <c:spPr>
              <a:solidFill>
                <a:srgbClr val="FF0000"/>
              </a:solidFill>
            </c:spPr>
          </c:upBars>
          <c:downBars>
            <c:spPr>
              <a:solidFill>
                <a:srgbClr val="00B050"/>
              </a:solidFill>
            </c:spPr>
          </c:downBars>
        </c:upDownBars>
        <c:marker val="1"/>
        <c:smooth val="0"/>
        <c:axId val="279842176"/>
        <c:axId val="279852160"/>
      </c:lineChart>
      <c:catAx>
        <c:axId val="279842176"/>
        <c:scaling>
          <c:orientation val="minMax"/>
        </c:scaling>
        <c:delete val="0"/>
        <c:axPos val="b"/>
        <c:numFmt formatCode="General" sourceLinked="0"/>
        <c:majorTickMark val="out"/>
        <c:minorTickMark val="cross"/>
        <c:tickLblPos val="nextTo"/>
        <c:txPr>
          <a:bodyPr/>
          <a:lstStyle/>
          <a:p>
            <a:pPr>
              <a:defRPr sz="1200" b="1"/>
            </a:pPr>
            <a:endParaRPr lang="en-US"/>
          </a:p>
        </c:txPr>
        <c:crossAx val="279852160"/>
        <c:crossesAt val="-5.000000000000001E-2"/>
        <c:auto val="1"/>
        <c:lblAlgn val="ctr"/>
        <c:lblOffset val="100"/>
        <c:noMultiLvlLbl val="0"/>
      </c:catAx>
      <c:valAx>
        <c:axId val="279852160"/>
        <c:scaling>
          <c:orientation val="minMax"/>
        </c:scaling>
        <c:delete val="0"/>
        <c:axPos val="l"/>
        <c:majorGridlines/>
        <c:numFmt formatCode="0%" sourceLinked="1"/>
        <c:majorTickMark val="out"/>
        <c:minorTickMark val="cross"/>
        <c:tickLblPos val="nextTo"/>
        <c:txPr>
          <a:bodyPr/>
          <a:lstStyle/>
          <a:p>
            <a:pPr>
              <a:defRPr sz="1400" b="1"/>
            </a:pPr>
            <a:endParaRPr lang="en-US"/>
          </a:p>
        </c:txPr>
        <c:crossAx val="279842176"/>
        <c:crossesAt val="1"/>
        <c:crossBetween val="between"/>
        <c:majorUnit val="1.0000000000000002E-2"/>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LPL-S BGS-RSCP Rate Impact by Category</a:t>
            </a:r>
          </a:p>
        </c:rich>
      </c:tx>
      <c:overlay val="0"/>
    </c:title>
    <c:autoTitleDeleted val="0"/>
    <c:plotArea>
      <c:layout>
        <c:manualLayout>
          <c:layoutTarget val="inner"/>
          <c:xMode val="edge"/>
          <c:yMode val="edge"/>
          <c:x val="5.2585954262099298E-2"/>
          <c:y val="0.12338211908678998"/>
          <c:w val="0.93333082651359067"/>
          <c:h val="0.7118926962376585"/>
        </c:manualLayout>
      </c:layout>
      <c:barChart>
        <c:barDir val="col"/>
        <c:grouping val="clustered"/>
        <c:varyColors val="0"/>
        <c:ser>
          <c:idx val="0"/>
          <c:order val="0"/>
          <c:tx>
            <c:strRef>
              <c:f>'Summary w Bridge to 0301'!$D$123</c:f>
              <c:strCache>
                <c:ptCount val="1"/>
                <c:pt idx="0">
                  <c:v>End</c:v>
                </c:pt>
              </c:strCache>
            </c:strRef>
          </c:tx>
          <c:spPr>
            <a:ln>
              <a:solidFill>
                <a:schemeClr val="tx1"/>
              </a:solidFill>
            </a:ln>
          </c:spPr>
          <c:invertIfNegative val="0"/>
          <c:cat>
            <c:strRef>
              <c:f>'Summary w Bridge to 0301'!$B$124:$B$135</c:f>
              <c:strCache>
                <c:ptCount val="12"/>
                <c:pt idx="0">
                  <c:v>Initial</c:v>
                </c:pt>
                <c:pt idx="1">
                  <c:v>Auction Roll Off</c:v>
                </c:pt>
                <c:pt idx="2">
                  <c:v>Energy Usage </c:v>
                </c:pt>
                <c:pt idx="3">
                  <c:v>Forward Energy </c:v>
                </c:pt>
                <c:pt idx="4">
                  <c:v>Cap Oblig</c:v>
                </c:pt>
                <c:pt idx="5">
                  <c:v>Cap Price</c:v>
                </c:pt>
                <c:pt idx="6">
                  <c:v>Trans Oblig</c:v>
                </c:pt>
                <c:pt idx="7">
                  <c:v>NITS</c:v>
                </c:pt>
                <c:pt idx="8">
                  <c:v>RPS &amp; Anc</c:v>
                </c:pt>
                <c:pt idx="9">
                  <c:v>CP Adder</c:v>
                </c:pt>
                <c:pt idx="10">
                  <c:v>Winning Bid</c:v>
                </c:pt>
                <c:pt idx="11">
                  <c:v>Final</c:v>
                </c:pt>
              </c:strCache>
            </c:strRef>
          </c:cat>
          <c:val>
            <c:numRef>
              <c:f>'Summary w Bridge to 0301'!$D$124:$D$135</c:f>
              <c:numCache>
                <c:formatCode>0.00%</c:formatCode>
                <c:ptCount val="12"/>
                <c:pt idx="0" formatCode="0%">
                  <c:v>0</c:v>
                </c:pt>
                <c:pt idx="11">
                  <c:v>0</c:v>
                </c:pt>
              </c:numCache>
            </c:numRef>
          </c:val>
          <c:extLst>
            <c:ext xmlns:c16="http://schemas.microsoft.com/office/drawing/2014/chart" uri="{C3380CC4-5D6E-409C-BE32-E72D297353CC}">
              <c16:uniqueId val="{00000000-E789-414F-8158-A4384F057817}"/>
            </c:ext>
          </c:extLst>
        </c:ser>
        <c:dLbls>
          <c:showLegendKey val="0"/>
          <c:showVal val="0"/>
          <c:showCatName val="0"/>
          <c:showSerName val="0"/>
          <c:showPercent val="0"/>
          <c:showBubbleSize val="0"/>
        </c:dLbls>
        <c:gapWidth val="150"/>
        <c:axId val="279868160"/>
        <c:axId val="279869696"/>
      </c:barChart>
      <c:lineChart>
        <c:grouping val="standard"/>
        <c:varyColors val="0"/>
        <c:ser>
          <c:idx val="1"/>
          <c:order val="1"/>
          <c:tx>
            <c:strRef>
              <c:f>'Summary w Bridge to 0301'!$E$123</c:f>
              <c:strCache>
                <c:ptCount val="1"/>
                <c:pt idx="0">
                  <c:v>Before</c:v>
                </c:pt>
              </c:strCache>
            </c:strRef>
          </c:tx>
          <c:spPr>
            <a:ln>
              <a:noFill/>
            </a:ln>
          </c:spPr>
          <c:marker>
            <c:symbol val="none"/>
          </c:marker>
          <c:cat>
            <c:strRef>
              <c:f>'Summary w Bridge to 0301'!$B$124:$B$135</c:f>
              <c:strCache>
                <c:ptCount val="12"/>
                <c:pt idx="0">
                  <c:v>Initial</c:v>
                </c:pt>
                <c:pt idx="1">
                  <c:v>Auction Roll Off</c:v>
                </c:pt>
                <c:pt idx="2">
                  <c:v>Energy Usage </c:v>
                </c:pt>
                <c:pt idx="3">
                  <c:v>Forward Energy </c:v>
                </c:pt>
                <c:pt idx="4">
                  <c:v>Cap Oblig</c:v>
                </c:pt>
                <c:pt idx="5">
                  <c:v>Cap Price</c:v>
                </c:pt>
                <c:pt idx="6">
                  <c:v>Trans Oblig</c:v>
                </c:pt>
                <c:pt idx="7">
                  <c:v>NITS</c:v>
                </c:pt>
                <c:pt idx="8">
                  <c:v>RPS &amp; Anc</c:v>
                </c:pt>
                <c:pt idx="9">
                  <c:v>CP Adder</c:v>
                </c:pt>
                <c:pt idx="10">
                  <c:v>Winning Bid</c:v>
                </c:pt>
                <c:pt idx="11">
                  <c:v>Final</c:v>
                </c:pt>
              </c:strCache>
            </c:strRef>
          </c:cat>
          <c:val>
            <c:numRef>
              <c:f>'Summary w Bridge to 0301'!$E$124:$E$135</c:f>
              <c:numCache>
                <c:formatCode>0.00%</c:formatCode>
                <c:ptCount val="12"/>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E789-414F-8158-A4384F057817}"/>
            </c:ext>
          </c:extLst>
        </c:ser>
        <c:ser>
          <c:idx val="2"/>
          <c:order val="2"/>
          <c:tx>
            <c:strRef>
              <c:f>'Summary w Bridge to 0301'!$F$123</c:f>
              <c:strCache>
                <c:ptCount val="1"/>
                <c:pt idx="0">
                  <c:v>After</c:v>
                </c:pt>
              </c:strCache>
            </c:strRef>
          </c:tx>
          <c:spPr>
            <a:ln>
              <a:noFill/>
            </a:ln>
          </c:spPr>
          <c:marker>
            <c:symbol val="none"/>
          </c:marker>
          <c:cat>
            <c:strRef>
              <c:f>'Summary w Bridge to 0301'!$B$124:$B$135</c:f>
              <c:strCache>
                <c:ptCount val="12"/>
                <c:pt idx="0">
                  <c:v>Initial</c:v>
                </c:pt>
                <c:pt idx="1">
                  <c:v>Auction Roll Off</c:v>
                </c:pt>
                <c:pt idx="2">
                  <c:v>Energy Usage </c:v>
                </c:pt>
                <c:pt idx="3">
                  <c:v>Forward Energy </c:v>
                </c:pt>
                <c:pt idx="4">
                  <c:v>Cap Oblig</c:v>
                </c:pt>
                <c:pt idx="5">
                  <c:v>Cap Price</c:v>
                </c:pt>
                <c:pt idx="6">
                  <c:v>Trans Oblig</c:v>
                </c:pt>
                <c:pt idx="7">
                  <c:v>NITS</c:v>
                </c:pt>
                <c:pt idx="8">
                  <c:v>RPS &amp; Anc</c:v>
                </c:pt>
                <c:pt idx="9">
                  <c:v>CP Adder</c:v>
                </c:pt>
                <c:pt idx="10">
                  <c:v>Winning Bid</c:v>
                </c:pt>
                <c:pt idx="11">
                  <c:v>Final</c:v>
                </c:pt>
              </c:strCache>
            </c:strRef>
          </c:cat>
          <c:val>
            <c:numRef>
              <c:f>'Summary w Bridge to 0301'!$F$124:$F$135</c:f>
              <c:numCache>
                <c:formatCode>0.00%</c:formatCode>
                <c:ptCount val="12"/>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E789-414F-8158-A4384F057817}"/>
            </c:ext>
          </c:extLst>
        </c:ser>
        <c:dLbls>
          <c:showLegendKey val="0"/>
          <c:showVal val="0"/>
          <c:showCatName val="0"/>
          <c:showSerName val="0"/>
          <c:showPercent val="0"/>
          <c:showBubbleSize val="0"/>
        </c:dLbls>
        <c:upDownBars>
          <c:gapWidth val="150"/>
          <c:upBars>
            <c:spPr>
              <a:solidFill>
                <a:srgbClr val="FF0000"/>
              </a:solidFill>
            </c:spPr>
          </c:upBars>
          <c:downBars>
            <c:spPr>
              <a:solidFill>
                <a:srgbClr val="00B050"/>
              </a:solidFill>
            </c:spPr>
          </c:downBars>
        </c:upDownBars>
        <c:marker val="1"/>
        <c:smooth val="0"/>
        <c:axId val="279868160"/>
        <c:axId val="279869696"/>
      </c:lineChart>
      <c:catAx>
        <c:axId val="279868160"/>
        <c:scaling>
          <c:orientation val="minMax"/>
        </c:scaling>
        <c:delete val="0"/>
        <c:axPos val="b"/>
        <c:numFmt formatCode="General" sourceLinked="0"/>
        <c:majorTickMark val="out"/>
        <c:minorTickMark val="cross"/>
        <c:tickLblPos val="nextTo"/>
        <c:txPr>
          <a:bodyPr/>
          <a:lstStyle/>
          <a:p>
            <a:pPr>
              <a:defRPr sz="1200" b="1"/>
            </a:pPr>
            <a:endParaRPr lang="en-US"/>
          </a:p>
        </c:txPr>
        <c:crossAx val="279869696"/>
        <c:crossesAt val="-5.000000000000001E-2"/>
        <c:auto val="1"/>
        <c:lblAlgn val="ctr"/>
        <c:lblOffset val="100"/>
        <c:noMultiLvlLbl val="0"/>
      </c:catAx>
      <c:valAx>
        <c:axId val="279869696"/>
        <c:scaling>
          <c:orientation val="minMax"/>
        </c:scaling>
        <c:delete val="0"/>
        <c:axPos val="l"/>
        <c:majorGridlines/>
        <c:numFmt formatCode="0%" sourceLinked="1"/>
        <c:majorTickMark val="out"/>
        <c:minorTickMark val="cross"/>
        <c:tickLblPos val="nextTo"/>
        <c:txPr>
          <a:bodyPr/>
          <a:lstStyle/>
          <a:p>
            <a:pPr>
              <a:defRPr sz="1400" b="1"/>
            </a:pPr>
            <a:endParaRPr lang="en-US"/>
          </a:p>
        </c:txPr>
        <c:crossAx val="279868160"/>
        <c:crossesAt val="1"/>
        <c:crossBetween val="between"/>
        <c:majorUnit val="1.0000000000000002E-2"/>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RS BGS-RSCP Rate Impact by Category with CP Adder</a:t>
            </a:r>
          </a:p>
        </c:rich>
      </c:tx>
      <c:layout>
        <c:manualLayout>
          <c:xMode val="edge"/>
          <c:yMode val="edge"/>
          <c:x val="0.25988428775454514"/>
          <c:y val="2.276422181314338E-2"/>
        </c:manualLayout>
      </c:layout>
      <c:overlay val="0"/>
    </c:title>
    <c:autoTitleDeleted val="0"/>
    <c:plotArea>
      <c:layout>
        <c:manualLayout>
          <c:layoutTarget val="inner"/>
          <c:xMode val="edge"/>
          <c:yMode val="edge"/>
          <c:x val="5.2585954262099298E-2"/>
          <c:y val="0.12338211908678998"/>
          <c:w val="0.93333082651359067"/>
          <c:h val="0.7118926962376585"/>
        </c:manualLayout>
      </c:layout>
      <c:barChart>
        <c:barDir val="col"/>
        <c:grouping val="clustered"/>
        <c:varyColors val="0"/>
        <c:ser>
          <c:idx val="0"/>
          <c:order val="0"/>
          <c:spPr>
            <a:ln>
              <a:solidFill>
                <a:schemeClr val="tx1"/>
              </a:solidFill>
            </a:ln>
          </c:spPr>
          <c:invertIfNegative val="0"/>
          <c:cat>
            <c:strRef>
              <c:f>'Summary w Bridge to 0301'!$B$53:$B$64</c:f>
              <c:strCache>
                <c:ptCount val="12"/>
                <c:pt idx="0">
                  <c:v>Initial</c:v>
                </c:pt>
                <c:pt idx="1">
                  <c:v>Auction Roll Off</c:v>
                </c:pt>
                <c:pt idx="2">
                  <c:v>Energy Usage </c:v>
                </c:pt>
                <c:pt idx="3">
                  <c:v>Forward Energy </c:v>
                </c:pt>
                <c:pt idx="4">
                  <c:v>Cap Oblig</c:v>
                </c:pt>
                <c:pt idx="5">
                  <c:v>Cap Price</c:v>
                </c:pt>
                <c:pt idx="6">
                  <c:v>Trans Oblig</c:v>
                </c:pt>
                <c:pt idx="7">
                  <c:v>NITS</c:v>
                </c:pt>
                <c:pt idx="8">
                  <c:v>RPS &amp; Anc</c:v>
                </c:pt>
                <c:pt idx="9">
                  <c:v>CP Adder</c:v>
                </c:pt>
                <c:pt idx="10">
                  <c:v>Winning Bid</c:v>
                </c:pt>
                <c:pt idx="11">
                  <c:v>Final</c:v>
                </c:pt>
              </c:strCache>
            </c:strRef>
          </c:cat>
          <c:val>
            <c:numRef>
              <c:f>'Summary w Bridge to 0301'!$D$53:$D$64</c:f>
              <c:numCache>
                <c:formatCode>0.00%</c:formatCode>
                <c:ptCount val="12"/>
                <c:pt idx="0" formatCode="0%">
                  <c:v>0</c:v>
                </c:pt>
                <c:pt idx="11">
                  <c:v>0</c:v>
                </c:pt>
              </c:numCache>
            </c:numRef>
          </c:val>
          <c:extLst>
            <c:ext xmlns:c16="http://schemas.microsoft.com/office/drawing/2014/chart" uri="{C3380CC4-5D6E-409C-BE32-E72D297353CC}">
              <c16:uniqueId val="{00000000-B1A8-486D-81CA-E042E25F56FF}"/>
            </c:ext>
          </c:extLst>
        </c:ser>
        <c:dLbls>
          <c:showLegendKey val="0"/>
          <c:showVal val="0"/>
          <c:showCatName val="0"/>
          <c:showSerName val="0"/>
          <c:showPercent val="0"/>
          <c:showBubbleSize val="0"/>
        </c:dLbls>
        <c:gapWidth val="150"/>
        <c:axId val="279902464"/>
        <c:axId val="281018368"/>
      </c:barChart>
      <c:lineChart>
        <c:grouping val="standard"/>
        <c:varyColors val="0"/>
        <c:ser>
          <c:idx val="1"/>
          <c:order val="1"/>
          <c:spPr>
            <a:ln>
              <a:noFill/>
            </a:ln>
          </c:spPr>
          <c:marker>
            <c:symbol val="none"/>
          </c:marker>
          <c:cat>
            <c:strRef>
              <c:f>'Summary w Bridge to 0301'!$B$53:$B$64</c:f>
              <c:strCache>
                <c:ptCount val="12"/>
                <c:pt idx="0">
                  <c:v>Initial</c:v>
                </c:pt>
                <c:pt idx="1">
                  <c:v>Auction Roll Off</c:v>
                </c:pt>
                <c:pt idx="2">
                  <c:v>Energy Usage </c:v>
                </c:pt>
                <c:pt idx="3">
                  <c:v>Forward Energy </c:v>
                </c:pt>
                <c:pt idx="4">
                  <c:v>Cap Oblig</c:v>
                </c:pt>
                <c:pt idx="5">
                  <c:v>Cap Price</c:v>
                </c:pt>
                <c:pt idx="6">
                  <c:v>Trans Oblig</c:v>
                </c:pt>
                <c:pt idx="7">
                  <c:v>NITS</c:v>
                </c:pt>
                <c:pt idx="8">
                  <c:v>RPS &amp; Anc</c:v>
                </c:pt>
                <c:pt idx="9">
                  <c:v>CP Adder</c:v>
                </c:pt>
                <c:pt idx="10">
                  <c:v>Winning Bid</c:v>
                </c:pt>
                <c:pt idx="11">
                  <c:v>Final</c:v>
                </c:pt>
              </c:strCache>
            </c:strRef>
          </c:cat>
          <c:val>
            <c:numRef>
              <c:f>'Summary w Bridge to 0301'!$E$53:$E$64</c:f>
              <c:numCache>
                <c:formatCode>0.00%</c:formatCode>
                <c:ptCount val="12"/>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B1A8-486D-81CA-E042E25F56FF}"/>
            </c:ext>
          </c:extLst>
        </c:ser>
        <c:ser>
          <c:idx val="2"/>
          <c:order val="2"/>
          <c:spPr>
            <a:ln>
              <a:noFill/>
            </a:ln>
          </c:spPr>
          <c:marker>
            <c:symbol val="none"/>
          </c:marker>
          <c:dPt>
            <c:idx val="9"/>
            <c:bubble3D val="0"/>
            <c:extLst>
              <c:ext xmlns:c16="http://schemas.microsoft.com/office/drawing/2014/chart" uri="{C3380CC4-5D6E-409C-BE32-E72D297353CC}">
                <c16:uniqueId val="{00000002-B1A8-486D-81CA-E042E25F56FF}"/>
              </c:ext>
            </c:extLst>
          </c:dPt>
          <c:cat>
            <c:strRef>
              <c:f>'Summary w Bridge to 0301'!$B$53:$B$64</c:f>
              <c:strCache>
                <c:ptCount val="12"/>
                <c:pt idx="0">
                  <c:v>Initial</c:v>
                </c:pt>
                <c:pt idx="1">
                  <c:v>Auction Roll Off</c:v>
                </c:pt>
                <c:pt idx="2">
                  <c:v>Energy Usage </c:v>
                </c:pt>
                <c:pt idx="3">
                  <c:v>Forward Energy </c:v>
                </c:pt>
                <c:pt idx="4">
                  <c:v>Cap Oblig</c:v>
                </c:pt>
                <c:pt idx="5">
                  <c:v>Cap Price</c:v>
                </c:pt>
                <c:pt idx="6">
                  <c:v>Trans Oblig</c:v>
                </c:pt>
                <c:pt idx="7">
                  <c:v>NITS</c:v>
                </c:pt>
                <c:pt idx="8">
                  <c:v>RPS &amp; Anc</c:v>
                </c:pt>
                <c:pt idx="9">
                  <c:v>CP Adder</c:v>
                </c:pt>
                <c:pt idx="10">
                  <c:v>Winning Bid</c:v>
                </c:pt>
                <c:pt idx="11">
                  <c:v>Final</c:v>
                </c:pt>
              </c:strCache>
            </c:strRef>
          </c:cat>
          <c:val>
            <c:numRef>
              <c:f>'Summary w Bridge to 0301'!$F$53:$F$64</c:f>
              <c:numCache>
                <c:formatCode>0.00%</c:formatCode>
                <c:ptCount val="12"/>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B1A8-486D-81CA-E042E25F56FF}"/>
            </c:ext>
          </c:extLst>
        </c:ser>
        <c:dLbls>
          <c:showLegendKey val="0"/>
          <c:showVal val="0"/>
          <c:showCatName val="0"/>
          <c:showSerName val="0"/>
          <c:showPercent val="0"/>
          <c:showBubbleSize val="0"/>
        </c:dLbls>
        <c:upDownBars>
          <c:gapWidth val="150"/>
          <c:upBars>
            <c:spPr>
              <a:solidFill>
                <a:srgbClr val="FF0000"/>
              </a:solidFill>
            </c:spPr>
          </c:upBars>
          <c:downBars>
            <c:spPr>
              <a:solidFill>
                <a:srgbClr val="00B050"/>
              </a:solidFill>
            </c:spPr>
          </c:downBars>
        </c:upDownBars>
        <c:marker val="1"/>
        <c:smooth val="0"/>
        <c:axId val="279902464"/>
        <c:axId val="281018368"/>
      </c:lineChart>
      <c:catAx>
        <c:axId val="279902464"/>
        <c:scaling>
          <c:orientation val="minMax"/>
        </c:scaling>
        <c:delete val="0"/>
        <c:axPos val="b"/>
        <c:numFmt formatCode="General" sourceLinked="0"/>
        <c:majorTickMark val="out"/>
        <c:minorTickMark val="cross"/>
        <c:tickLblPos val="nextTo"/>
        <c:txPr>
          <a:bodyPr/>
          <a:lstStyle/>
          <a:p>
            <a:pPr>
              <a:defRPr sz="1200" b="1"/>
            </a:pPr>
            <a:endParaRPr lang="en-US"/>
          </a:p>
        </c:txPr>
        <c:crossAx val="281018368"/>
        <c:crossesAt val="-5.000000000000001E-2"/>
        <c:auto val="1"/>
        <c:lblAlgn val="ctr"/>
        <c:lblOffset val="100"/>
        <c:noMultiLvlLbl val="0"/>
      </c:catAx>
      <c:valAx>
        <c:axId val="281018368"/>
        <c:scaling>
          <c:orientation val="minMax"/>
        </c:scaling>
        <c:delete val="0"/>
        <c:axPos val="l"/>
        <c:majorGridlines/>
        <c:numFmt formatCode="0%" sourceLinked="1"/>
        <c:majorTickMark val="out"/>
        <c:minorTickMark val="cross"/>
        <c:tickLblPos val="nextTo"/>
        <c:txPr>
          <a:bodyPr/>
          <a:lstStyle/>
          <a:p>
            <a:pPr>
              <a:defRPr sz="1400" b="1"/>
            </a:pPr>
            <a:endParaRPr lang="en-US"/>
          </a:p>
        </c:txPr>
        <c:crossAx val="279902464"/>
        <c:crossesAt val="1"/>
        <c:crossBetween val="between"/>
        <c:majorUnit val="1.0000000000000002E-2"/>
      </c:valAx>
    </c:plotArea>
    <c:plotVisOnly val="1"/>
    <c:dispBlanksAs val="gap"/>
    <c:showDLblsOverMax val="0"/>
  </c:chart>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Estimated BGS-RSCP Impacts By Rate Class 2/16</a:t>
            </a:r>
            <a:r>
              <a:rPr lang="en-US" sz="2400" baseline="0"/>
              <a:t> Auction-RS, GLP &amp;  LPL-S</a:t>
            </a:r>
            <a:endParaRPr lang="en-US" sz="2400"/>
          </a:p>
        </c:rich>
      </c:tx>
      <c:overlay val="0"/>
    </c:title>
    <c:autoTitleDeleted val="0"/>
    <c:plotArea>
      <c:layout>
        <c:manualLayout>
          <c:layoutTarget val="inner"/>
          <c:xMode val="edge"/>
          <c:yMode val="edge"/>
          <c:x val="5.2387323782709466E-2"/>
          <c:y val="6.7584861535194815E-2"/>
          <c:w val="0.92277877021454169"/>
          <c:h val="0.86663153512946989"/>
        </c:manualLayout>
      </c:layout>
      <c:barChart>
        <c:barDir val="col"/>
        <c:grouping val="stacked"/>
        <c:varyColors val="0"/>
        <c:ser>
          <c:idx val="0"/>
          <c:order val="0"/>
          <c:tx>
            <c:strRef>
              <c:f>Summary!$B$30</c:f>
              <c:strCache>
                <c:ptCount val="1"/>
                <c:pt idx="0">
                  <c:v>Customer Usage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85B7-4AAD-91F1-F22835D668A4}"/>
                </c:ext>
              </c:extLst>
            </c:dLbl>
            <c:dLbl>
              <c:idx val="2"/>
              <c:layout>
                <c:manualLayout>
                  <c:x val="0"/>
                  <c:y val="-1.01633376400810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B7-4AAD-91F1-F22835D668A4}"/>
                </c:ext>
              </c:extLst>
            </c:dLbl>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Summary!$C$28:$E$28</c:f>
              <c:strCache>
                <c:ptCount val="3"/>
                <c:pt idx="0">
                  <c:v>RS</c:v>
                </c:pt>
                <c:pt idx="1">
                  <c:v>GLP</c:v>
                </c:pt>
                <c:pt idx="2">
                  <c:v>LPL-S</c:v>
                </c:pt>
              </c:strCache>
            </c:strRef>
          </c:cat>
          <c:val>
            <c:numRef>
              <c:f>Summary!$C$30:$E$30</c:f>
              <c:numCache>
                <c:formatCode>0.00%</c:formatCode>
                <c:ptCount val="3"/>
                <c:pt idx="0">
                  <c:v>0</c:v>
                </c:pt>
                <c:pt idx="1">
                  <c:v>0</c:v>
                </c:pt>
                <c:pt idx="2">
                  <c:v>0</c:v>
                </c:pt>
              </c:numCache>
            </c:numRef>
          </c:val>
          <c:extLst>
            <c:ext xmlns:c16="http://schemas.microsoft.com/office/drawing/2014/chart" uri="{C3380CC4-5D6E-409C-BE32-E72D297353CC}">
              <c16:uniqueId val="{00000002-85B7-4AAD-91F1-F22835D668A4}"/>
            </c:ext>
          </c:extLst>
        </c:ser>
        <c:ser>
          <c:idx val="1"/>
          <c:order val="1"/>
          <c:tx>
            <c:strRef>
              <c:f>Summary!$B$31</c:f>
              <c:strCache>
                <c:ptCount val="1"/>
                <c:pt idx="0">
                  <c:v>Forwards Related</c:v>
                </c:pt>
              </c:strCache>
            </c:strRef>
          </c:tx>
          <c:invertIfNegative val="0"/>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Summary!$C$28:$E$28</c:f>
              <c:strCache>
                <c:ptCount val="3"/>
                <c:pt idx="0">
                  <c:v>RS</c:v>
                </c:pt>
                <c:pt idx="1">
                  <c:v>GLP</c:v>
                </c:pt>
                <c:pt idx="2">
                  <c:v>LPL-S</c:v>
                </c:pt>
              </c:strCache>
            </c:strRef>
          </c:cat>
          <c:val>
            <c:numRef>
              <c:f>Summary!$C$31:$E$31</c:f>
              <c:numCache>
                <c:formatCode>0.00%</c:formatCode>
                <c:ptCount val="3"/>
                <c:pt idx="0">
                  <c:v>0</c:v>
                </c:pt>
                <c:pt idx="1">
                  <c:v>0</c:v>
                </c:pt>
                <c:pt idx="2">
                  <c:v>0</c:v>
                </c:pt>
              </c:numCache>
            </c:numRef>
          </c:val>
          <c:extLst>
            <c:ext xmlns:c16="http://schemas.microsoft.com/office/drawing/2014/chart" uri="{C3380CC4-5D6E-409C-BE32-E72D297353CC}">
              <c16:uniqueId val="{00000003-85B7-4AAD-91F1-F22835D668A4}"/>
            </c:ext>
          </c:extLst>
        </c:ser>
        <c:ser>
          <c:idx val="2"/>
          <c:order val="2"/>
          <c:tx>
            <c:strRef>
              <c:f>Summary!$B$32</c:f>
              <c:strCache>
                <c:ptCount val="1"/>
                <c:pt idx="0">
                  <c:v>Generation Obligation</c:v>
                </c:pt>
              </c:strCache>
            </c:strRef>
          </c:tx>
          <c:invertIfNegative val="0"/>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Summary!$C$28:$E$28</c:f>
              <c:strCache>
                <c:ptCount val="3"/>
                <c:pt idx="0">
                  <c:v>RS</c:v>
                </c:pt>
                <c:pt idx="1">
                  <c:v>GLP</c:v>
                </c:pt>
                <c:pt idx="2">
                  <c:v>LPL-S</c:v>
                </c:pt>
              </c:strCache>
            </c:strRef>
          </c:cat>
          <c:val>
            <c:numRef>
              <c:f>Summary!$C$32:$E$32</c:f>
              <c:numCache>
                <c:formatCode>0.00%</c:formatCode>
                <c:ptCount val="3"/>
                <c:pt idx="0">
                  <c:v>0</c:v>
                </c:pt>
                <c:pt idx="1">
                  <c:v>0</c:v>
                </c:pt>
                <c:pt idx="2">
                  <c:v>0</c:v>
                </c:pt>
              </c:numCache>
            </c:numRef>
          </c:val>
          <c:extLst>
            <c:ext xmlns:c16="http://schemas.microsoft.com/office/drawing/2014/chart" uri="{C3380CC4-5D6E-409C-BE32-E72D297353CC}">
              <c16:uniqueId val="{00000004-85B7-4AAD-91F1-F22835D668A4}"/>
            </c:ext>
          </c:extLst>
        </c:ser>
        <c:ser>
          <c:idx val="3"/>
          <c:order val="3"/>
          <c:tx>
            <c:strRef>
              <c:f>Summary!$B$34</c:f>
              <c:strCache>
                <c:ptCount val="1"/>
                <c:pt idx="0">
                  <c:v>Transmission Obligation</c:v>
                </c:pt>
              </c:strCache>
            </c:strRef>
          </c:tx>
          <c:invertIfNegative val="0"/>
          <c:dLbls>
            <c:dLbl>
              <c:idx val="2"/>
              <c:layout>
                <c:manualLayout>
                  <c:x val="-2.931936818223688E-3"/>
                  <c:y val="-1.5131902650163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B7-4AAD-91F1-F22835D668A4}"/>
                </c:ext>
              </c:extLst>
            </c:dLbl>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Summary!$C$28:$E$28</c:f>
              <c:strCache>
                <c:ptCount val="3"/>
                <c:pt idx="0">
                  <c:v>RS</c:v>
                </c:pt>
                <c:pt idx="1">
                  <c:v>GLP</c:v>
                </c:pt>
                <c:pt idx="2">
                  <c:v>LPL-S</c:v>
                </c:pt>
              </c:strCache>
            </c:strRef>
          </c:cat>
          <c:val>
            <c:numRef>
              <c:f>Summary!$C$34:$E$34</c:f>
              <c:numCache>
                <c:formatCode>0.00%</c:formatCode>
                <c:ptCount val="3"/>
                <c:pt idx="0">
                  <c:v>0</c:v>
                </c:pt>
                <c:pt idx="1">
                  <c:v>0</c:v>
                </c:pt>
                <c:pt idx="2">
                  <c:v>0</c:v>
                </c:pt>
              </c:numCache>
            </c:numRef>
          </c:val>
          <c:extLst>
            <c:ext xmlns:c16="http://schemas.microsoft.com/office/drawing/2014/chart" uri="{C3380CC4-5D6E-409C-BE32-E72D297353CC}">
              <c16:uniqueId val="{00000006-85B7-4AAD-91F1-F22835D668A4}"/>
            </c:ext>
          </c:extLst>
        </c:ser>
        <c:ser>
          <c:idx val="4"/>
          <c:order val="4"/>
          <c:tx>
            <c:strRef>
              <c:f>Summary!$B$35</c:f>
              <c:strCache>
                <c:ptCount val="1"/>
                <c:pt idx="0">
                  <c:v>NITS</c:v>
                </c:pt>
              </c:strCache>
            </c:strRef>
          </c:tx>
          <c:invertIfNegative val="0"/>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Summary!$C$28:$E$28</c:f>
              <c:strCache>
                <c:ptCount val="3"/>
                <c:pt idx="0">
                  <c:v>RS</c:v>
                </c:pt>
                <c:pt idx="1">
                  <c:v>GLP</c:v>
                </c:pt>
                <c:pt idx="2">
                  <c:v>LPL-S</c:v>
                </c:pt>
              </c:strCache>
            </c:strRef>
          </c:cat>
          <c:val>
            <c:numRef>
              <c:f>Summary!$C$35:$E$35</c:f>
              <c:numCache>
                <c:formatCode>0.00%</c:formatCode>
                <c:ptCount val="3"/>
                <c:pt idx="0">
                  <c:v>0</c:v>
                </c:pt>
                <c:pt idx="1">
                  <c:v>0</c:v>
                </c:pt>
                <c:pt idx="2">
                  <c:v>0</c:v>
                </c:pt>
              </c:numCache>
            </c:numRef>
          </c:val>
          <c:extLst>
            <c:ext xmlns:c16="http://schemas.microsoft.com/office/drawing/2014/chart" uri="{C3380CC4-5D6E-409C-BE32-E72D297353CC}">
              <c16:uniqueId val="{00000007-85B7-4AAD-91F1-F22835D668A4}"/>
            </c:ext>
          </c:extLst>
        </c:ser>
        <c:dLbls>
          <c:showLegendKey val="0"/>
          <c:showVal val="0"/>
          <c:showCatName val="0"/>
          <c:showSerName val="0"/>
          <c:showPercent val="0"/>
          <c:showBubbleSize val="0"/>
        </c:dLbls>
        <c:gapWidth val="150"/>
        <c:overlap val="100"/>
        <c:axId val="281330432"/>
        <c:axId val="281331968"/>
      </c:barChart>
      <c:catAx>
        <c:axId val="281330432"/>
        <c:scaling>
          <c:orientation val="minMax"/>
        </c:scaling>
        <c:delete val="1"/>
        <c:axPos val="b"/>
        <c:numFmt formatCode="General" sourceLinked="0"/>
        <c:majorTickMark val="out"/>
        <c:minorTickMark val="none"/>
        <c:tickLblPos val="nextTo"/>
        <c:crossAx val="281331968"/>
        <c:crosses val="autoZero"/>
        <c:auto val="1"/>
        <c:lblAlgn val="ctr"/>
        <c:lblOffset val="100"/>
        <c:noMultiLvlLbl val="0"/>
      </c:catAx>
      <c:valAx>
        <c:axId val="281331968"/>
        <c:scaling>
          <c:orientation val="minMax"/>
        </c:scaling>
        <c:delete val="0"/>
        <c:axPos val="l"/>
        <c:majorGridlines/>
        <c:numFmt formatCode="0.00%" sourceLinked="1"/>
        <c:majorTickMark val="out"/>
        <c:minorTickMark val="none"/>
        <c:tickLblPos val="nextTo"/>
        <c:txPr>
          <a:bodyPr/>
          <a:lstStyle/>
          <a:p>
            <a:pPr>
              <a:defRPr sz="1800" b="1"/>
            </a:pPr>
            <a:endParaRPr lang="en-US"/>
          </a:p>
        </c:txPr>
        <c:crossAx val="281330432"/>
        <c:crosses val="autoZero"/>
        <c:crossBetween val="between"/>
      </c:valAx>
      <c:spPr>
        <a:ln>
          <a:solidFill>
            <a:schemeClr val="tx1"/>
          </a:solidFill>
        </a:ln>
      </c:spPr>
    </c:plotArea>
    <c:legend>
      <c:legendPos val="b"/>
      <c:layout>
        <c:manualLayout>
          <c:xMode val="edge"/>
          <c:yMode val="edge"/>
          <c:x val="7.1500858457248698E-2"/>
          <c:y val="0.88184239704318901"/>
          <c:w val="0.89999994613239442"/>
          <c:h val="0.11138204453009035"/>
        </c:manualLayout>
      </c:layout>
      <c:overlay val="0"/>
      <c:spPr>
        <a:gradFill>
          <a:gsLst>
            <a:gs pos="0">
              <a:schemeClr val="accent1">
                <a:tint val="66000"/>
                <a:satMod val="160000"/>
              </a:schemeClr>
            </a:gs>
            <a:gs pos="100000">
              <a:srgbClr val="D9E2F3"/>
            </a:gs>
            <a:gs pos="68000">
              <a:schemeClr val="accent1">
                <a:tint val="44500"/>
                <a:satMod val="160000"/>
              </a:schemeClr>
            </a:gs>
            <a:gs pos="100000">
              <a:schemeClr val="accent1">
                <a:tint val="23500"/>
                <a:satMod val="160000"/>
              </a:schemeClr>
            </a:gs>
          </a:gsLst>
          <a:lin ang="5400000" scaled="0"/>
        </a:gradFill>
        <a:ln>
          <a:solidFill>
            <a:schemeClr val="tx1"/>
          </a:solidFill>
        </a:ln>
      </c:spPr>
      <c:txPr>
        <a:bodyPr/>
        <a:lstStyle/>
        <a:p>
          <a:pPr>
            <a:defRPr sz="2000"/>
          </a:pPr>
          <a:endParaRPr lang="en-US"/>
        </a:p>
      </c:txPr>
    </c:legend>
    <c:plotVisOnly val="1"/>
    <c:dispBlanksAs val="gap"/>
    <c:showDLblsOverMax val="0"/>
  </c:chart>
  <c:printSettings>
    <c:headerFooter/>
    <c:pageMargins b="0.75" l="0.7" r="0.7" t="0.75" header="0.3" footer="0.3"/>
    <c:pageSetup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BGS - RSCP Estimated % Change in Rates for Expected 2016 Results w/CP</a:t>
            </a:r>
          </a:p>
        </c:rich>
      </c:tx>
      <c:overlay val="0"/>
    </c:title>
    <c:autoTitleDeleted val="0"/>
    <c:plotArea>
      <c:layout>
        <c:manualLayout>
          <c:layoutTarget val="inner"/>
          <c:xMode val="edge"/>
          <c:yMode val="edge"/>
          <c:x val="8.5708366332004626E-2"/>
          <c:y val="6.9576029652461277E-2"/>
          <c:w val="0.92228779302596053"/>
          <c:h val="0.78607505195038141"/>
        </c:manualLayout>
      </c:layout>
      <c:lineChart>
        <c:grouping val="standard"/>
        <c:varyColors val="0"/>
        <c:ser>
          <c:idx val="0"/>
          <c:order val="0"/>
          <c:spPr>
            <a:ln w="63500">
              <a:solidFill>
                <a:srgbClr val="00B050"/>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D2B-47E0-9C9A-69137FF91C7C}"/>
            </c:ext>
          </c:extLst>
        </c:ser>
        <c:ser>
          <c:idx val="1"/>
          <c:order val="1"/>
          <c:spPr>
            <a:ln w="50800">
              <a:solidFill>
                <a:srgbClr val="143AF8"/>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D2B-47E0-9C9A-69137FF91C7C}"/>
            </c:ext>
          </c:extLst>
        </c:ser>
        <c:ser>
          <c:idx val="2"/>
          <c:order val="2"/>
          <c:spPr>
            <a:ln w="50800" cmpd="sng">
              <a:solidFill>
                <a:srgbClr val="FF0000"/>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D2B-47E0-9C9A-69137FF91C7C}"/>
            </c:ext>
          </c:extLst>
        </c:ser>
        <c:dLbls>
          <c:showLegendKey val="0"/>
          <c:showVal val="0"/>
          <c:showCatName val="0"/>
          <c:showSerName val="0"/>
          <c:showPercent val="0"/>
          <c:showBubbleSize val="0"/>
        </c:dLbls>
        <c:smooth val="0"/>
        <c:axId val="281364352"/>
        <c:axId val="281365888"/>
      </c:lineChart>
      <c:catAx>
        <c:axId val="281364352"/>
        <c:scaling>
          <c:orientation val="minMax"/>
        </c:scaling>
        <c:delete val="0"/>
        <c:axPos val="b"/>
        <c:numFmt formatCode="General" sourceLinked="1"/>
        <c:majorTickMark val="out"/>
        <c:minorTickMark val="none"/>
        <c:tickLblPos val="nextTo"/>
        <c:spPr>
          <a:ln w="50800"/>
        </c:spPr>
        <c:txPr>
          <a:bodyPr/>
          <a:lstStyle/>
          <a:p>
            <a:pPr>
              <a:defRPr sz="1800" b="1"/>
            </a:pPr>
            <a:endParaRPr lang="en-US"/>
          </a:p>
        </c:txPr>
        <c:crossAx val="281365888"/>
        <c:crossesAt val="-0.1"/>
        <c:auto val="1"/>
        <c:lblAlgn val="ctr"/>
        <c:lblOffset val="100"/>
        <c:noMultiLvlLbl val="0"/>
      </c:catAx>
      <c:valAx>
        <c:axId val="281365888"/>
        <c:scaling>
          <c:orientation val="minMax"/>
        </c:scaling>
        <c:delete val="0"/>
        <c:axPos val="l"/>
        <c:majorGridlines>
          <c:spPr>
            <a:ln w="25400"/>
          </c:spPr>
        </c:majorGridlines>
        <c:minorGridlines>
          <c:spPr>
            <a:ln>
              <a:noFill/>
            </a:ln>
          </c:spPr>
        </c:minorGridlines>
        <c:title>
          <c:tx>
            <c:rich>
              <a:bodyPr rot="0" vert="horz"/>
              <a:lstStyle/>
              <a:p>
                <a:pPr>
                  <a:defRPr/>
                </a:pPr>
                <a:r>
                  <a:rPr lang="en-US" sz="1400"/>
                  <a:t>$/MWh</a:t>
                </a:r>
              </a:p>
            </c:rich>
          </c:tx>
          <c:layout>
            <c:manualLayout>
              <c:xMode val="edge"/>
              <c:yMode val="edge"/>
              <c:x val="0.44674798654580317"/>
              <c:y val="8.3451720819394157E-2"/>
            </c:manualLayout>
          </c:layout>
          <c:overlay val="0"/>
          <c:spPr>
            <a:ln>
              <a:solidFill>
                <a:schemeClr val="tx1">
                  <a:tint val="75000"/>
                  <a:shade val="95000"/>
                  <a:satMod val="105000"/>
                </a:schemeClr>
              </a:solidFill>
            </a:ln>
          </c:spPr>
        </c:title>
        <c:numFmt formatCode="General" sourceLinked="1"/>
        <c:majorTickMark val="none"/>
        <c:minorTickMark val="cross"/>
        <c:tickLblPos val="nextTo"/>
        <c:txPr>
          <a:bodyPr/>
          <a:lstStyle/>
          <a:p>
            <a:pPr>
              <a:defRPr sz="1800" b="1"/>
            </a:pPr>
            <a:endParaRPr lang="en-US"/>
          </a:p>
        </c:txPr>
        <c:crossAx val="281364352"/>
        <c:crosses val="autoZero"/>
        <c:crossBetween val="between"/>
      </c:valAx>
      <c:spPr>
        <a:ln>
          <a:solidFill>
            <a:schemeClr val="tx1"/>
          </a:solidFill>
        </a:ln>
      </c:spPr>
    </c:plotArea>
    <c:legend>
      <c:legendPos val="b"/>
      <c:layout>
        <c:manualLayout>
          <c:xMode val="edge"/>
          <c:yMode val="edge"/>
          <c:x val="9.5164334129882219E-2"/>
          <c:y val="0.12553236432126411"/>
          <c:w val="0.23119381948205703"/>
          <c:h val="6.7455221912423521E-2"/>
        </c:manualLayout>
      </c:layout>
      <c:overlay val="0"/>
      <c:spPr>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a:solidFill>
            <a:schemeClr val="tx1"/>
          </a:solidFill>
        </a:ln>
      </c:spPr>
      <c:txPr>
        <a:bodyPr/>
        <a:lstStyle/>
        <a:p>
          <a:pPr>
            <a:defRPr sz="2400" b="1"/>
          </a:pPr>
          <a:endParaRPr lang="en-US"/>
        </a:p>
      </c:txPr>
    </c:legend>
    <c:plotVisOnly val="1"/>
    <c:dispBlanksAs val="zero"/>
    <c:showDLblsOverMax val="0"/>
  </c:chart>
  <c:printSettings>
    <c:headerFooter/>
    <c:pageMargins b="0.75" l="0.7" r="0.7" t="0.75" header="0.3" footer="0.3"/>
    <c:pageSetup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GLP BGS-RSCP Rate Impact by Category with CP Adder</a:t>
            </a:r>
          </a:p>
        </c:rich>
      </c:tx>
      <c:overlay val="0"/>
    </c:title>
    <c:autoTitleDeleted val="0"/>
    <c:plotArea>
      <c:layout>
        <c:manualLayout>
          <c:layoutTarget val="inner"/>
          <c:xMode val="edge"/>
          <c:yMode val="edge"/>
          <c:x val="5.0171125220460563E-2"/>
          <c:y val="0.11958808098449017"/>
          <c:w val="0.93333082651359067"/>
          <c:h val="0.7118926962376585"/>
        </c:manualLayout>
      </c:layout>
      <c:barChart>
        <c:barDir val="col"/>
        <c:grouping val="clustered"/>
        <c:varyColors val="0"/>
        <c:ser>
          <c:idx val="0"/>
          <c:order val="0"/>
          <c:tx>
            <c:strRef>
              <c:f>Summary!$D$74</c:f>
              <c:strCache>
                <c:ptCount val="1"/>
                <c:pt idx="0">
                  <c:v>End</c:v>
                </c:pt>
              </c:strCache>
            </c:strRef>
          </c:tx>
          <c:spPr>
            <a:ln>
              <a:solidFill>
                <a:schemeClr val="tx1"/>
              </a:solidFill>
            </a:ln>
          </c:spPr>
          <c:invertIfNegative val="0"/>
          <c:cat>
            <c:strRef>
              <c:f>Summary!$B$75:$B$83</c:f>
              <c:strCache>
                <c:ptCount val="9"/>
                <c:pt idx="0">
                  <c:v>Initial</c:v>
                </c:pt>
                <c:pt idx="1">
                  <c:v>Customer Usage </c:v>
                </c:pt>
                <c:pt idx="2">
                  <c:v>Forwards Related</c:v>
                </c:pt>
                <c:pt idx="3">
                  <c:v>Generation Obligation</c:v>
                </c:pt>
                <c:pt idx="4">
                  <c:v>Capacity Price</c:v>
                </c:pt>
                <c:pt idx="5">
                  <c:v>Transmission Obligation</c:v>
                </c:pt>
                <c:pt idx="6">
                  <c:v>NITS</c:v>
                </c:pt>
                <c:pt idx="7">
                  <c:v>CP Adder</c:v>
                </c:pt>
                <c:pt idx="8">
                  <c:v>Final</c:v>
                </c:pt>
              </c:strCache>
            </c:strRef>
          </c:cat>
          <c:val>
            <c:numRef>
              <c:f>Summary!$D$75:$D$83</c:f>
              <c:numCache>
                <c:formatCode>0.00%</c:formatCode>
                <c:ptCount val="9"/>
                <c:pt idx="0" formatCode="0%">
                  <c:v>0</c:v>
                </c:pt>
                <c:pt idx="8">
                  <c:v>0</c:v>
                </c:pt>
              </c:numCache>
            </c:numRef>
          </c:val>
          <c:extLst>
            <c:ext xmlns:c16="http://schemas.microsoft.com/office/drawing/2014/chart" uri="{C3380CC4-5D6E-409C-BE32-E72D297353CC}">
              <c16:uniqueId val="{00000000-5EAC-4923-A77D-DF6F1F4C4FC5}"/>
            </c:ext>
          </c:extLst>
        </c:ser>
        <c:dLbls>
          <c:showLegendKey val="0"/>
          <c:showVal val="0"/>
          <c:showCatName val="0"/>
          <c:showSerName val="0"/>
          <c:showPercent val="0"/>
          <c:showBubbleSize val="0"/>
        </c:dLbls>
        <c:gapWidth val="150"/>
        <c:axId val="281403776"/>
        <c:axId val="281405312"/>
      </c:barChart>
      <c:lineChart>
        <c:grouping val="standard"/>
        <c:varyColors val="0"/>
        <c:ser>
          <c:idx val="1"/>
          <c:order val="1"/>
          <c:tx>
            <c:strRef>
              <c:f>Summary!$E$74</c:f>
              <c:strCache>
                <c:ptCount val="1"/>
                <c:pt idx="0">
                  <c:v>Before</c:v>
                </c:pt>
              </c:strCache>
            </c:strRef>
          </c:tx>
          <c:spPr>
            <a:ln>
              <a:noFill/>
            </a:ln>
          </c:spPr>
          <c:marker>
            <c:symbol val="none"/>
          </c:marker>
          <c:cat>
            <c:strRef>
              <c:f>Summary!$B$75:$B$83</c:f>
              <c:strCache>
                <c:ptCount val="9"/>
                <c:pt idx="0">
                  <c:v>Initial</c:v>
                </c:pt>
                <c:pt idx="1">
                  <c:v>Customer Usage </c:v>
                </c:pt>
                <c:pt idx="2">
                  <c:v>Forwards Related</c:v>
                </c:pt>
                <c:pt idx="3">
                  <c:v>Generation Obligation</c:v>
                </c:pt>
                <c:pt idx="4">
                  <c:v>Capacity Price</c:v>
                </c:pt>
                <c:pt idx="5">
                  <c:v>Transmission Obligation</c:v>
                </c:pt>
                <c:pt idx="6">
                  <c:v>NITS</c:v>
                </c:pt>
                <c:pt idx="7">
                  <c:v>CP Adder</c:v>
                </c:pt>
                <c:pt idx="8">
                  <c:v>Final</c:v>
                </c:pt>
              </c:strCache>
            </c:strRef>
          </c:cat>
          <c:val>
            <c:numRef>
              <c:f>Summary!$E$75:$E$83</c:f>
              <c:numCache>
                <c:formatCode>0.00%</c:formatCode>
                <c:ptCount val="9"/>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5EAC-4923-A77D-DF6F1F4C4FC5}"/>
            </c:ext>
          </c:extLst>
        </c:ser>
        <c:ser>
          <c:idx val="2"/>
          <c:order val="2"/>
          <c:tx>
            <c:strRef>
              <c:f>Summary!$F$74</c:f>
              <c:strCache>
                <c:ptCount val="1"/>
                <c:pt idx="0">
                  <c:v>After</c:v>
                </c:pt>
              </c:strCache>
            </c:strRef>
          </c:tx>
          <c:spPr>
            <a:ln>
              <a:noFill/>
            </a:ln>
          </c:spPr>
          <c:marker>
            <c:symbol val="none"/>
          </c:marker>
          <c:cat>
            <c:strRef>
              <c:f>Summary!$B$75:$B$83</c:f>
              <c:strCache>
                <c:ptCount val="9"/>
                <c:pt idx="0">
                  <c:v>Initial</c:v>
                </c:pt>
                <c:pt idx="1">
                  <c:v>Customer Usage </c:v>
                </c:pt>
                <c:pt idx="2">
                  <c:v>Forwards Related</c:v>
                </c:pt>
                <c:pt idx="3">
                  <c:v>Generation Obligation</c:v>
                </c:pt>
                <c:pt idx="4">
                  <c:v>Capacity Price</c:v>
                </c:pt>
                <c:pt idx="5">
                  <c:v>Transmission Obligation</c:v>
                </c:pt>
                <c:pt idx="6">
                  <c:v>NITS</c:v>
                </c:pt>
                <c:pt idx="7">
                  <c:v>CP Adder</c:v>
                </c:pt>
                <c:pt idx="8">
                  <c:v>Final</c:v>
                </c:pt>
              </c:strCache>
            </c:strRef>
          </c:cat>
          <c:val>
            <c:numRef>
              <c:f>Summary!$F$75:$F$83</c:f>
              <c:numCache>
                <c:formatCode>0.00%</c:formatCode>
                <c:ptCount val="9"/>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5EAC-4923-A77D-DF6F1F4C4FC5}"/>
            </c:ext>
          </c:extLst>
        </c:ser>
        <c:dLbls>
          <c:showLegendKey val="0"/>
          <c:showVal val="0"/>
          <c:showCatName val="0"/>
          <c:showSerName val="0"/>
          <c:showPercent val="0"/>
          <c:showBubbleSize val="0"/>
        </c:dLbls>
        <c:upDownBars>
          <c:gapWidth val="150"/>
          <c:upBars>
            <c:spPr>
              <a:solidFill>
                <a:srgbClr val="FF0000"/>
              </a:solidFill>
            </c:spPr>
          </c:upBars>
          <c:downBars>
            <c:spPr>
              <a:solidFill>
                <a:srgbClr val="00B050"/>
              </a:solidFill>
            </c:spPr>
          </c:downBars>
        </c:upDownBars>
        <c:marker val="1"/>
        <c:smooth val="0"/>
        <c:axId val="281403776"/>
        <c:axId val="281405312"/>
      </c:lineChart>
      <c:catAx>
        <c:axId val="281403776"/>
        <c:scaling>
          <c:orientation val="minMax"/>
        </c:scaling>
        <c:delete val="0"/>
        <c:axPos val="b"/>
        <c:numFmt formatCode="General" sourceLinked="0"/>
        <c:majorTickMark val="out"/>
        <c:minorTickMark val="cross"/>
        <c:tickLblPos val="nextTo"/>
        <c:txPr>
          <a:bodyPr/>
          <a:lstStyle/>
          <a:p>
            <a:pPr>
              <a:defRPr sz="1200" b="1"/>
            </a:pPr>
            <a:endParaRPr lang="en-US"/>
          </a:p>
        </c:txPr>
        <c:crossAx val="281405312"/>
        <c:crossesAt val="-6.0000000000000012E-2"/>
        <c:auto val="1"/>
        <c:lblAlgn val="ctr"/>
        <c:lblOffset val="100"/>
        <c:noMultiLvlLbl val="0"/>
      </c:catAx>
      <c:valAx>
        <c:axId val="281405312"/>
        <c:scaling>
          <c:orientation val="minMax"/>
          <c:max val="6.0000000000000012E-2"/>
          <c:min val="-6.0000000000000012E-2"/>
        </c:scaling>
        <c:delete val="0"/>
        <c:axPos val="l"/>
        <c:majorGridlines/>
        <c:numFmt formatCode="0%" sourceLinked="1"/>
        <c:majorTickMark val="out"/>
        <c:minorTickMark val="cross"/>
        <c:tickLblPos val="nextTo"/>
        <c:txPr>
          <a:bodyPr/>
          <a:lstStyle/>
          <a:p>
            <a:pPr>
              <a:defRPr sz="1400" b="1"/>
            </a:pPr>
            <a:endParaRPr lang="en-US"/>
          </a:p>
        </c:txPr>
        <c:crossAx val="281403776"/>
        <c:crossesAt val="1"/>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BGS - RSCP Estimated % Change in Rates for Expected 2016 Results w/CP</a:t>
            </a:r>
          </a:p>
        </c:rich>
      </c:tx>
      <c:overlay val="0"/>
    </c:title>
    <c:autoTitleDeleted val="0"/>
    <c:plotArea>
      <c:layout>
        <c:manualLayout>
          <c:layoutTarget val="inner"/>
          <c:xMode val="edge"/>
          <c:yMode val="edge"/>
          <c:x val="8.5708366332004626E-2"/>
          <c:y val="6.9576029652461277E-2"/>
          <c:w val="0.92228779302596053"/>
          <c:h val="0.78607505195038141"/>
        </c:manualLayout>
      </c:layout>
      <c:lineChart>
        <c:grouping val="standard"/>
        <c:varyColors val="0"/>
        <c:ser>
          <c:idx val="0"/>
          <c:order val="0"/>
          <c:spPr>
            <a:ln w="63500">
              <a:solidFill>
                <a:srgbClr val="00B050"/>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BC0-4336-831D-93FE6EC90489}"/>
            </c:ext>
          </c:extLst>
        </c:ser>
        <c:ser>
          <c:idx val="1"/>
          <c:order val="1"/>
          <c:spPr>
            <a:ln w="50800">
              <a:solidFill>
                <a:srgbClr val="143AF8"/>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BC0-4336-831D-93FE6EC90489}"/>
            </c:ext>
          </c:extLst>
        </c:ser>
        <c:ser>
          <c:idx val="2"/>
          <c:order val="2"/>
          <c:spPr>
            <a:ln w="50800" cmpd="sng">
              <a:solidFill>
                <a:srgbClr val="FF0000"/>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9BC0-4336-831D-93FE6EC90489}"/>
            </c:ext>
          </c:extLst>
        </c:ser>
        <c:dLbls>
          <c:showLegendKey val="0"/>
          <c:showVal val="0"/>
          <c:showCatName val="0"/>
          <c:showSerName val="0"/>
          <c:showPercent val="0"/>
          <c:showBubbleSize val="0"/>
        </c:dLbls>
        <c:smooth val="0"/>
        <c:axId val="298681472"/>
        <c:axId val="298683008"/>
      </c:lineChart>
      <c:catAx>
        <c:axId val="298681472"/>
        <c:scaling>
          <c:orientation val="minMax"/>
        </c:scaling>
        <c:delete val="0"/>
        <c:axPos val="b"/>
        <c:numFmt formatCode="General" sourceLinked="1"/>
        <c:majorTickMark val="out"/>
        <c:minorTickMark val="none"/>
        <c:tickLblPos val="nextTo"/>
        <c:spPr>
          <a:ln w="50800"/>
        </c:spPr>
        <c:txPr>
          <a:bodyPr/>
          <a:lstStyle/>
          <a:p>
            <a:pPr>
              <a:defRPr sz="1800" b="1"/>
            </a:pPr>
            <a:endParaRPr lang="en-US"/>
          </a:p>
        </c:txPr>
        <c:crossAx val="298683008"/>
        <c:crossesAt val="-0.1"/>
        <c:auto val="1"/>
        <c:lblAlgn val="ctr"/>
        <c:lblOffset val="100"/>
        <c:noMultiLvlLbl val="0"/>
      </c:catAx>
      <c:valAx>
        <c:axId val="298683008"/>
        <c:scaling>
          <c:orientation val="minMax"/>
        </c:scaling>
        <c:delete val="0"/>
        <c:axPos val="l"/>
        <c:majorGridlines>
          <c:spPr>
            <a:ln w="25400"/>
          </c:spPr>
        </c:majorGridlines>
        <c:minorGridlines>
          <c:spPr>
            <a:ln>
              <a:noFill/>
            </a:ln>
          </c:spPr>
        </c:minorGridlines>
        <c:title>
          <c:tx>
            <c:rich>
              <a:bodyPr rot="0" vert="horz"/>
              <a:lstStyle/>
              <a:p>
                <a:pPr>
                  <a:defRPr/>
                </a:pPr>
                <a:r>
                  <a:rPr lang="en-US" sz="1400"/>
                  <a:t>$/MWh</a:t>
                </a:r>
              </a:p>
            </c:rich>
          </c:tx>
          <c:layout>
            <c:manualLayout>
              <c:xMode val="edge"/>
              <c:yMode val="edge"/>
              <c:x val="0.44674798654580317"/>
              <c:y val="8.3451720819394157E-2"/>
            </c:manualLayout>
          </c:layout>
          <c:overlay val="0"/>
          <c:spPr>
            <a:ln>
              <a:solidFill>
                <a:schemeClr val="tx1">
                  <a:tint val="75000"/>
                  <a:shade val="95000"/>
                  <a:satMod val="105000"/>
                </a:schemeClr>
              </a:solidFill>
            </a:ln>
          </c:spPr>
        </c:title>
        <c:numFmt formatCode="General" sourceLinked="1"/>
        <c:majorTickMark val="none"/>
        <c:minorTickMark val="cross"/>
        <c:tickLblPos val="nextTo"/>
        <c:txPr>
          <a:bodyPr/>
          <a:lstStyle/>
          <a:p>
            <a:pPr>
              <a:defRPr sz="1800" b="1"/>
            </a:pPr>
            <a:endParaRPr lang="en-US"/>
          </a:p>
        </c:txPr>
        <c:crossAx val="298681472"/>
        <c:crosses val="autoZero"/>
        <c:crossBetween val="between"/>
      </c:valAx>
      <c:spPr>
        <a:ln>
          <a:solidFill>
            <a:schemeClr val="tx1"/>
          </a:solidFill>
        </a:ln>
      </c:spPr>
    </c:plotArea>
    <c:legend>
      <c:legendPos val="b"/>
      <c:layout>
        <c:manualLayout>
          <c:xMode val="edge"/>
          <c:yMode val="edge"/>
          <c:x val="9.5164334129882219E-2"/>
          <c:y val="0.12553236432126411"/>
          <c:w val="0.23119381948205703"/>
          <c:h val="6.7455221912423521E-2"/>
        </c:manualLayout>
      </c:layout>
      <c:overlay val="0"/>
      <c:spPr>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a:solidFill>
            <a:schemeClr val="tx1"/>
          </a:solidFill>
        </a:ln>
      </c:spPr>
      <c:txPr>
        <a:bodyPr/>
        <a:lstStyle/>
        <a:p>
          <a:pPr>
            <a:defRPr sz="2400" b="1"/>
          </a:pPr>
          <a:endParaRPr lang="en-US"/>
        </a:p>
      </c:txPr>
    </c:legend>
    <c:plotVisOnly val="1"/>
    <c:dispBlanksAs val="zero"/>
    <c:showDLblsOverMax val="0"/>
  </c:chart>
  <c:printSettings>
    <c:headerFooter/>
    <c:pageMargins b="0.75" l="0.7" r="0.7" t="0.75" header="0.3" footer="0.3"/>
    <c:pageSetup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LPL-S BGS-RSCP Rate Impact by Category</a:t>
            </a:r>
          </a:p>
        </c:rich>
      </c:tx>
      <c:overlay val="0"/>
    </c:title>
    <c:autoTitleDeleted val="0"/>
    <c:plotArea>
      <c:layout>
        <c:manualLayout>
          <c:layoutTarget val="inner"/>
          <c:xMode val="edge"/>
          <c:yMode val="edge"/>
          <c:x val="5.2585954262099298E-2"/>
          <c:y val="0.12338211908678998"/>
          <c:w val="0.93333082651359067"/>
          <c:h val="0.7118926962376585"/>
        </c:manualLayout>
      </c:layout>
      <c:barChart>
        <c:barDir val="col"/>
        <c:grouping val="clustered"/>
        <c:varyColors val="0"/>
        <c:ser>
          <c:idx val="0"/>
          <c:order val="0"/>
          <c:tx>
            <c:strRef>
              <c:f>Summary!$D$107</c:f>
              <c:strCache>
                <c:ptCount val="1"/>
                <c:pt idx="0">
                  <c:v>End</c:v>
                </c:pt>
              </c:strCache>
            </c:strRef>
          </c:tx>
          <c:spPr>
            <a:ln>
              <a:solidFill>
                <a:schemeClr val="tx1"/>
              </a:solidFill>
            </a:ln>
          </c:spPr>
          <c:invertIfNegative val="0"/>
          <c:cat>
            <c:strRef>
              <c:f>Summary!$B$108:$B$116</c:f>
              <c:strCache>
                <c:ptCount val="9"/>
                <c:pt idx="0">
                  <c:v>Initial</c:v>
                </c:pt>
                <c:pt idx="1">
                  <c:v>Customer Usage </c:v>
                </c:pt>
                <c:pt idx="2">
                  <c:v>Forwards Related</c:v>
                </c:pt>
                <c:pt idx="3">
                  <c:v>Generation Obligation</c:v>
                </c:pt>
                <c:pt idx="4">
                  <c:v>Capacity Price</c:v>
                </c:pt>
                <c:pt idx="5">
                  <c:v>Transmission Obligation</c:v>
                </c:pt>
                <c:pt idx="6">
                  <c:v>NITS</c:v>
                </c:pt>
                <c:pt idx="7">
                  <c:v>CP Adder</c:v>
                </c:pt>
                <c:pt idx="8">
                  <c:v>Final</c:v>
                </c:pt>
              </c:strCache>
            </c:strRef>
          </c:cat>
          <c:val>
            <c:numRef>
              <c:f>Summary!$D$108:$D$116</c:f>
              <c:numCache>
                <c:formatCode>0.00%</c:formatCode>
                <c:ptCount val="9"/>
                <c:pt idx="0" formatCode="0%">
                  <c:v>0</c:v>
                </c:pt>
                <c:pt idx="8">
                  <c:v>0</c:v>
                </c:pt>
              </c:numCache>
            </c:numRef>
          </c:val>
          <c:extLst>
            <c:ext xmlns:c16="http://schemas.microsoft.com/office/drawing/2014/chart" uri="{C3380CC4-5D6E-409C-BE32-E72D297353CC}">
              <c16:uniqueId val="{00000000-5BC4-47C9-8156-304EB8257F2F}"/>
            </c:ext>
          </c:extLst>
        </c:ser>
        <c:dLbls>
          <c:showLegendKey val="0"/>
          <c:showVal val="0"/>
          <c:showCatName val="0"/>
          <c:showSerName val="0"/>
          <c:showPercent val="0"/>
          <c:showBubbleSize val="0"/>
        </c:dLbls>
        <c:gapWidth val="150"/>
        <c:axId val="281770624"/>
        <c:axId val="281776512"/>
      </c:barChart>
      <c:lineChart>
        <c:grouping val="standard"/>
        <c:varyColors val="0"/>
        <c:ser>
          <c:idx val="1"/>
          <c:order val="1"/>
          <c:tx>
            <c:strRef>
              <c:f>Summary!$E$107</c:f>
              <c:strCache>
                <c:ptCount val="1"/>
                <c:pt idx="0">
                  <c:v>Before</c:v>
                </c:pt>
              </c:strCache>
            </c:strRef>
          </c:tx>
          <c:spPr>
            <a:ln>
              <a:noFill/>
            </a:ln>
          </c:spPr>
          <c:marker>
            <c:symbol val="none"/>
          </c:marker>
          <c:cat>
            <c:strRef>
              <c:f>Summary!$B$108:$B$116</c:f>
              <c:strCache>
                <c:ptCount val="9"/>
                <c:pt idx="0">
                  <c:v>Initial</c:v>
                </c:pt>
                <c:pt idx="1">
                  <c:v>Customer Usage </c:v>
                </c:pt>
                <c:pt idx="2">
                  <c:v>Forwards Related</c:v>
                </c:pt>
                <c:pt idx="3">
                  <c:v>Generation Obligation</c:v>
                </c:pt>
                <c:pt idx="4">
                  <c:v>Capacity Price</c:v>
                </c:pt>
                <c:pt idx="5">
                  <c:v>Transmission Obligation</c:v>
                </c:pt>
                <c:pt idx="6">
                  <c:v>NITS</c:v>
                </c:pt>
                <c:pt idx="7">
                  <c:v>CP Adder</c:v>
                </c:pt>
                <c:pt idx="8">
                  <c:v>Final</c:v>
                </c:pt>
              </c:strCache>
            </c:strRef>
          </c:cat>
          <c:val>
            <c:numRef>
              <c:f>Summary!$E$108:$E$116</c:f>
              <c:numCache>
                <c:formatCode>0.00%</c:formatCode>
                <c:ptCount val="9"/>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5BC4-47C9-8156-304EB8257F2F}"/>
            </c:ext>
          </c:extLst>
        </c:ser>
        <c:ser>
          <c:idx val="2"/>
          <c:order val="2"/>
          <c:tx>
            <c:strRef>
              <c:f>Summary!$F$107</c:f>
              <c:strCache>
                <c:ptCount val="1"/>
                <c:pt idx="0">
                  <c:v>After</c:v>
                </c:pt>
              </c:strCache>
            </c:strRef>
          </c:tx>
          <c:spPr>
            <a:ln>
              <a:noFill/>
            </a:ln>
          </c:spPr>
          <c:marker>
            <c:symbol val="none"/>
          </c:marker>
          <c:cat>
            <c:strRef>
              <c:f>Summary!$B$108:$B$116</c:f>
              <c:strCache>
                <c:ptCount val="9"/>
                <c:pt idx="0">
                  <c:v>Initial</c:v>
                </c:pt>
                <c:pt idx="1">
                  <c:v>Customer Usage </c:v>
                </c:pt>
                <c:pt idx="2">
                  <c:v>Forwards Related</c:v>
                </c:pt>
                <c:pt idx="3">
                  <c:v>Generation Obligation</c:v>
                </c:pt>
                <c:pt idx="4">
                  <c:v>Capacity Price</c:v>
                </c:pt>
                <c:pt idx="5">
                  <c:v>Transmission Obligation</c:v>
                </c:pt>
                <c:pt idx="6">
                  <c:v>NITS</c:v>
                </c:pt>
                <c:pt idx="7">
                  <c:v>CP Adder</c:v>
                </c:pt>
                <c:pt idx="8">
                  <c:v>Final</c:v>
                </c:pt>
              </c:strCache>
            </c:strRef>
          </c:cat>
          <c:val>
            <c:numRef>
              <c:f>Summary!$F$108:$F$116</c:f>
              <c:numCache>
                <c:formatCode>0.00%</c:formatCode>
                <c:ptCount val="9"/>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5BC4-47C9-8156-304EB8257F2F}"/>
            </c:ext>
          </c:extLst>
        </c:ser>
        <c:dLbls>
          <c:showLegendKey val="0"/>
          <c:showVal val="0"/>
          <c:showCatName val="0"/>
          <c:showSerName val="0"/>
          <c:showPercent val="0"/>
          <c:showBubbleSize val="0"/>
        </c:dLbls>
        <c:upDownBars>
          <c:gapWidth val="150"/>
          <c:upBars>
            <c:spPr>
              <a:solidFill>
                <a:srgbClr val="FF0000"/>
              </a:solidFill>
            </c:spPr>
          </c:upBars>
          <c:downBars>
            <c:spPr>
              <a:solidFill>
                <a:srgbClr val="00B050"/>
              </a:solidFill>
            </c:spPr>
          </c:downBars>
        </c:upDownBars>
        <c:marker val="1"/>
        <c:smooth val="0"/>
        <c:axId val="281770624"/>
        <c:axId val="281776512"/>
      </c:lineChart>
      <c:catAx>
        <c:axId val="281770624"/>
        <c:scaling>
          <c:orientation val="minMax"/>
        </c:scaling>
        <c:delete val="0"/>
        <c:axPos val="b"/>
        <c:numFmt formatCode="General" sourceLinked="0"/>
        <c:majorTickMark val="out"/>
        <c:minorTickMark val="cross"/>
        <c:tickLblPos val="nextTo"/>
        <c:txPr>
          <a:bodyPr/>
          <a:lstStyle/>
          <a:p>
            <a:pPr>
              <a:defRPr sz="1200" b="1"/>
            </a:pPr>
            <a:endParaRPr lang="en-US"/>
          </a:p>
        </c:txPr>
        <c:crossAx val="281776512"/>
        <c:crossesAt val="-5.000000000000001E-2"/>
        <c:auto val="1"/>
        <c:lblAlgn val="ctr"/>
        <c:lblOffset val="100"/>
        <c:noMultiLvlLbl val="0"/>
      </c:catAx>
      <c:valAx>
        <c:axId val="281776512"/>
        <c:scaling>
          <c:orientation val="minMax"/>
          <c:max val="5.000000000000001E-2"/>
          <c:min val="-5.000000000000001E-2"/>
        </c:scaling>
        <c:delete val="0"/>
        <c:axPos val="l"/>
        <c:majorGridlines/>
        <c:numFmt formatCode="0%" sourceLinked="1"/>
        <c:majorTickMark val="out"/>
        <c:minorTickMark val="cross"/>
        <c:tickLblPos val="nextTo"/>
        <c:txPr>
          <a:bodyPr/>
          <a:lstStyle/>
          <a:p>
            <a:pPr>
              <a:defRPr sz="1400" b="1"/>
            </a:pPr>
            <a:endParaRPr lang="en-US"/>
          </a:p>
        </c:txPr>
        <c:crossAx val="281770624"/>
        <c:crossesAt val="1"/>
        <c:crossBetween val="between"/>
      </c:valAx>
    </c:plotArea>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RS BGS-RSCP Rate Impact by Category with CP Adder</a:t>
            </a:r>
          </a:p>
        </c:rich>
      </c:tx>
      <c:layout>
        <c:manualLayout>
          <c:xMode val="edge"/>
          <c:yMode val="edge"/>
          <c:x val="0.25988428775454514"/>
          <c:y val="2.276422181314338E-2"/>
        </c:manualLayout>
      </c:layout>
      <c:overlay val="0"/>
    </c:title>
    <c:autoTitleDeleted val="0"/>
    <c:plotArea>
      <c:layout>
        <c:manualLayout>
          <c:layoutTarget val="inner"/>
          <c:xMode val="edge"/>
          <c:yMode val="edge"/>
          <c:x val="5.2585954262099298E-2"/>
          <c:y val="0.12338211908678998"/>
          <c:w val="0.93333082651359067"/>
          <c:h val="0.7118926962376585"/>
        </c:manualLayout>
      </c:layout>
      <c:barChart>
        <c:barDir val="col"/>
        <c:grouping val="clustered"/>
        <c:varyColors val="0"/>
        <c:ser>
          <c:idx val="0"/>
          <c:order val="0"/>
          <c:spPr>
            <a:ln>
              <a:solidFill>
                <a:schemeClr val="tx1"/>
              </a:solidFill>
            </a:ln>
          </c:spPr>
          <c:invertIfNegative val="0"/>
          <c:cat>
            <c:strRef>
              <c:f>Summary!$B$43:$B$51</c:f>
              <c:strCache>
                <c:ptCount val="9"/>
                <c:pt idx="0">
                  <c:v>Initial</c:v>
                </c:pt>
                <c:pt idx="1">
                  <c:v>Customer Usage </c:v>
                </c:pt>
                <c:pt idx="2">
                  <c:v>Forwards Related</c:v>
                </c:pt>
                <c:pt idx="3">
                  <c:v>Generation Obligation</c:v>
                </c:pt>
                <c:pt idx="4">
                  <c:v>Capacity Price</c:v>
                </c:pt>
                <c:pt idx="5">
                  <c:v>Transmission Obligation</c:v>
                </c:pt>
                <c:pt idx="6">
                  <c:v>NITS</c:v>
                </c:pt>
                <c:pt idx="7">
                  <c:v>CP Adder</c:v>
                </c:pt>
                <c:pt idx="8">
                  <c:v>Final</c:v>
                </c:pt>
              </c:strCache>
            </c:strRef>
          </c:cat>
          <c:val>
            <c:numRef>
              <c:f>Summary!$D$43:$D$51</c:f>
              <c:numCache>
                <c:formatCode>0.00%</c:formatCode>
                <c:ptCount val="9"/>
                <c:pt idx="0" formatCode="0%">
                  <c:v>0</c:v>
                </c:pt>
                <c:pt idx="8">
                  <c:v>0</c:v>
                </c:pt>
              </c:numCache>
            </c:numRef>
          </c:val>
          <c:extLst>
            <c:ext xmlns:c16="http://schemas.microsoft.com/office/drawing/2014/chart" uri="{C3380CC4-5D6E-409C-BE32-E72D297353CC}">
              <c16:uniqueId val="{00000000-11FA-4425-8FF5-12DFE06E1D41}"/>
            </c:ext>
          </c:extLst>
        </c:ser>
        <c:dLbls>
          <c:showLegendKey val="0"/>
          <c:showVal val="0"/>
          <c:showCatName val="0"/>
          <c:showSerName val="0"/>
          <c:showPercent val="0"/>
          <c:showBubbleSize val="0"/>
        </c:dLbls>
        <c:gapWidth val="150"/>
        <c:axId val="282068096"/>
        <c:axId val="282069632"/>
      </c:barChart>
      <c:lineChart>
        <c:grouping val="standard"/>
        <c:varyColors val="0"/>
        <c:ser>
          <c:idx val="1"/>
          <c:order val="1"/>
          <c:spPr>
            <a:ln>
              <a:noFill/>
            </a:ln>
          </c:spPr>
          <c:marker>
            <c:symbol val="none"/>
          </c:marker>
          <c:cat>
            <c:strRef>
              <c:f>Summary!$B$43:$B$51</c:f>
              <c:strCache>
                <c:ptCount val="9"/>
                <c:pt idx="0">
                  <c:v>Initial</c:v>
                </c:pt>
                <c:pt idx="1">
                  <c:v>Customer Usage </c:v>
                </c:pt>
                <c:pt idx="2">
                  <c:v>Forwards Related</c:v>
                </c:pt>
                <c:pt idx="3">
                  <c:v>Generation Obligation</c:v>
                </c:pt>
                <c:pt idx="4">
                  <c:v>Capacity Price</c:v>
                </c:pt>
                <c:pt idx="5">
                  <c:v>Transmission Obligation</c:v>
                </c:pt>
                <c:pt idx="6">
                  <c:v>NITS</c:v>
                </c:pt>
                <c:pt idx="7">
                  <c:v>CP Adder</c:v>
                </c:pt>
                <c:pt idx="8">
                  <c:v>Final</c:v>
                </c:pt>
              </c:strCache>
            </c:strRef>
          </c:cat>
          <c:val>
            <c:numRef>
              <c:f>Summary!$E$43:$E$51</c:f>
              <c:numCache>
                <c:formatCode>0.00%</c:formatCode>
                <c:ptCount val="9"/>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11FA-4425-8FF5-12DFE06E1D41}"/>
            </c:ext>
          </c:extLst>
        </c:ser>
        <c:ser>
          <c:idx val="2"/>
          <c:order val="2"/>
          <c:spPr>
            <a:ln>
              <a:noFill/>
            </a:ln>
          </c:spPr>
          <c:marker>
            <c:symbol val="none"/>
          </c:marker>
          <c:cat>
            <c:strRef>
              <c:f>Summary!$B$43:$B$51</c:f>
              <c:strCache>
                <c:ptCount val="9"/>
                <c:pt idx="0">
                  <c:v>Initial</c:v>
                </c:pt>
                <c:pt idx="1">
                  <c:v>Customer Usage </c:v>
                </c:pt>
                <c:pt idx="2">
                  <c:v>Forwards Related</c:v>
                </c:pt>
                <c:pt idx="3">
                  <c:v>Generation Obligation</c:v>
                </c:pt>
                <c:pt idx="4">
                  <c:v>Capacity Price</c:v>
                </c:pt>
                <c:pt idx="5">
                  <c:v>Transmission Obligation</c:v>
                </c:pt>
                <c:pt idx="6">
                  <c:v>NITS</c:v>
                </c:pt>
                <c:pt idx="7">
                  <c:v>CP Adder</c:v>
                </c:pt>
                <c:pt idx="8">
                  <c:v>Final</c:v>
                </c:pt>
              </c:strCache>
            </c:strRef>
          </c:cat>
          <c:val>
            <c:numRef>
              <c:f>Summary!$F$43:$F$51</c:f>
              <c:numCache>
                <c:formatCode>0.00%</c:formatCode>
                <c:ptCount val="9"/>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11FA-4425-8FF5-12DFE06E1D41}"/>
            </c:ext>
          </c:extLst>
        </c:ser>
        <c:dLbls>
          <c:showLegendKey val="0"/>
          <c:showVal val="0"/>
          <c:showCatName val="0"/>
          <c:showSerName val="0"/>
          <c:showPercent val="0"/>
          <c:showBubbleSize val="0"/>
        </c:dLbls>
        <c:upDownBars>
          <c:gapWidth val="150"/>
          <c:upBars>
            <c:spPr>
              <a:solidFill>
                <a:srgbClr val="FF0000"/>
              </a:solidFill>
            </c:spPr>
          </c:upBars>
          <c:downBars>
            <c:spPr>
              <a:solidFill>
                <a:srgbClr val="00B050"/>
              </a:solidFill>
            </c:spPr>
          </c:downBars>
        </c:upDownBars>
        <c:marker val="1"/>
        <c:smooth val="0"/>
        <c:axId val="282068096"/>
        <c:axId val="282069632"/>
      </c:lineChart>
      <c:catAx>
        <c:axId val="282068096"/>
        <c:scaling>
          <c:orientation val="minMax"/>
        </c:scaling>
        <c:delete val="0"/>
        <c:axPos val="b"/>
        <c:numFmt formatCode="General" sourceLinked="0"/>
        <c:majorTickMark val="out"/>
        <c:minorTickMark val="cross"/>
        <c:tickLblPos val="nextTo"/>
        <c:txPr>
          <a:bodyPr/>
          <a:lstStyle/>
          <a:p>
            <a:pPr>
              <a:defRPr sz="1200" b="1"/>
            </a:pPr>
            <a:endParaRPr lang="en-US"/>
          </a:p>
        </c:txPr>
        <c:crossAx val="282069632"/>
        <c:crossesAt val="-6.0000000000000012E-2"/>
        <c:auto val="1"/>
        <c:lblAlgn val="ctr"/>
        <c:lblOffset val="100"/>
        <c:noMultiLvlLbl val="0"/>
      </c:catAx>
      <c:valAx>
        <c:axId val="282069632"/>
        <c:scaling>
          <c:orientation val="minMax"/>
          <c:max val="6.0000000000000012E-2"/>
          <c:min val="-6.0000000000000012E-2"/>
        </c:scaling>
        <c:delete val="0"/>
        <c:axPos val="l"/>
        <c:majorGridlines/>
        <c:numFmt formatCode="0%" sourceLinked="1"/>
        <c:majorTickMark val="out"/>
        <c:minorTickMark val="cross"/>
        <c:tickLblPos val="nextTo"/>
        <c:txPr>
          <a:bodyPr/>
          <a:lstStyle/>
          <a:p>
            <a:pPr>
              <a:defRPr sz="1400" b="1"/>
            </a:pPr>
            <a:endParaRPr lang="en-US"/>
          </a:p>
        </c:txPr>
        <c:crossAx val="282068096"/>
        <c:crossesAt val="1"/>
        <c:crossBetween val="between"/>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GLP BGS-RSCP Total Annual Cost</a:t>
            </a:r>
            <a:r>
              <a:rPr lang="en-US" baseline="0"/>
              <a:t> </a:t>
            </a:r>
          </a:p>
          <a:p>
            <a:pPr>
              <a:defRPr/>
            </a:pPr>
            <a:r>
              <a:rPr lang="en-US" baseline="0"/>
              <a:t>Feb 1, 2016 to June 1, 2016</a:t>
            </a:r>
            <a:endParaRPr lang="en-US"/>
          </a:p>
        </c:rich>
      </c:tx>
      <c:overlay val="0"/>
    </c:title>
    <c:autoTitleDeleted val="0"/>
    <c:plotArea>
      <c:layout>
        <c:manualLayout>
          <c:layoutTarget val="inner"/>
          <c:xMode val="edge"/>
          <c:yMode val="edge"/>
          <c:x val="5.0171125220460563E-2"/>
          <c:y val="0.21443896947981064"/>
          <c:w val="0.93333082651359067"/>
          <c:h val="0.61704185808628775"/>
        </c:manualLayout>
      </c:layout>
      <c:barChart>
        <c:barDir val="col"/>
        <c:grouping val="clustered"/>
        <c:varyColors val="0"/>
        <c:ser>
          <c:idx val="0"/>
          <c:order val="0"/>
          <c:tx>
            <c:strRef>
              <c:f>'Bridge for 0301 NITS Changes'!$D$75</c:f>
              <c:strCache>
                <c:ptCount val="1"/>
                <c:pt idx="0">
                  <c:v>End</c:v>
                </c:pt>
              </c:strCache>
            </c:strRef>
          </c:tx>
          <c:spPr>
            <a:ln>
              <a:solidFill>
                <a:schemeClr val="tx1"/>
              </a:solidFill>
            </a:ln>
          </c:spPr>
          <c:invertIfNegative val="0"/>
          <c:cat>
            <c:strRef>
              <c:f>'Bridge for 0301 NITS Changes'!$B$76:$B$79</c:f>
              <c:strCache>
                <c:ptCount val="4"/>
                <c:pt idx="0">
                  <c:v>February 1</c:v>
                </c:pt>
                <c:pt idx="1">
                  <c:v>3/1 NITS TEC Adder</c:v>
                </c:pt>
                <c:pt idx="2">
                  <c:v>6/1 Estimated BGS Impact</c:v>
                </c:pt>
                <c:pt idx="3">
                  <c:v>Final</c:v>
                </c:pt>
              </c:strCache>
            </c:strRef>
          </c:cat>
          <c:val>
            <c:numRef>
              <c:f>'Bridge for 0301 NITS Changes'!$D$76:$D$79</c:f>
              <c:numCache>
                <c:formatCode>_("$"* #,##0.00_);_("$"* \(#,##0.00\);_("$"* "-"??_);_(@_)</c:formatCode>
                <c:ptCount val="4"/>
                <c:pt idx="0">
                  <c:v>0</c:v>
                </c:pt>
                <c:pt idx="3">
                  <c:v>0</c:v>
                </c:pt>
              </c:numCache>
            </c:numRef>
          </c:val>
          <c:extLst>
            <c:ext xmlns:c16="http://schemas.microsoft.com/office/drawing/2014/chart" uri="{C3380CC4-5D6E-409C-BE32-E72D297353CC}">
              <c16:uniqueId val="{00000000-55C6-4E46-8FE8-DCAF91F27F36}"/>
            </c:ext>
          </c:extLst>
        </c:ser>
        <c:dLbls>
          <c:showLegendKey val="0"/>
          <c:showVal val="0"/>
          <c:showCatName val="0"/>
          <c:showSerName val="0"/>
          <c:showPercent val="0"/>
          <c:showBubbleSize val="0"/>
        </c:dLbls>
        <c:gapWidth val="150"/>
        <c:axId val="325354240"/>
        <c:axId val="338375040"/>
      </c:barChart>
      <c:lineChart>
        <c:grouping val="standard"/>
        <c:varyColors val="0"/>
        <c:ser>
          <c:idx val="1"/>
          <c:order val="1"/>
          <c:tx>
            <c:strRef>
              <c:f>'Bridge for 0301 NITS Changes'!$E$75</c:f>
              <c:strCache>
                <c:ptCount val="1"/>
                <c:pt idx="0">
                  <c:v>Before</c:v>
                </c:pt>
              </c:strCache>
            </c:strRef>
          </c:tx>
          <c:spPr>
            <a:ln>
              <a:noFill/>
            </a:ln>
          </c:spPr>
          <c:marker>
            <c:symbol val="none"/>
          </c:marker>
          <c:cat>
            <c:strRef>
              <c:f>'Bridge for 0301 NITS Changes'!$B$76:$B$79</c:f>
              <c:strCache>
                <c:ptCount val="4"/>
                <c:pt idx="0">
                  <c:v>February 1</c:v>
                </c:pt>
                <c:pt idx="1">
                  <c:v>3/1 NITS TEC Adder</c:v>
                </c:pt>
                <c:pt idx="2">
                  <c:v>6/1 Estimated BGS Impact</c:v>
                </c:pt>
                <c:pt idx="3">
                  <c:v>Final</c:v>
                </c:pt>
              </c:strCache>
            </c:strRef>
          </c:cat>
          <c:val>
            <c:numRef>
              <c:f>'Bridge for 0301 NITS Changes'!$E$76:$E$79</c:f>
              <c:numCache>
                <c:formatCode>_("$"* #,##0.00_);_("$"* \(#,##0.00\);_("$"* "-"??_);_(@_)</c:formatCode>
                <c:ptCount val="4"/>
                <c:pt idx="1">
                  <c:v>0</c:v>
                </c:pt>
                <c:pt idx="2">
                  <c:v>0</c:v>
                </c:pt>
              </c:numCache>
            </c:numRef>
          </c:val>
          <c:smooth val="0"/>
          <c:extLst>
            <c:ext xmlns:c16="http://schemas.microsoft.com/office/drawing/2014/chart" uri="{C3380CC4-5D6E-409C-BE32-E72D297353CC}">
              <c16:uniqueId val="{00000001-55C6-4E46-8FE8-DCAF91F27F36}"/>
            </c:ext>
          </c:extLst>
        </c:ser>
        <c:ser>
          <c:idx val="2"/>
          <c:order val="2"/>
          <c:tx>
            <c:strRef>
              <c:f>'Bridge for 0301 NITS Changes'!$F$75</c:f>
              <c:strCache>
                <c:ptCount val="1"/>
                <c:pt idx="0">
                  <c:v>After</c:v>
                </c:pt>
              </c:strCache>
            </c:strRef>
          </c:tx>
          <c:spPr>
            <a:ln>
              <a:noFill/>
            </a:ln>
          </c:spPr>
          <c:marker>
            <c:symbol val="none"/>
          </c:marker>
          <c:cat>
            <c:strRef>
              <c:f>'Bridge for 0301 NITS Changes'!$B$76:$B$79</c:f>
              <c:strCache>
                <c:ptCount val="4"/>
                <c:pt idx="0">
                  <c:v>February 1</c:v>
                </c:pt>
                <c:pt idx="1">
                  <c:v>3/1 NITS TEC Adder</c:v>
                </c:pt>
                <c:pt idx="2">
                  <c:v>6/1 Estimated BGS Impact</c:v>
                </c:pt>
                <c:pt idx="3">
                  <c:v>Final</c:v>
                </c:pt>
              </c:strCache>
            </c:strRef>
          </c:cat>
          <c:val>
            <c:numRef>
              <c:f>'Bridge for 0301 NITS Changes'!$F$76:$F$79</c:f>
              <c:numCache>
                <c:formatCode>_("$"* #,##0.00_);_("$"* \(#,##0.00\);_("$"* "-"??_);_(@_)</c:formatCode>
                <c:ptCount val="4"/>
                <c:pt idx="1">
                  <c:v>0</c:v>
                </c:pt>
                <c:pt idx="2">
                  <c:v>0</c:v>
                </c:pt>
              </c:numCache>
            </c:numRef>
          </c:val>
          <c:smooth val="0"/>
          <c:extLst>
            <c:ext xmlns:c16="http://schemas.microsoft.com/office/drawing/2014/chart" uri="{C3380CC4-5D6E-409C-BE32-E72D297353CC}">
              <c16:uniqueId val="{00000002-55C6-4E46-8FE8-DCAF91F27F36}"/>
            </c:ext>
          </c:extLst>
        </c:ser>
        <c:dLbls>
          <c:showLegendKey val="0"/>
          <c:showVal val="0"/>
          <c:showCatName val="0"/>
          <c:showSerName val="0"/>
          <c:showPercent val="0"/>
          <c:showBubbleSize val="0"/>
        </c:dLbls>
        <c:upDownBars>
          <c:gapWidth val="150"/>
          <c:upBars>
            <c:spPr>
              <a:solidFill>
                <a:srgbClr val="FF0000"/>
              </a:solidFill>
            </c:spPr>
          </c:upBars>
          <c:downBars>
            <c:spPr>
              <a:solidFill>
                <a:srgbClr val="00B050"/>
              </a:solidFill>
            </c:spPr>
          </c:downBars>
        </c:upDownBars>
        <c:marker val="1"/>
        <c:smooth val="0"/>
        <c:axId val="325354240"/>
        <c:axId val="338375040"/>
      </c:lineChart>
      <c:catAx>
        <c:axId val="325354240"/>
        <c:scaling>
          <c:orientation val="minMax"/>
        </c:scaling>
        <c:delete val="0"/>
        <c:axPos val="b"/>
        <c:numFmt formatCode="General" sourceLinked="0"/>
        <c:majorTickMark val="out"/>
        <c:minorTickMark val="cross"/>
        <c:tickLblPos val="nextTo"/>
        <c:txPr>
          <a:bodyPr/>
          <a:lstStyle/>
          <a:p>
            <a:pPr>
              <a:defRPr sz="1200" b="1"/>
            </a:pPr>
            <a:endParaRPr lang="en-US"/>
          </a:p>
        </c:txPr>
        <c:crossAx val="338375040"/>
        <c:crosses val="autoZero"/>
        <c:auto val="1"/>
        <c:lblAlgn val="ctr"/>
        <c:lblOffset val="100"/>
        <c:noMultiLvlLbl val="0"/>
      </c:catAx>
      <c:valAx>
        <c:axId val="338375040"/>
        <c:scaling>
          <c:orientation val="minMax"/>
          <c:min val="4700"/>
        </c:scaling>
        <c:delete val="0"/>
        <c:axPos val="l"/>
        <c:majorGridlines/>
        <c:numFmt formatCode="_(&quot;$&quot;* #,##0_);_(&quot;$&quot;* \(#,##0\);_(&quot;$&quot;* &quot;-&quot;_);_(@_)" sourceLinked="0"/>
        <c:majorTickMark val="out"/>
        <c:minorTickMark val="cross"/>
        <c:tickLblPos val="nextTo"/>
        <c:txPr>
          <a:bodyPr/>
          <a:lstStyle/>
          <a:p>
            <a:pPr>
              <a:defRPr sz="1400" b="1"/>
            </a:pPr>
            <a:endParaRPr lang="en-US"/>
          </a:p>
        </c:txPr>
        <c:crossAx val="325354240"/>
        <c:crossesAt val="1"/>
        <c:crossBetween val="between"/>
        <c:majorUnit val="100"/>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LPL-S BGS-RSCP Ttoal Annual Cost   Feb 1, 2016 to June 1, 2016</a:t>
            </a:r>
          </a:p>
        </c:rich>
      </c:tx>
      <c:overlay val="0"/>
    </c:title>
    <c:autoTitleDeleted val="0"/>
    <c:plotArea>
      <c:layout>
        <c:manualLayout>
          <c:layoutTarget val="inner"/>
          <c:xMode val="edge"/>
          <c:yMode val="edge"/>
          <c:x val="5.2585954262099298E-2"/>
          <c:y val="0.19926294066122635"/>
          <c:w val="0.93333082651359067"/>
          <c:h val="0.63601182545268564"/>
        </c:manualLayout>
      </c:layout>
      <c:barChart>
        <c:barDir val="col"/>
        <c:grouping val="clustered"/>
        <c:varyColors val="0"/>
        <c:ser>
          <c:idx val="0"/>
          <c:order val="0"/>
          <c:tx>
            <c:strRef>
              <c:f>'Bridge for 0301 NITS Changes'!$D$103</c:f>
              <c:strCache>
                <c:ptCount val="1"/>
                <c:pt idx="0">
                  <c:v>End</c:v>
                </c:pt>
              </c:strCache>
            </c:strRef>
          </c:tx>
          <c:spPr>
            <a:ln>
              <a:solidFill>
                <a:schemeClr val="tx1"/>
              </a:solidFill>
            </a:ln>
          </c:spPr>
          <c:invertIfNegative val="0"/>
          <c:cat>
            <c:strRef>
              <c:f>'Bridge for 0301 NITS Changes'!$B$104:$B$107</c:f>
              <c:strCache>
                <c:ptCount val="4"/>
                <c:pt idx="0">
                  <c:v>February 1</c:v>
                </c:pt>
                <c:pt idx="1">
                  <c:v>3/1 NITS TEC Adder</c:v>
                </c:pt>
                <c:pt idx="2">
                  <c:v>6/1 Estimated BGS Impact</c:v>
                </c:pt>
                <c:pt idx="3">
                  <c:v>Final</c:v>
                </c:pt>
              </c:strCache>
            </c:strRef>
          </c:cat>
          <c:val>
            <c:numRef>
              <c:f>'Bridge for 0301 NITS Changes'!$D$104:$D$107</c:f>
              <c:numCache>
                <c:formatCode>_("$"* #,##0.00_);_("$"* \(#,##0.00\);_("$"* "-"??_);_(@_)</c:formatCode>
                <c:ptCount val="4"/>
                <c:pt idx="0">
                  <c:v>0</c:v>
                </c:pt>
                <c:pt idx="3">
                  <c:v>0</c:v>
                </c:pt>
              </c:numCache>
            </c:numRef>
          </c:val>
          <c:extLst>
            <c:ext xmlns:c16="http://schemas.microsoft.com/office/drawing/2014/chart" uri="{C3380CC4-5D6E-409C-BE32-E72D297353CC}">
              <c16:uniqueId val="{00000000-FC8E-4DFF-89E3-C3F0CA46CD30}"/>
            </c:ext>
          </c:extLst>
        </c:ser>
        <c:dLbls>
          <c:showLegendKey val="0"/>
          <c:showVal val="0"/>
          <c:showCatName val="0"/>
          <c:showSerName val="0"/>
          <c:showPercent val="0"/>
          <c:showBubbleSize val="0"/>
        </c:dLbls>
        <c:gapWidth val="150"/>
        <c:axId val="277627264"/>
        <c:axId val="277628800"/>
      </c:barChart>
      <c:lineChart>
        <c:grouping val="standard"/>
        <c:varyColors val="0"/>
        <c:ser>
          <c:idx val="1"/>
          <c:order val="1"/>
          <c:tx>
            <c:strRef>
              <c:f>'Bridge for 0301 NITS Changes'!$E$103</c:f>
              <c:strCache>
                <c:ptCount val="1"/>
                <c:pt idx="0">
                  <c:v>Before</c:v>
                </c:pt>
              </c:strCache>
            </c:strRef>
          </c:tx>
          <c:spPr>
            <a:ln>
              <a:noFill/>
            </a:ln>
          </c:spPr>
          <c:marker>
            <c:symbol val="none"/>
          </c:marker>
          <c:cat>
            <c:strRef>
              <c:f>'Bridge for 0301 NITS Changes'!$B$104:$B$107</c:f>
              <c:strCache>
                <c:ptCount val="4"/>
                <c:pt idx="0">
                  <c:v>February 1</c:v>
                </c:pt>
                <c:pt idx="1">
                  <c:v>3/1 NITS TEC Adder</c:v>
                </c:pt>
                <c:pt idx="2">
                  <c:v>6/1 Estimated BGS Impact</c:v>
                </c:pt>
                <c:pt idx="3">
                  <c:v>Final</c:v>
                </c:pt>
              </c:strCache>
            </c:strRef>
          </c:cat>
          <c:val>
            <c:numRef>
              <c:f>'Bridge for 0301 NITS Changes'!$E$104:$E$107</c:f>
              <c:numCache>
                <c:formatCode>_("$"* #,##0.00_);_("$"* \(#,##0.00\);_("$"* "-"??_);_(@_)</c:formatCode>
                <c:ptCount val="4"/>
                <c:pt idx="1">
                  <c:v>0</c:v>
                </c:pt>
                <c:pt idx="2">
                  <c:v>0</c:v>
                </c:pt>
              </c:numCache>
            </c:numRef>
          </c:val>
          <c:smooth val="0"/>
          <c:extLst>
            <c:ext xmlns:c16="http://schemas.microsoft.com/office/drawing/2014/chart" uri="{C3380CC4-5D6E-409C-BE32-E72D297353CC}">
              <c16:uniqueId val="{00000001-FC8E-4DFF-89E3-C3F0CA46CD30}"/>
            </c:ext>
          </c:extLst>
        </c:ser>
        <c:ser>
          <c:idx val="2"/>
          <c:order val="2"/>
          <c:tx>
            <c:strRef>
              <c:f>'Bridge for 0301 NITS Changes'!$F$103</c:f>
              <c:strCache>
                <c:ptCount val="1"/>
                <c:pt idx="0">
                  <c:v>After</c:v>
                </c:pt>
              </c:strCache>
            </c:strRef>
          </c:tx>
          <c:spPr>
            <a:ln>
              <a:noFill/>
            </a:ln>
          </c:spPr>
          <c:marker>
            <c:symbol val="none"/>
          </c:marker>
          <c:cat>
            <c:strRef>
              <c:f>'Bridge for 0301 NITS Changes'!$B$104:$B$107</c:f>
              <c:strCache>
                <c:ptCount val="4"/>
                <c:pt idx="0">
                  <c:v>February 1</c:v>
                </c:pt>
                <c:pt idx="1">
                  <c:v>3/1 NITS TEC Adder</c:v>
                </c:pt>
                <c:pt idx="2">
                  <c:v>6/1 Estimated BGS Impact</c:v>
                </c:pt>
                <c:pt idx="3">
                  <c:v>Final</c:v>
                </c:pt>
              </c:strCache>
            </c:strRef>
          </c:cat>
          <c:val>
            <c:numRef>
              <c:f>'Bridge for 0301 NITS Changes'!$F$104:$F$107</c:f>
              <c:numCache>
                <c:formatCode>_("$"* #,##0.00_);_("$"* \(#,##0.00\);_("$"* "-"??_);_(@_)</c:formatCode>
                <c:ptCount val="4"/>
                <c:pt idx="1">
                  <c:v>0</c:v>
                </c:pt>
                <c:pt idx="2">
                  <c:v>0</c:v>
                </c:pt>
              </c:numCache>
            </c:numRef>
          </c:val>
          <c:smooth val="0"/>
          <c:extLst>
            <c:ext xmlns:c16="http://schemas.microsoft.com/office/drawing/2014/chart" uri="{C3380CC4-5D6E-409C-BE32-E72D297353CC}">
              <c16:uniqueId val="{00000002-FC8E-4DFF-89E3-C3F0CA46CD30}"/>
            </c:ext>
          </c:extLst>
        </c:ser>
        <c:dLbls>
          <c:showLegendKey val="0"/>
          <c:showVal val="0"/>
          <c:showCatName val="0"/>
          <c:showSerName val="0"/>
          <c:showPercent val="0"/>
          <c:showBubbleSize val="0"/>
        </c:dLbls>
        <c:upDownBars>
          <c:gapWidth val="150"/>
          <c:upBars>
            <c:spPr>
              <a:solidFill>
                <a:srgbClr val="FF0000"/>
              </a:solidFill>
            </c:spPr>
          </c:upBars>
          <c:downBars>
            <c:spPr>
              <a:solidFill>
                <a:srgbClr val="00B050"/>
              </a:solidFill>
            </c:spPr>
          </c:downBars>
        </c:upDownBars>
        <c:marker val="1"/>
        <c:smooth val="0"/>
        <c:axId val="277627264"/>
        <c:axId val="277628800"/>
      </c:lineChart>
      <c:catAx>
        <c:axId val="277627264"/>
        <c:scaling>
          <c:orientation val="minMax"/>
        </c:scaling>
        <c:delete val="0"/>
        <c:axPos val="b"/>
        <c:numFmt formatCode="General" sourceLinked="0"/>
        <c:majorTickMark val="out"/>
        <c:minorTickMark val="cross"/>
        <c:tickLblPos val="nextTo"/>
        <c:txPr>
          <a:bodyPr/>
          <a:lstStyle/>
          <a:p>
            <a:pPr>
              <a:defRPr sz="1200" b="1"/>
            </a:pPr>
            <a:endParaRPr lang="en-US"/>
          </a:p>
        </c:txPr>
        <c:crossAx val="277628800"/>
        <c:crossesAt val="-5.000000000000001E-2"/>
        <c:auto val="1"/>
        <c:lblAlgn val="ctr"/>
        <c:lblOffset val="100"/>
        <c:noMultiLvlLbl val="0"/>
      </c:catAx>
      <c:valAx>
        <c:axId val="277628800"/>
        <c:scaling>
          <c:orientation val="minMax"/>
        </c:scaling>
        <c:delete val="0"/>
        <c:axPos val="l"/>
        <c:majorGridlines/>
        <c:numFmt formatCode="_(&quot;$&quot;* #,##0_);_(&quot;$&quot;* \(#,##0\);_(&quot;$&quot;* &quot;-&quot;_);_(@_)" sourceLinked="0"/>
        <c:majorTickMark val="out"/>
        <c:minorTickMark val="cross"/>
        <c:tickLblPos val="nextTo"/>
        <c:txPr>
          <a:bodyPr/>
          <a:lstStyle/>
          <a:p>
            <a:pPr>
              <a:defRPr sz="1400" b="1"/>
            </a:pPr>
            <a:endParaRPr lang="en-US"/>
          </a:p>
        </c:txPr>
        <c:crossAx val="277627264"/>
        <c:crossesAt val="1"/>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RS BGS-RSCP Total Annual </a:t>
            </a:r>
            <a:r>
              <a:rPr lang="en-US" baseline="0"/>
              <a:t>Cost</a:t>
            </a:r>
          </a:p>
          <a:p>
            <a:pPr>
              <a:defRPr/>
            </a:pPr>
            <a:r>
              <a:rPr lang="en-US" baseline="0"/>
              <a:t> Feb 1, 2016 to June 1, 2016</a:t>
            </a:r>
            <a:endParaRPr lang="en-US"/>
          </a:p>
        </c:rich>
      </c:tx>
      <c:layout>
        <c:manualLayout>
          <c:xMode val="edge"/>
          <c:yMode val="edge"/>
          <c:x val="0.319424521324563"/>
          <c:y val="2.2764228613798888E-2"/>
        </c:manualLayout>
      </c:layout>
      <c:overlay val="0"/>
    </c:title>
    <c:autoTitleDeleted val="0"/>
    <c:plotArea>
      <c:layout>
        <c:manualLayout>
          <c:layoutTarget val="inner"/>
          <c:xMode val="edge"/>
          <c:yMode val="edge"/>
          <c:x val="5.2585954262099298E-2"/>
          <c:y val="0.20305691923508606"/>
          <c:w val="0.93333082651359067"/>
          <c:h val="0.63221789608936241"/>
        </c:manualLayout>
      </c:layout>
      <c:barChart>
        <c:barDir val="col"/>
        <c:grouping val="clustered"/>
        <c:varyColors val="0"/>
        <c:ser>
          <c:idx val="0"/>
          <c:order val="0"/>
          <c:spPr>
            <a:ln>
              <a:solidFill>
                <a:schemeClr val="tx1"/>
              </a:solidFill>
            </a:ln>
          </c:spPr>
          <c:invertIfNegative val="0"/>
          <c:cat>
            <c:strRef>
              <c:f>'Bridge for 0301 NITS Changes'!$B$49:$B$52</c:f>
              <c:strCache>
                <c:ptCount val="4"/>
                <c:pt idx="0">
                  <c:v>February 1</c:v>
                </c:pt>
                <c:pt idx="1">
                  <c:v>3/1 NITS TEC Adder</c:v>
                </c:pt>
                <c:pt idx="2">
                  <c:v>6/1 Estimated BGS Impact</c:v>
                </c:pt>
                <c:pt idx="3">
                  <c:v>June 1</c:v>
                </c:pt>
              </c:strCache>
            </c:strRef>
          </c:cat>
          <c:val>
            <c:numRef>
              <c:f>'Bridge for 0301 NITS Changes'!$D$49:$D$52</c:f>
              <c:numCache>
                <c:formatCode>_("$"* #,##0.00_);_("$"* \(#,##0.00\);_("$"* "-"??_);_(@_)</c:formatCode>
                <c:ptCount val="4"/>
                <c:pt idx="0">
                  <c:v>0</c:v>
                </c:pt>
                <c:pt idx="3">
                  <c:v>0</c:v>
                </c:pt>
              </c:numCache>
            </c:numRef>
          </c:val>
          <c:extLst>
            <c:ext xmlns:c16="http://schemas.microsoft.com/office/drawing/2014/chart" uri="{C3380CC4-5D6E-409C-BE32-E72D297353CC}">
              <c16:uniqueId val="{00000000-7DB7-4754-8A3C-55AD5E628B87}"/>
            </c:ext>
          </c:extLst>
        </c:ser>
        <c:dLbls>
          <c:showLegendKey val="0"/>
          <c:showVal val="0"/>
          <c:showCatName val="0"/>
          <c:showSerName val="0"/>
          <c:showPercent val="0"/>
          <c:showBubbleSize val="0"/>
        </c:dLbls>
        <c:gapWidth val="150"/>
        <c:axId val="277665664"/>
        <c:axId val="277667200"/>
      </c:barChart>
      <c:lineChart>
        <c:grouping val="standard"/>
        <c:varyColors val="0"/>
        <c:ser>
          <c:idx val="1"/>
          <c:order val="1"/>
          <c:spPr>
            <a:ln>
              <a:noFill/>
            </a:ln>
          </c:spPr>
          <c:marker>
            <c:symbol val="none"/>
          </c:marker>
          <c:cat>
            <c:strRef>
              <c:f>'Bridge for 0301 NITS Changes'!$B$49:$B$52</c:f>
              <c:strCache>
                <c:ptCount val="4"/>
                <c:pt idx="0">
                  <c:v>February 1</c:v>
                </c:pt>
                <c:pt idx="1">
                  <c:v>3/1 NITS TEC Adder</c:v>
                </c:pt>
                <c:pt idx="2">
                  <c:v>6/1 Estimated BGS Impact</c:v>
                </c:pt>
                <c:pt idx="3">
                  <c:v>June 1</c:v>
                </c:pt>
              </c:strCache>
            </c:strRef>
          </c:cat>
          <c:val>
            <c:numRef>
              <c:f>'Bridge for 0301 NITS Changes'!$E$49:$E$52</c:f>
              <c:numCache>
                <c:formatCode>_("$"* #,##0.00_);_("$"* \(#,##0.00\);_("$"* "-"??_);_(@_)</c:formatCode>
                <c:ptCount val="4"/>
                <c:pt idx="1">
                  <c:v>0</c:v>
                </c:pt>
                <c:pt idx="2">
                  <c:v>0</c:v>
                </c:pt>
              </c:numCache>
            </c:numRef>
          </c:val>
          <c:smooth val="0"/>
          <c:extLst>
            <c:ext xmlns:c16="http://schemas.microsoft.com/office/drawing/2014/chart" uri="{C3380CC4-5D6E-409C-BE32-E72D297353CC}">
              <c16:uniqueId val="{00000001-7DB7-4754-8A3C-55AD5E628B87}"/>
            </c:ext>
          </c:extLst>
        </c:ser>
        <c:ser>
          <c:idx val="2"/>
          <c:order val="2"/>
          <c:spPr>
            <a:ln>
              <a:noFill/>
            </a:ln>
          </c:spPr>
          <c:marker>
            <c:symbol val="none"/>
          </c:marker>
          <c:dPt>
            <c:idx val="9"/>
            <c:bubble3D val="0"/>
            <c:extLst>
              <c:ext xmlns:c16="http://schemas.microsoft.com/office/drawing/2014/chart" uri="{C3380CC4-5D6E-409C-BE32-E72D297353CC}">
                <c16:uniqueId val="{00000002-7DB7-4754-8A3C-55AD5E628B87}"/>
              </c:ext>
            </c:extLst>
          </c:dPt>
          <c:cat>
            <c:strRef>
              <c:f>'Bridge for 0301 NITS Changes'!$B$49:$B$52</c:f>
              <c:strCache>
                <c:ptCount val="4"/>
                <c:pt idx="0">
                  <c:v>February 1</c:v>
                </c:pt>
                <c:pt idx="1">
                  <c:v>3/1 NITS TEC Adder</c:v>
                </c:pt>
                <c:pt idx="2">
                  <c:v>6/1 Estimated BGS Impact</c:v>
                </c:pt>
                <c:pt idx="3">
                  <c:v>June 1</c:v>
                </c:pt>
              </c:strCache>
            </c:strRef>
          </c:cat>
          <c:val>
            <c:numRef>
              <c:f>'Bridge for 0301 NITS Changes'!$F$49:$F$52</c:f>
              <c:numCache>
                <c:formatCode>_("$"* #,##0.00_);_("$"* \(#,##0.00\);_("$"* "-"??_);_(@_)</c:formatCode>
                <c:ptCount val="4"/>
                <c:pt idx="1">
                  <c:v>0</c:v>
                </c:pt>
                <c:pt idx="2">
                  <c:v>0</c:v>
                </c:pt>
              </c:numCache>
            </c:numRef>
          </c:val>
          <c:smooth val="0"/>
          <c:extLst>
            <c:ext xmlns:c16="http://schemas.microsoft.com/office/drawing/2014/chart" uri="{C3380CC4-5D6E-409C-BE32-E72D297353CC}">
              <c16:uniqueId val="{00000003-7DB7-4754-8A3C-55AD5E628B87}"/>
            </c:ext>
          </c:extLst>
        </c:ser>
        <c:dLbls>
          <c:showLegendKey val="0"/>
          <c:showVal val="0"/>
          <c:showCatName val="0"/>
          <c:showSerName val="0"/>
          <c:showPercent val="0"/>
          <c:showBubbleSize val="0"/>
        </c:dLbls>
        <c:upDownBars>
          <c:gapWidth val="150"/>
          <c:upBars>
            <c:spPr>
              <a:solidFill>
                <a:srgbClr val="FF0000"/>
              </a:solidFill>
            </c:spPr>
          </c:upBars>
          <c:downBars>
            <c:spPr>
              <a:solidFill>
                <a:srgbClr val="00B050"/>
              </a:solidFill>
            </c:spPr>
          </c:downBars>
        </c:upDownBars>
        <c:marker val="1"/>
        <c:smooth val="0"/>
        <c:axId val="277665664"/>
        <c:axId val="277667200"/>
      </c:lineChart>
      <c:catAx>
        <c:axId val="277665664"/>
        <c:scaling>
          <c:orientation val="minMax"/>
        </c:scaling>
        <c:delete val="0"/>
        <c:axPos val="b"/>
        <c:numFmt formatCode="General" sourceLinked="0"/>
        <c:majorTickMark val="out"/>
        <c:minorTickMark val="cross"/>
        <c:tickLblPos val="nextTo"/>
        <c:txPr>
          <a:bodyPr/>
          <a:lstStyle/>
          <a:p>
            <a:pPr>
              <a:defRPr sz="1200" b="1"/>
            </a:pPr>
            <a:endParaRPr lang="en-US"/>
          </a:p>
        </c:txPr>
        <c:crossAx val="277667200"/>
        <c:crossesAt val="-5.000000000000001E-2"/>
        <c:auto val="1"/>
        <c:lblAlgn val="ctr"/>
        <c:lblOffset val="100"/>
        <c:noMultiLvlLbl val="0"/>
      </c:catAx>
      <c:valAx>
        <c:axId val="277667200"/>
        <c:scaling>
          <c:orientation val="minMax"/>
          <c:min val="1200"/>
        </c:scaling>
        <c:delete val="0"/>
        <c:axPos val="l"/>
        <c:majorGridlines/>
        <c:numFmt formatCode="_(&quot;$&quot;* #,##0_);_(&quot;$&quot;* \(#,##0\);_(&quot;$&quot;* &quot;-&quot;_);_(@_)" sourceLinked="0"/>
        <c:majorTickMark val="out"/>
        <c:minorTickMark val="cross"/>
        <c:tickLblPos val="nextTo"/>
        <c:txPr>
          <a:bodyPr/>
          <a:lstStyle/>
          <a:p>
            <a:pPr>
              <a:defRPr sz="1400" b="1"/>
            </a:pPr>
            <a:endParaRPr lang="en-US"/>
          </a:p>
        </c:txPr>
        <c:crossAx val="277665664"/>
        <c:crossesAt val="1"/>
        <c:crossBetween val="between"/>
        <c:majorUnit val="20"/>
      </c:valAx>
    </c:plotArea>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RS BGS-RSCP % of Total Annual </a:t>
            </a:r>
            <a:r>
              <a:rPr lang="en-US" baseline="0"/>
              <a:t>Cost</a:t>
            </a:r>
          </a:p>
          <a:p>
            <a:pPr>
              <a:defRPr/>
            </a:pPr>
            <a:r>
              <a:rPr lang="en-US" baseline="0"/>
              <a:t> Feb 1, 2016 to June 1, 2016</a:t>
            </a:r>
            <a:endParaRPr lang="en-US"/>
          </a:p>
        </c:rich>
      </c:tx>
      <c:layout>
        <c:manualLayout>
          <c:xMode val="edge"/>
          <c:yMode val="edge"/>
          <c:x val="0.17819658403141539"/>
          <c:y val="7.5880762045996289E-3"/>
        </c:manualLayout>
      </c:layout>
      <c:overlay val="0"/>
    </c:title>
    <c:autoTitleDeleted val="0"/>
    <c:plotArea>
      <c:layout>
        <c:manualLayout>
          <c:layoutTarget val="inner"/>
          <c:xMode val="edge"/>
          <c:yMode val="edge"/>
          <c:x val="5.2585954262099298E-2"/>
          <c:y val="0.20305691923508606"/>
          <c:w val="0.93333082651359067"/>
          <c:h val="0.63221789608936241"/>
        </c:manualLayout>
      </c:layout>
      <c:barChart>
        <c:barDir val="col"/>
        <c:grouping val="clustered"/>
        <c:varyColors val="0"/>
        <c:ser>
          <c:idx val="0"/>
          <c:order val="0"/>
          <c:spPr>
            <a:ln>
              <a:solidFill>
                <a:schemeClr val="tx1"/>
              </a:solidFill>
            </a:ln>
          </c:spPr>
          <c:invertIfNegative val="0"/>
          <c:cat>
            <c:strRef>
              <c:f>'Bridge for 0301 NITS Changes'!$N$49:$N$52</c:f>
              <c:strCache>
                <c:ptCount val="4"/>
                <c:pt idx="0">
                  <c:v>February 1</c:v>
                </c:pt>
                <c:pt idx="1">
                  <c:v>3/1 NITS TEC Adder</c:v>
                </c:pt>
                <c:pt idx="2">
                  <c:v>6/1 Estimated BGS Impact</c:v>
                </c:pt>
                <c:pt idx="3">
                  <c:v>June 1</c:v>
                </c:pt>
              </c:strCache>
            </c:strRef>
          </c:cat>
          <c:val>
            <c:numRef>
              <c:f>'Bridge for 0301 NITS Changes'!$P$49:$P$52</c:f>
              <c:numCache>
                <c:formatCode>_("$"* #,##0.00_);_("$"* \(#,##0.00\);_("$"* "-"??_);_(@_)</c:formatCode>
                <c:ptCount val="4"/>
                <c:pt idx="0">
                  <c:v>0</c:v>
                </c:pt>
                <c:pt idx="3" formatCode="0.00%">
                  <c:v>0</c:v>
                </c:pt>
              </c:numCache>
            </c:numRef>
          </c:val>
          <c:extLst>
            <c:ext xmlns:c16="http://schemas.microsoft.com/office/drawing/2014/chart" uri="{C3380CC4-5D6E-409C-BE32-E72D297353CC}">
              <c16:uniqueId val="{00000000-D3FF-4CE3-88BC-714BDB3F0B45}"/>
            </c:ext>
          </c:extLst>
        </c:ser>
        <c:dLbls>
          <c:showLegendKey val="0"/>
          <c:showVal val="0"/>
          <c:showCatName val="0"/>
          <c:showSerName val="0"/>
          <c:showPercent val="0"/>
          <c:showBubbleSize val="0"/>
        </c:dLbls>
        <c:gapWidth val="150"/>
        <c:axId val="277699200"/>
        <c:axId val="277705088"/>
      </c:barChart>
      <c:lineChart>
        <c:grouping val="standard"/>
        <c:varyColors val="0"/>
        <c:ser>
          <c:idx val="1"/>
          <c:order val="1"/>
          <c:spPr>
            <a:ln>
              <a:noFill/>
            </a:ln>
          </c:spPr>
          <c:marker>
            <c:symbol val="none"/>
          </c:marker>
          <c:val>
            <c:numRef>
              <c:f>'Bridge for 0301 NITS Changes'!$Q$49:$Q$52</c:f>
              <c:numCache>
                <c:formatCode>0.00%</c:formatCode>
                <c:ptCount val="4"/>
                <c:pt idx="1">
                  <c:v>0</c:v>
                </c:pt>
                <c:pt idx="2">
                  <c:v>0</c:v>
                </c:pt>
              </c:numCache>
            </c:numRef>
          </c:val>
          <c:smooth val="0"/>
          <c:extLst>
            <c:ext xmlns:c16="http://schemas.microsoft.com/office/drawing/2014/chart" uri="{C3380CC4-5D6E-409C-BE32-E72D297353CC}">
              <c16:uniqueId val="{00000001-D3FF-4CE3-88BC-714BDB3F0B45}"/>
            </c:ext>
          </c:extLst>
        </c:ser>
        <c:ser>
          <c:idx val="2"/>
          <c:order val="2"/>
          <c:spPr>
            <a:ln>
              <a:noFill/>
            </a:ln>
          </c:spPr>
          <c:marker>
            <c:symbol val="none"/>
          </c:marker>
          <c:dPt>
            <c:idx val="9"/>
            <c:bubble3D val="0"/>
            <c:extLst>
              <c:ext xmlns:c16="http://schemas.microsoft.com/office/drawing/2014/chart" uri="{C3380CC4-5D6E-409C-BE32-E72D297353CC}">
                <c16:uniqueId val="{00000002-D3FF-4CE3-88BC-714BDB3F0B45}"/>
              </c:ext>
            </c:extLst>
          </c:dPt>
          <c:val>
            <c:numRef>
              <c:f>'Bridge for 0301 NITS Changes'!$R$49:$R$52</c:f>
              <c:numCache>
                <c:formatCode>0.00%</c:formatCode>
                <c:ptCount val="4"/>
                <c:pt idx="1">
                  <c:v>0</c:v>
                </c:pt>
                <c:pt idx="2">
                  <c:v>0</c:v>
                </c:pt>
              </c:numCache>
            </c:numRef>
          </c:val>
          <c:smooth val="0"/>
          <c:extLst>
            <c:ext xmlns:c16="http://schemas.microsoft.com/office/drawing/2014/chart" uri="{C3380CC4-5D6E-409C-BE32-E72D297353CC}">
              <c16:uniqueId val="{00000003-D3FF-4CE3-88BC-714BDB3F0B45}"/>
            </c:ext>
          </c:extLst>
        </c:ser>
        <c:dLbls>
          <c:showLegendKey val="0"/>
          <c:showVal val="0"/>
          <c:showCatName val="0"/>
          <c:showSerName val="0"/>
          <c:showPercent val="0"/>
          <c:showBubbleSize val="0"/>
        </c:dLbls>
        <c:upDownBars>
          <c:gapWidth val="150"/>
          <c:upBars>
            <c:spPr>
              <a:solidFill>
                <a:srgbClr val="FF0000"/>
              </a:solidFill>
            </c:spPr>
          </c:upBars>
          <c:downBars>
            <c:spPr>
              <a:solidFill>
                <a:srgbClr val="00B050"/>
              </a:solidFill>
            </c:spPr>
          </c:downBars>
        </c:upDownBars>
        <c:marker val="1"/>
        <c:smooth val="0"/>
        <c:axId val="277699200"/>
        <c:axId val="277705088"/>
      </c:lineChart>
      <c:catAx>
        <c:axId val="277699200"/>
        <c:scaling>
          <c:orientation val="minMax"/>
        </c:scaling>
        <c:delete val="0"/>
        <c:axPos val="b"/>
        <c:numFmt formatCode="General" sourceLinked="0"/>
        <c:majorTickMark val="out"/>
        <c:minorTickMark val="cross"/>
        <c:tickLblPos val="nextTo"/>
        <c:txPr>
          <a:bodyPr/>
          <a:lstStyle/>
          <a:p>
            <a:pPr>
              <a:defRPr sz="1200" b="1"/>
            </a:pPr>
            <a:endParaRPr lang="en-US"/>
          </a:p>
        </c:txPr>
        <c:crossAx val="277705088"/>
        <c:crossesAt val="-5.000000000000001E-2"/>
        <c:auto val="1"/>
        <c:lblAlgn val="ctr"/>
        <c:lblOffset val="100"/>
        <c:noMultiLvlLbl val="0"/>
      </c:catAx>
      <c:valAx>
        <c:axId val="277705088"/>
        <c:scaling>
          <c:orientation val="minMax"/>
          <c:max val="6.0000000000000012E-2"/>
        </c:scaling>
        <c:delete val="0"/>
        <c:axPos val="l"/>
        <c:majorGridlines/>
        <c:numFmt formatCode="0%" sourceLinked="0"/>
        <c:majorTickMark val="out"/>
        <c:minorTickMark val="cross"/>
        <c:tickLblPos val="nextTo"/>
        <c:txPr>
          <a:bodyPr/>
          <a:lstStyle/>
          <a:p>
            <a:pPr>
              <a:defRPr sz="1400" b="1"/>
            </a:pPr>
            <a:endParaRPr lang="en-US"/>
          </a:p>
        </c:txPr>
        <c:crossAx val="277699200"/>
        <c:crossesAt val="1"/>
        <c:crossBetween val="between"/>
      </c:valAx>
    </c:plotArea>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GLP BGS-RSCP % of Total Annual </a:t>
            </a:r>
            <a:r>
              <a:rPr lang="en-US" baseline="0"/>
              <a:t>Cost</a:t>
            </a:r>
          </a:p>
          <a:p>
            <a:pPr>
              <a:defRPr/>
            </a:pPr>
            <a:r>
              <a:rPr lang="en-US" baseline="0"/>
              <a:t> Feb 1, 2016 to June 1, 2016</a:t>
            </a:r>
            <a:endParaRPr lang="en-US"/>
          </a:p>
        </c:rich>
      </c:tx>
      <c:layout>
        <c:manualLayout>
          <c:xMode val="edge"/>
          <c:yMode val="edge"/>
          <c:x val="0.18591009057185773"/>
          <c:y val="1.1382114306899444E-2"/>
        </c:manualLayout>
      </c:layout>
      <c:overlay val="0"/>
    </c:title>
    <c:autoTitleDeleted val="0"/>
    <c:plotArea>
      <c:layout>
        <c:manualLayout>
          <c:layoutTarget val="inner"/>
          <c:xMode val="edge"/>
          <c:yMode val="edge"/>
          <c:x val="5.2585954262099298E-2"/>
          <c:y val="0.20305691923508606"/>
          <c:w val="0.93333082651359067"/>
          <c:h val="0.63221789608936241"/>
        </c:manualLayout>
      </c:layout>
      <c:barChart>
        <c:barDir val="col"/>
        <c:grouping val="clustered"/>
        <c:varyColors val="0"/>
        <c:ser>
          <c:idx val="0"/>
          <c:order val="0"/>
          <c:spPr>
            <a:ln>
              <a:solidFill>
                <a:schemeClr val="tx1"/>
              </a:solidFill>
            </a:ln>
          </c:spPr>
          <c:invertIfNegative val="0"/>
          <c:cat>
            <c:strRef>
              <c:f>'Bridge for 0301 NITS Changes'!$N$76:$N$79</c:f>
              <c:strCache>
                <c:ptCount val="4"/>
                <c:pt idx="0">
                  <c:v>February 1</c:v>
                </c:pt>
                <c:pt idx="1">
                  <c:v>3/1 NITS TEC Adder</c:v>
                </c:pt>
                <c:pt idx="2">
                  <c:v>6/1 Estimated BGS Impact</c:v>
                </c:pt>
                <c:pt idx="3">
                  <c:v>June 1</c:v>
                </c:pt>
              </c:strCache>
            </c:strRef>
          </c:cat>
          <c:val>
            <c:numRef>
              <c:f>'Bridge for 0301 NITS Changes'!$P$76:$P$79</c:f>
              <c:numCache>
                <c:formatCode>_("$"* #,##0.00_);_("$"* \(#,##0.00\);_("$"* "-"??_);_(@_)</c:formatCode>
                <c:ptCount val="4"/>
                <c:pt idx="0">
                  <c:v>0</c:v>
                </c:pt>
                <c:pt idx="3" formatCode="0.00%">
                  <c:v>0</c:v>
                </c:pt>
              </c:numCache>
            </c:numRef>
          </c:val>
          <c:extLst>
            <c:ext xmlns:c16="http://schemas.microsoft.com/office/drawing/2014/chart" uri="{C3380CC4-5D6E-409C-BE32-E72D297353CC}">
              <c16:uniqueId val="{00000000-1F0D-40D8-983F-7C72FDDA6E2E}"/>
            </c:ext>
          </c:extLst>
        </c:ser>
        <c:dLbls>
          <c:showLegendKey val="0"/>
          <c:showVal val="0"/>
          <c:showCatName val="0"/>
          <c:showSerName val="0"/>
          <c:showPercent val="0"/>
          <c:showBubbleSize val="0"/>
        </c:dLbls>
        <c:gapWidth val="150"/>
        <c:axId val="277718144"/>
        <c:axId val="277719680"/>
      </c:barChart>
      <c:lineChart>
        <c:grouping val="standard"/>
        <c:varyColors val="0"/>
        <c:ser>
          <c:idx val="1"/>
          <c:order val="1"/>
          <c:spPr>
            <a:ln>
              <a:noFill/>
            </a:ln>
          </c:spPr>
          <c:marker>
            <c:symbol val="none"/>
          </c:marker>
          <c:val>
            <c:numRef>
              <c:f>'Bridge for 0301 NITS Changes'!$Q$76:$Q$79</c:f>
              <c:numCache>
                <c:formatCode>0.00%</c:formatCode>
                <c:ptCount val="4"/>
                <c:pt idx="1">
                  <c:v>0</c:v>
                </c:pt>
                <c:pt idx="2">
                  <c:v>0</c:v>
                </c:pt>
              </c:numCache>
            </c:numRef>
          </c:val>
          <c:smooth val="0"/>
          <c:extLst>
            <c:ext xmlns:c16="http://schemas.microsoft.com/office/drawing/2014/chart" uri="{C3380CC4-5D6E-409C-BE32-E72D297353CC}">
              <c16:uniqueId val="{00000001-1F0D-40D8-983F-7C72FDDA6E2E}"/>
            </c:ext>
          </c:extLst>
        </c:ser>
        <c:ser>
          <c:idx val="2"/>
          <c:order val="2"/>
          <c:spPr>
            <a:ln>
              <a:noFill/>
            </a:ln>
          </c:spPr>
          <c:marker>
            <c:symbol val="none"/>
          </c:marker>
          <c:dPt>
            <c:idx val="9"/>
            <c:bubble3D val="0"/>
            <c:extLst>
              <c:ext xmlns:c16="http://schemas.microsoft.com/office/drawing/2014/chart" uri="{C3380CC4-5D6E-409C-BE32-E72D297353CC}">
                <c16:uniqueId val="{00000002-1F0D-40D8-983F-7C72FDDA6E2E}"/>
              </c:ext>
            </c:extLst>
          </c:dPt>
          <c:val>
            <c:numRef>
              <c:f>'Bridge for 0301 NITS Changes'!$R$76:$R$79</c:f>
              <c:numCache>
                <c:formatCode>0.00%</c:formatCode>
                <c:ptCount val="4"/>
                <c:pt idx="1">
                  <c:v>0</c:v>
                </c:pt>
                <c:pt idx="2">
                  <c:v>0</c:v>
                </c:pt>
              </c:numCache>
            </c:numRef>
          </c:val>
          <c:smooth val="0"/>
          <c:extLst>
            <c:ext xmlns:c16="http://schemas.microsoft.com/office/drawing/2014/chart" uri="{C3380CC4-5D6E-409C-BE32-E72D297353CC}">
              <c16:uniqueId val="{00000003-1F0D-40D8-983F-7C72FDDA6E2E}"/>
            </c:ext>
          </c:extLst>
        </c:ser>
        <c:dLbls>
          <c:showLegendKey val="0"/>
          <c:showVal val="0"/>
          <c:showCatName val="0"/>
          <c:showSerName val="0"/>
          <c:showPercent val="0"/>
          <c:showBubbleSize val="0"/>
        </c:dLbls>
        <c:upDownBars>
          <c:gapWidth val="150"/>
          <c:upBars>
            <c:spPr>
              <a:solidFill>
                <a:srgbClr val="FF0000"/>
              </a:solidFill>
            </c:spPr>
          </c:upBars>
          <c:downBars>
            <c:spPr>
              <a:solidFill>
                <a:srgbClr val="00B050"/>
              </a:solidFill>
            </c:spPr>
          </c:downBars>
        </c:upDownBars>
        <c:marker val="1"/>
        <c:smooth val="0"/>
        <c:axId val="277718144"/>
        <c:axId val="277719680"/>
      </c:lineChart>
      <c:catAx>
        <c:axId val="277718144"/>
        <c:scaling>
          <c:orientation val="minMax"/>
        </c:scaling>
        <c:delete val="0"/>
        <c:axPos val="b"/>
        <c:numFmt formatCode="General" sourceLinked="0"/>
        <c:majorTickMark val="out"/>
        <c:minorTickMark val="cross"/>
        <c:tickLblPos val="nextTo"/>
        <c:txPr>
          <a:bodyPr/>
          <a:lstStyle/>
          <a:p>
            <a:pPr>
              <a:defRPr sz="1200" b="1"/>
            </a:pPr>
            <a:endParaRPr lang="en-US"/>
          </a:p>
        </c:txPr>
        <c:crossAx val="277719680"/>
        <c:crossesAt val="-2.0000000000000004E-2"/>
        <c:auto val="1"/>
        <c:lblAlgn val="ctr"/>
        <c:lblOffset val="100"/>
        <c:noMultiLvlLbl val="0"/>
      </c:catAx>
      <c:valAx>
        <c:axId val="277719680"/>
        <c:scaling>
          <c:orientation val="minMax"/>
          <c:min val="-2.0000000000000004E-2"/>
        </c:scaling>
        <c:delete val="0"/>
        <c:axPos val="l"/>
        <c:majorGridlines/>
        <c:numFmt formatCode="0%" sourceLinked="0"/>
        <c:majorTickMark val="out"/>
        <c:minorTickMark val="cross"/>
        <c:tickLblPos val="nextTo"/>
        <c:txPr>
          <a:bodyPr/>
          <a:lstStyle/>
          <a:p>
            <a:pPr>
              <a:defRPr sz="1400" b="1"/>
            </a:pPr>
            <a:endParaRPr lang="en-US"/>
          </a:p>
        </c:txPr>
        <c:crossAx val="277718144"/>
        <c:crossesAt val="1"/>
        <c:crossBetween val="between"/>
      </c:valAx>
    </c:plotArea>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LPL-S BGS-RSCP % of Total Annual </a:t>
            </a:r>
            <a:r>
              <a:rPr lang="en-US" baseline="0"/>
              <a:t>Cost</a:t>
            </a:r>
          </a:p>
          <a:p>
            <a:pPr>
              <a:defRPr/>
            </a:pPr>
            <a:r>
              <a:rPr lang="en-US" baseline="0"/>
              <a:t> Feb 1, 2016 to June 1, 2016</a:t>
            </a:r>
            <a:endParaRPr lang="en-US"/>
          </a:p>
        </c:rich>
      </c:tx>
      <c:layout>
        <c:manualLayout>
          <c:xMode val="edge"/>
          <c:yMode val="edge"/>
          <c:x val="0.19105242283819085"/>
          <c:y val="3.4146342920698333E-2"/>
        </c:manualLayout>
      </c:layout>
      <c:overlay val="0"/>
    </c:title>
    <c:autoTitleDeleted val="0"/>
    <c:plotArea>
      <c:layout>
        <c:manualLayout>
          <c:layoutTarget val="inner"/>
          <c:xMode val="edge"/>
          <c:yMode val="edge"/>
          <c:x val="5.2585954262099298E-2"/>
          <c:y val="0.20305691923508606"/>
          <c:w val="0.93333082651359067"/>
          <c:h val="0.63221789608936241"/>
        </c:manualLayout>
      </c:layout>
      <c:barChart>
        <c:barDir val="col"/>
        <c:grouping val="clustered"/>
        <c:varyColors val="0"/>
        <c:ser>
          <c:idx val="0"/>
          <c:order val="0"/>
          <c:spPr>
            <a:ln>
              <a:solidFill>
                <a:schemeClr val="tx1"/>
              </a:solidFill>
            </a:ln>
          </c:spPr>
          <c:invertIfNegative val="0"/>
          <c:cat>
            <c:strRef>
              <c:f>'Bridge for 0301 NITS Changes'!$N$104:$N$107</c:f>
              <c:strCache>
                <c:ptCount val="4"/>
                <c:pt idx="0">
                  <c:v>February 1</c:v>
                </c:pt>
                <c:pt idx="1">
                  <c:v>3/1 NITS TEC Adder</c:v>
                </c:pt>
                <c:pt idx="2">
                  <c:v>6/1 Estimated BGS Impact</c:v>
                </c:pt>
                <c:pt idx="3">
                  <c:v>June 1</c:v>
                </c:pt>
              </c:strCache>
            </c:strRef>
          </c:cat>
          <c:val>
            <c:numRef>
              <c:f>'Bridge for 0301 NITS Changes'!$P$104:$P$107</c:f>
              <c:numCache>
                <c:formatCode>_("$"* #,##0.00_);_("$"* \(#,##0.00\);_("$"* "-"??_);_(@_)</c:formatCode>
                <c:ptCount val="4"/>
                <c:pt idx="0">
                  <c:v>0</c:v>
                </c:pt>
                <c:pt idx="3" formatCode="0.00%">
                  <c:v>0</c:v>
                </c:pt>
              </c:numCache>
            </c:numRef>
          </c:val>
          <c:extLst>
            <c:ext xmlns:c16="http://schemas.microsoft.com/office/drawing/2014/chart" uri="{C3380CC4-5D6E-409C-BE32-E72D297353CC}">
              <c16:uniqueId val="{00000000-1AB7-4EB0-A4F9-26ED1CC54BB0}"/>
            </c:ext>
          </c:extLst>
        </c:ser>
        <c:dLbls>
          <c:showLegendKey val="0"/>
          <c:showVal val="0"/>
          <c:showCatName val="0"/>
          <c:showSerName val="0"/>
          <c:showPercent val="0"/>
          <c:showBubbleSize val="0"/>
        </c:dLbls>
        <c:gapWidth val="150"/>
        <c:axId val="277817984"/>
        <c:axId val="277823872"/>
      </c:barChart>
      <c:lineChart>
        <c:grouping val="standard"/>
        <c:varyColors val="0"/>
        <c:ser>
          <c:idx val="1"/>
          <c:order val="1"/>
          <c:spPr>
            <a:ln>
              <a:noFill/>
            </a:ln>
          </c:spPr>
          <c:marker>
            <c:symbol val="none"/>
          </c:marker>
          <c:val>
            <c:numRef>
              <c:f>'Bridge for 0301 NITS Changes'!$Q$104:$Q$107</c:f>
              <c:numCache>
                <c:formatCode>0.00%</c:formatCode>
                <c:ptCount val="4"/>
                <c:pt idx="1">
                  <c:v>0</c:v>
                </c:pt>
                <c:pt idx="2">
                  <c:v>0</c:v>
                </c:pt>
              </c:numCache>
            </c:numRef>
          </c:val>
          <c:smooth val="0"/>
          <c:extLst>
            <c:ext xmlns:c16="http://schemas.microsoft.com/office/drawing/2014/chart" uri="{C3380CC4-5D6E-409C-BE32-E72D297353CC}">
              <c16:uniqueId val="{00000001-1AB7-4EB0-A4F9-26ED1CC54BB0}"/>
            </c:ext>
          </c:extLst>
        </c:ser>
        <c:ser>
          <c:idx val="2"/>
          <c:order val="2"/>
          <c:spPr>
            <a:ln>
              <a:noFill/>
            </a:ln>
          </c:spPr>
          <c:marker>
            <c:symbol val="none"/>
          </c:marker>
          <c:dPt>
            <c:idx val="9"/>
            <c:bubble3D val="0"/>
            <c:extLst>
              <c:ext xmlns:c16="http://schemas.microsoft.com/office/drawing/2014/chart" uri="{C3380CC4-5D6E-409C-BE32-E72D297353CC}">
                <c16:uniqueId val="{00000002-1AB7-4EB0-A4F9-26ED1CC54BB0}"/>
              </c:ext>
            </c:extLst>
          </c:dPt>
          <c:val>
            <c:numRef>
              <c:f>'Bridge for 0301 NITS Changes'!$R$104:$R$107</c:f>
              <c:numCache>
                <c:formatCode>0.00%</c:formatCode>
                <c:ptCount val="4"/>
                <c:pt idx="1">
                  <c:v>0</c:v>
                </c:pt>
                <c:pt idx="2">
                  <c:v>0</c:v>
                </c:pt>
              </c:numCache>
            </c:numRef>
          </c:val>
          <c:smooth val="0"/>
          <c:extLst>
            <c:ext xmlns:c16="http://schemas.microsoft.com/office/drawing/2014/chart" uri="{C3380CC4-5D6E-409C-BE32-E72D297353CC}">
              <c16:uniqueId val="{00000003-1AB7-4EB0-A4F9-26ED1CC54BB0}"/>
            </c:ext>
          </c:extLst>
        </c:ser>
        <c:dLbls>
          <c:showLegendKey val="0"/>
          <c:showVal val="0"/>
          <c:showCatName val="0"/>
          <c:showSerName val="0"/>
          <c:showPercent val="0"/>
          <c:showBubbleSize val="0"/>
        </c:dLbls>
        <c:upDownBars>
          <c:gapWidth val="150"/>
          <c:upBars>
            <c:spPr>
              <a:solidFill>
                <a:srgbClr val="FF0000"/>
              </a:solidFill>
            </c:spPr>
          </c:upBars>
          <c:downBars>
            <c:spPr>
              <a:solidFill>
                <a:srgbClr val="00B050"/>
              </a:solidFill>
            </c:spPr>
          </c:downBars>
        </c:upDownBars>
        <c:marker val="1"/>
        <c:smooth val="0"/>
        <c:axId val="277817984"/>
        <c:axId val="277823872"/>
      </c:lineChart>
      <c:catAx>
        <c:axId val="277817984"/>
        <c:scaling>
          <c:orientation val="minMax"/>
        </c:scaling>
        <c:delete val="0"/>
        <c:axPos val="b"/>
        <c:numFmt formatCode="General" sourceLinked="0"/>
        <c:majorTickMark val="out"/>
        <c:minorTickMark val="cross"/>
        <c:tickLblPos val="nextTo"/>
        <c:txPr>
          <a:bodyPr/>
          <a:lstStyle/>
          <a:p>
            <a:pPr>
              <a:defRPr sz="1200" b="1"/>
            </a:pPr>
            <a:endParaRPr lang="en-US"/>
          </a:p>
        </c:txPr>
        <c:crossAx val="277823872"/>
        <c:crossesAt val="-2.0000000000000004E-2"/>
        <c:auto val="1"/>
        <c:lblAlgn val="ctr"/>
        <c:lblOffset val="100"/>
        <c:noMultiLvlLbl val="0"/>
      </c:catAx>
      <c:valAx>
        <c:axId val="277823872"/>
        <c:scaling>
          <c:orientation val="minMax"/>
          <c:min val="-2.0000000000000004E-2"/>
        </c:scaling>
        <c:delete val="0"/>
        <c:axPos val="l"/>
        <c:majorGridlines/>
        <c:numFmt formatCode="0%" sourceLinked="0"/>
        <c:majorTickMark val="out"/>
        <c:minorTickMark val="cross"/>
        <c:tickLblPos val="nextTo"/>
        <c:txPr>
          <a:bodyPr/>
          <a:lstStyle/>
          <a:p>
            <a:pPr>
              <a:defRPr sz="1400" b="1"/>
            </a:pPr>
            <a:endParaRPr lang="en-US"/>
          </a:p>
        </c:txPr>
        <c:crossAx val="277817984"/>
        <c:crossesAt val="1"/>
        <c:crossBetween val="between"/>
      </c:valAx>
    </c:plotArea>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RS BGS-RSCP  Total Annual </a:t>
            </a:r>
            <a:r>
              <a:rPr lang="en-US" baseline="0"/>
              <a:t>Cost </a:t>
            </a:r>
          </a:p>
          <a:p>
            <a:pPr>
              <a:defRPr/>
            </a:pPr>
            <a:r>
              <a:rPr lang="en-US" baseline="0"/>
              <a:t> Feb 1, 2016 to June 1, 2016</a:t>
            </a:r>
            <a:endParaRPr lang="en-US"/>
          </a:p>
        </c:rich>
      </c:tx>
      <c:layout>
        <c:manualLayout>
          <c:xMode val="edge"/>
          <c:yMode val="edge"/>
          <c:x val="0.17819658403141539"/>
          <c:y val="7.5880762045996289E-3"/>
        </c:manualLayout>
      </c:layout>
      <c:overlay val="0"/>
    </c:title>
    <c:autoTitleDeleted val="0"/>
    <c:plotArea>
      <c:layout>
        <c:manualLayout>
          <c:layoutTarget val="inner"/>
          <c:xMode val="edge"/>
          <c:yMode val="edge"/>
          <c:x val="0.13774627773088718"/>
          <c:y val="0.21083468704403172"/>
          <c:w val="0.93333082651359067"/>
          <c:h val="0.63221789608936241"/>
        </c:manualLayout>
      </c:layout>
      <c:barChart>
        <c:barDir val="col"/>
        <c:grouping val="clustered"/>
        <c:varyColors val="0"/>
        <c:ser>
          <c:idx val="0"/>
          <c:order val="0"/>
          <c:spPr>
            <a:ln>
              <a:solidFill>
                <a:schemeClr val="tx1"/>
              </a:solidFill>
            </a:ln>
          </c:spPr>
          <c:invertIfNegative val="0"/>
          <c:cat>
            <c:strRef>
              <c:f>'Bridge for 0301 NITS Changes'!$J$49:$J$51</c:f>
              <c:strCache>
                <c:ptCount val="3"/>
                <c:pt idx="0">
                  <c:v>February 1</c:v>
                </c:pt>
                <c:pt idx="1">
                  <c:v>3/1 NITS TEC Adder</c:v>
                </c:pt>
                <c:pt idx="2">
                  <c:v>6/1 Estimated BGS Impact</c:v>
                </c:pt>
              </c:strCache>
            </c:strRef>
          </c:cat>
          <c:val>
            <c:numRef>
              <c:f>'Bridge for 0301 NITS Changes'!$K$49:$K$51</c:f>
              <c:numCache>
                <c:formatCode>General</c:formatCode>
                <c:ptCount val="3"/>
              </c:numCache>
            </c:numRef>
          </c:val>
          <c:extLst>
            <c:ext xmlns:c16="http://schemas.microsoft.com/office/drawing/2014/chart" uri="{C3380CC4-5D6E-409C-BE32-E72D297353CC}">
              <c16:uniqueId val="{00000000-123A-4906-B56F-64DC21A13C45}"/>
            </c:ext>
          </c:extLst>
        </c:ser>
        <c:ser>
          <c:idx val="1"/>
          <c:order val="1"/>
          <c:spPr>
            <a:solidFill>
              <a:srgbClr val="161BF6"/>
            </a:solidFill>
            <a:ln>
              <a:noFill/>
            </a:ln>
          </c:spPr>
          <c:invertIfNegative val="0"/>
          <c:cat>
            <c:strRef>
              <c:f>'Bridge for 0301 NITS Changes'!$J$49:$J$51</c:f>
              <c:strCache>
                <c:ptCount val="3"/>
                <c:pt idx="0">
                  <c:v>February 1</c:v>
                </c:pt>
                <c:pt idx="1">
                  <c:v>3/1 NITS TEC Adder</c:v>
                </c:pt>
                <c:pt idx="2">
                  <c:v>6/1 Estimated BGS Impact</c:v>
                </c:pt>
              </c:strCache>
            </c:strRef>
          </c:cat>
          <c:val>
            <c:numRef>
              <c:f>'Bridge for 0301 NITS Changes'!$L$49:$L$51</c:f>
              <c:numCache>
                <c:formatCode>_("$"* #,##0.00_);_("$"* \(#,##0.00\);_("$"* "-"??_);_(@_)</c:formatCode>
                <c:ptCount val="3"/>
                <c:pt idx="0">
                  <c:v>0</c:v>
                </c:pt>
                <c:pt idx="1">
                  <c:v>0</c:v>
                </c:pt>
                <c:pt idx="2">
                  <c:v>0</c:v>
                </c:pt>
              </c:numCache>
            </c:numRef>
          </c:val>
          <c:extLst>
            <c:ext xmlns:c16="http://schemas.microsoft.com/office/drawing/2014/chart" uri="{C3380CC4-5D6E-409C-BE32-E72D297353CC}">
              <c16:uniqueId val="{00000001-123A-4906-B56F-64DC21A13C45}"/>
            </c:ext>
          </c:extLst>
        </c:ser>
        <c:dLbls>
          <c:showLegendKey val="0"/>
          <c:showVal val="0"/>
          <c:showCatName val="0"/>
          <c:showSerName val="0"/>
          <c:showPercent val="0"/>
          <c:showBubbleSize val="0"/>
        </c:dLbls>
        <c:gapWidth val="150"/>
        <c:axId val="277845888"/>
        <c:axId val="277847424"/>
      </c:barChart>
      <c:lineChart>
        <c:grouping val="standard"/>
        <c:varyColors val="0"/>
        <c:ser>
          <c:idx val="2"/>
          <c:order val="2"/>
          <c:spPr>
            <a:ln>
              <a:noFill/>
            </a:ln>
          </c:spPr>
          <c:marker>
            <c:symbol val="none"/>
          </c:marker>
          <c:dLbls>
            <c:dLbl>
              <c:idx val="0"/>
              <c:layout>
                <c:manualLayout>
                  <c:x val="9.5133146927162918E-2"/>
                  <c:y val="-0.260555804777820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3A-4906-B56F-64DC21A13C45}"/>
                </c:ext>
              </c:extLst>
            </c:dLbl>
            <c:dLbl>
              <c:idx val="1"/>
              <c:layout>
                <c:manualLayout>
                  <c:x val="8.7419243619610745E-2"/>
                  <c:y val="9.33333129192228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3A-4906-B56F-64DC21A13C45}"/>
                </c:ext>
              </c:extLst>
            </c:dLbl>
            <c:dLbl>
              <c:idx val="2"/>
              <c:layout>
                <c:manualLayout>
                  <c:x val="5.1423322663331304E-3"/>
                  <c:y val="-4.2777768421310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3A-4906-B56F-64DC21A13C45}"/>
                </c:ext>
              </c:extLst>
            </c:dLbl>
            <c:spPr>
              <a:solidFill>
                <a:schemeClr val="bg1"/>
              </a:solidFill>
              <a:ln>
                <a:solidFill>
                  <a:schemeClr val="accent1"/>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'Bridge for 0301 NITS Changes'!$J$49:$J$51</c:f>
              <c:strCache>
                <c:ptCount val="3"/>
                <c:pt idx="0">
                  <c:v>February 1</c:v>
                </c:pt>
                <c:pt idx="1">
                  <c:v>3/1 NITS TEC Adder</c:v>
                </c:pt>
                <c:pt idx="2">
                  <c:v>6/1 Estimated BGS Impact</c:v>
                </c:pt>
              </c:strCache>
            </c:strRef>
          </c:cat>
          <c:val>
            <c:numRef>
              <c:f>'Bridge for 0301 NITS Changes'!$M$49:$M$51</c:f>
              <c:numCache>
                <c:formatCode>0.00%</c:formatCode>
                <c:ptCount val="3"/>
                <c:pt idx="0">
                  <c:v>0</c:v>
                </c:pt>
                <c:pt idx="1">
                  <c:v>0</c:v>
                </c:pt>
                <c:pt idx="2">
                  <c:v>0</c:v>
                </c:pt>
              </c:numCache>
            </c:numRef>
          </c:val>
          <c:smooth val="0"/>
          <c:extLst>
            <c:ext xmlns:c16="http://schemas.microsoft.com/office/drawing/2014/chart" uri="{C3380CC4-5D6E-409C-BE32-E72D297353CC}">
              <c16:uniqueId val="{00000005-123A-4906-B56F-64DC21A13C45}"/>
            </c:ext>
          </c:extLst>
        </c:ser>
        <c:dLbls>
          <c:showLegendKey val="0"/>
          <c:showVal val="0"/>
          <c:showCatName val="0"/>
          <c:showSerName val="0"/>
          <c:showPercent val="0"/>
          <c:showBubbleSize val="0"/>
        </c:dLbls>
        <c:marker val="1"/>
        <c:smooth val="0"/>
        <c:axId val="277858944"/>
        <c:axId val="277857408"/>
      </c:lineChart>
      <c:catAx>
        <c:axId val="277845888"/>
        <c:scaling>
          <c:orientation val="minMax"/>
        </c:scaling>
        <c:delete val="0"/>
        <c:axPos val="b"/>
        <c:numFmt formatCode="General" sourceLinked="0"/>
        <c:majorTickMark val="out"/>
        <c:minorTickMark val="cross"/>
        <c:tickLblPos val="nextTo"/>
        <c:txPr>
          <a:bodyPr/>
          <a:lstStyle/>
          <a:p>
            <a:pPr>
              <a:defRPr sz="1200" b="1"/>
            </a:pPr>
            <a:endParaRPr lang="en-US"/>
          </a:p>
        </c:txPr>
        <c:crossAx val="277847424"/>
        <c:crossesAt val="-5.000000000000001E-2"/>
        <c:auto val="1"/>
        <c:lblAlgn val="ctr"/>
        <c:lblOffset val="100"/>
        <c:noMultiLvlLbl val="0"/>
      </c:catAx>
      <c:valAx>
        <c:axId val="277847424"/>
        <c:scaling>
          <c:orientation val="minMax"/>
        </c:scaling>
        <c:delete val="0"/>
        <c:axPos val="l"/>
        <c:majorGridlines/>
        <c:numFmt formatCode="&quot;$&quot;#,##0" sourceLinked="0"/>
        <c:majorTickMark val="out"/>
        <c:minorTickMark val="cross"/>
        <c:tickLblPos val="nextTo"/>
        <c:txPr>
          <a:bodyPr/>
          <a:lstStyle/>
          <a:p>
            <a:pPr>
              <a:defRPr sz="1400" b="1"/>
            </a:pPr>
            <a:endParaRPr lang="en-US"/>
          </a:p>
        </c:txPr>
        <c:crossAx val="277845888"/>
        <c:crossesAt val="1"/>
        <c:crossBetween val="between"/>
      </c:valAx>
      <c:valAx>
        <c:axId val="277857408"/>
        <c:scaling>
          <c:orientation val="minMax"/>
        </c:scaling>
        <c:delete val="0"/>
        <c:axPos val="r"/>
        <c:numFmt formatCode="0.00%" sourceLinked="1"/>
        <c:majorTickMark val="out"/>
        <c:minorTickMark val="none"/>
        <c:tickLblPos val="nextTo"/>
        <c:crossAx val="277858944"/>
        <c:crosses val="max"/>
        <c:crossBetween val="between"/>
      </c:valAx>
      <c:catAx>
        <c:axId val="277858944"/>
        <c:scaling>
          <c:orientation val="minMax"/>
        </c:scaling>
        <c:delete val="1"/>
        <c:axPos val="b"/>
        <c:numFmt formatCode="General" sourceLinked="1"/>
        <c:majorTickMark val="out"/>
        <c:minorTickMark val="none"/>
        <c:tickLblPos val="nextTo"/>
        <c:crossAx val="277857408"/>
        <c:crosses val="autoZero"/>
        <c:auto val="1"/>
        <c:lblAlgn val="ctr"/>
        <c:lblOffset val="100"/>
        <c:noMultiLvlLbl val="0"/>
      </c:cat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5" Type="http://schemas.openxmlformats.org/officeDocument/2006/relationships/chart" Target="../charts/chart16.xml"/><Relationship Id="rId4"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chart" Target="../charts/chart21.xml"/><Relationship Id="rId4"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18</xdr:col>
      <xdr:colOff>204106</xdr:colOff>
      <xdr:row>139</xdr:row>
      <xdr:rowOff>163285</xdr:rowOff>
    </xdr:from>
    <xdr:to>
      <xdr:col>40</xdr:col>
      <xdr:colOff>136072</xdr:colOff>
      <xdr:row>185</xdr:row>
      <xdr:rowOff>149679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163288</xdr:colOff>
      <xdr:row>158</xdr:row>
      <xdr:rowOff>54429</xdr:rowOff>
    </xdr:from>
    <xdr:to>
      <xdr:col>28</xdr:col>
      <xdr:colOff>244931</xdr:colOff>
      <xdr:row>160</xdr:row>
      <xdr:rowOff>68036</xdr:rowOff>
    </xdr:to>
    <xdr:sp macro="" textlink="">
      <xdr:nvSpPr>
        <xdr:cNvPr id="3" name="TextBox 1">
          <a:extLst>
            <a:ext uri="{FF2B5EF4-FFF2-40B4-BE49-F238E27FC236}">
              <a16:creationId xmlns:a16="http://schemas.microsoft.com/office/drawing/2014/main" id="{00000000-0008-0000-0000-000003000000}"/>
            </a:ext>
          </a:extLst>
        </xdr:cNvPr>
        <xdr:cNvSpPr txBox="1"/>
      </xdr:nvSpPr>
      <xdr:spPr>
        <a:xfrm>
          <a:off x="21223063" y="26689050"/>
          <a:ext cx="1300843" cy="0"/>
        </a:xfrm>
        <a:prstGeom prst="rect">
          <a:avLst/>
        </a:prstGeom>
        <a:gradFill>
          <a:gsLst>
            <a:gs pos="0">
              <a:schemeClr val="accent1">
                <a:tint val="66000"/>
                <a:satMod val="160000"/>
              </a:schemeClr>
            </a:gs>
            <a:gs pos="96000">
              <a:srgbClr val="D9E2F3"/>
            </a:gs>
            <a:gs pos="68000">
              <a:schemeClr val="accent1">
                <a:tint val="44500"/>
                <a:satMod val="160000"/>
              </a:schemeClr>
            </a:gs>
            <a:gs pos="100000">
              <a:schemeClr val="accent1">
                <a:tint val="23500"/>
                <a:satMod val="160000"/>
              </a:schemeClr>
            </a:gs>
          </a:gsLst>
          <a:lin ang="5400000" scaled="0"/>
        </a:gradFill>
        <a:ln>
          <a:solidFill>
            <a:schemeClr val="tx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800"/>
            <a:t>GLP: 1.20%</a:t>
          </a:r>
          <a:r>
            <a:rPr lang="en-US" sz="1800" baseline="0"/>
            <a:t> </a:t>
          </a:r>
          <a:endParaRPr lang="en-US" sz="1800"/>
        </a:p>
      </xdr:txBody>
    </xdr:sp>
    <xdr:clientData/>
  </xdr:twoCellAnchor>
  <xdr:twoCellAnchor>
    <xdr:from>
      <xdr:col>32</xdr:col>
      <xdr:colOff>557892</xdr:colOff>
      <xdr:row>162</xdr:row>
      <xdr:rowOff>136071</xdr:rowOff>
    </xdr:from>
    <xdr:to>
      <xdr:col>35</xdr:col>
      <xdr:colOff>108858</xdr:colOff>
      <xdr:row>164</xdr:row>
      <xdr:rowOff>149678</xdr:rowOff>
    </xdr:to>
    <xdr:sp macro="" textlink="">
      <xdr:nvSpPr>
        <xdr:cNvPr id="4" name="TextBox 1">
          <a:extLst>
            <a:ext uri="{FF2B5EF4-FFF2-40B4-BE49-F238E27FC236}">
              <a16:creationId xmlns:a16="http://schemas.microsoft.com/office/drawing/2014/main" id="{00000000-0008-0000-0000-000004000000}"/>
            </a:ext>
          </a:extLst>
        </xdr:cNvPr>
        <xdr:cNvSpPr txBox="1"/>
      </xdr:nvSpPr>
      <xdr:spPr>
        <a:xfrm>
          <a:off x="25275267" y="26689050"/>
          <a:ext cx="1379766" cy="0"/>
        </a:xfrm>
        <a:prstGeom prst="rect">
          <a:avLst/>
        </a:prstGeom>
        <a:gradFill>
          <a:gsLst>
            <a:gs pos="0">
              <a:schemeClr val="accent1">
                <a:tint val="66000"/>
                <a:satMod val="160000"/>
              </a:schemeClr>
            </a:gs>
            <a:gs pos="96000">
              <a:srgbClr val="D9E2F3"/>
            </a:gs>
            <a:gs pos="68000">
              <a:schemeClr val="accent1">
                <a:tint val="44500"/>
                <a:satMod val="160000"/>
              </a:schemeClr>
            </a:gs>
            <a:gs pos="100000">
              <a:schemeClr val="accent1">
                <a:tint val="23500"/>
                <a:satMod val="160000"/>
              </a:schemeClr>
            </a:gs>
          </a:gsLst>
          <a:lin ang="5400000" scaled="0"/>
        </a:gradFill>
        <a:ln>
          <a:solidFill>
            <a:schemeClr val="tx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800"/>
            <a:t>LPL-S: 0.21%</a:t>
          </a:r>
          <a:r>
            <a:rPr lang="en-US" sz="1800" baseline="0"/>
            <a:t> </a:t>
          </a:r>
          <a:endParaRPr lang="en-US" sz="1800"/>
        </a:p>
      </xdr:txBody>
    </xdr:sp>
    <xdr:clientData/>
  </xdr:twoCellAnchor>
  <xdr:twoCellAnchor>
    <xdr:from>
      <xdr:col>1</xdr:col>
      <xdr:colOff>435430</xdr:colOff>
      <xdr:row>139</xdr:row>
      <xdr:rowOff>63951</xdr:rowOff>
    </xdr:from>
    <xdr:to>
      <xdr:col>16</xdr:col>
      <xdr:colOff>517072</xdr:colOff>
      <xdr:row>179</xdr:row>
      <xdr:rowOff>122464</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381000</xdr:colOff>
      <xdr:row>148</xdr:row>
      <xdr:rowOff>81643</xdr:rowOff>
    </xdr:from>
    <xdr:to>
      <xdr:col>6</xdr:col>
      <xdr:colOff>394608</xdr:colOff>
      <xdr:row>174</xdr:row>
      <xdr:rowOff>0</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bwMode="auto">
        <a:xfrm flipV="1">
          <a:off x="8591550" y="26689050"/>
          <a:ext cx="13608" cy="0"/>
        </a:xfrm>
        <a:prstGeom prst="line">
          <a:avLst/>
        </a:prstGeom>
        <a:solidFill>
          <a:srgbClr xmlns:mc="http://schemas.openxmlformats.org/markup-compatibility/2006" xmlns:a14="http://schemas.microsoft.com/office/drawing/2010/main" val="FFFFFF" mc:Ignorable="a14" a14:legacySpreadsheetColorIndex="9"/>
        </a:solidFill>
        <a:ln w="31750" cap="flat" cmpd="sng" algn="ctr">
          <a:solidFill>
            <a:schemeClr val="accent6"/>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639538</xdr:colOff>
      <xdr:row>147</xdr:row>
      <xdr:rowOff>54428</xdr:rowOff>
    </xdr:from>
    <xdr:to>
      <xdr:col>9</xdr:col>
      <xdr:colOff>653144</xdr:colOff>
      <xdr:row>173</xdr:row>
      <xdr:rowOff>122464</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bwMode="auto">
        <a:xfrm flipH="1" flipV="1">
          <a:off x="11259913" y="26689050"/>
          <a:ext cx="13606" cy="0"/>
        </a:xfrm>
        <a:prstGeom prst="line">
          <a:avLst/>
        </a:prstGeom>
        <a:solidFill>
          <a:srgbClr xmlns:mc="http://schemas.openxmlformats.org/markup-compatibility/2006" xmlns:a14="http://schemas.microsoft.com/office/drawing/2010/main" val="FFFFFF" mc:Ignorable="a14" a14:legacySpreadsheetColorIndex="9"/>
        </a:solidFill>
        <a:ln w="31750" cap="flat" cmpd="sng" algn="ctr">
          <a:solidFill>
            <a:schemeClr val="tx1"/>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217714</xdr:colOff>
      <xdr:row>147</xdr:row>
      <xdr:rowOff>40822</xdr:rowOff>
    </xdr:from>
    <xdr:to>
      <xdr:col>6</xdr:col>
      <xdr:colOff>734786</xdr:colOff>
      <xdr:row>148</xdr:row>
      <xdr:rowOff>108857</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342414" y="26689050"/>
          <a:ext cx="1602922" cy="0"/>
        </a:xfrm>
        <a:prstGeom prst="rect">
          <a:avLst/>
        </a:prstGeom>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PS Calc:</a:t>
          </a:r>
          <a:r>
            <a:rPr lang="en-US" sz="1400" b="1" baseline="0"/>
            <a:t> $93.85</a:t>
          </a:r>
          <a:endParaRPr lang="en-US" sz="1400" b="1"/>
        </a:p>
      </xdr:txBody>
    </xdr:sp>
    <xdr:clientData/>
  </xdr:twoCellAnchor>
  <xdr:twoCellAnchor>
    <xdr:from>
      <xdr:col>9</xdr:col>
      <xdr:colOff>285750</xdr:colOff>
      <xdr:row>146</xdr:row>
      <xdr:rowOff>122466</xdr:rowOff>
    </xdr:from>
    <xdr:to>
      <xdr:col>11</xdr:col>
      <xdr:colOff>258536</xdr:colOff>
      <xdr:row>148</xdr:row>
      <xdr:rowOff>54428</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0906125" y="26689050"/>
          <a:ext cx="1268186" cy="0"/>
        </a:xfrm>
        <a:prstGeom prst="rect">
          <a:avLst/>
        </a:prstGeom>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UBS:</a:t>
          </a:r>
          <a:r>
            <a:rPr lang="en-US" sz="1400" b="1" baseline="0"/>
            <a:t> $100.55</a:t>
          </a:r>
          <a:endParaRPr lang="en-US" sz="1400" b="1"/>
        </a:p>
      </xdr:txBody>
    </xdr:sp>
    <xdr:clientData/>
  </xdr:twoCellAnchor>
  <xdr:twoCellAnchor>
    <xdr:from>
      <xdr:col>5</xdr:col>
      <xdr:colOff>557893</xdr:colOff>
      <xdr:row>149</xdr:row>
      <xdr:rowOff>95250</xdr:rowOff>
    </xdr:from>
    <xdr:to>
      <xdr:col>5</xdr:col>
      <xdr:colOff>571500</xdr:colOff>
      <xdr:row>173</xdr:row>
      <xdr:rowOff>122464</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bwMode="auto">
        <a:xfrm flipH="1" flipV="1">
          <a:off x="7682593" y="26689050"/>
          <a:ext cx="13607" cy="0"/>
        </a:xfrm>
        <a:prstGeom prst="line">
          <a:avLst/>
        </a:prstGeom>
        <a:solidFill>
          <a:srgbClr xmlns:mc="http://schemas.openxmlformats.org/markup-compatibility/2006" xmlns:a14="http://schemas.microsoft.com/office/drawing/2010/main" val="FFFFFF" mc:Ignorable="a14" a14:legacySpreadsheetColorIndex="9"/>
        </a:solidFill>
        <a:ln w="31750" cap="flat" cmpd="sng" algn="ctr">
          <a:solidFill>
            <a:schemeClr val="accent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285750</xdr:colOff>
      <xdr:row>150</xdr:row>
      <xdr:rowOff>68036</xdr:rowOff>
    </xdr:from>
    <xdr:to>
      <xdr:col>9</xdr:col>
      <xdr:colOff>285750</xdr:colOff>
      <xdr:row>173</xdr:row>
      <xdr:rowOff>136071</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bwMode="auto">
        <a:xfrm flipV="1">
          <a:off x="10906125" y="26689050"/>
          <a:ext cx="0" cy="0"/>
        </a:xfrm>
        <a:prstGeom prst="line">
          <a:avLst/>
        </a:prstGeom>
        <a:solidFill>
          <a:srgbClr xmlns:mc="http://schemas.openxmlformats.org/markup-compatibility/2006" xmlns:a14="http://schemas.microsoft.com/office/drawing/2010/main" val="FFFFFF" mc:Ignorable="a14" a14:legacySpreadsheetColorIndex="9"/>
        </a:solidFill>
        <a:ln w="31750" cap="flat" cmpd="sng" algn="ctr">
          <a:solidFill>
            <a:schemeClr val="accent5"/>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108858</xdr:colOff>
      <xdr:row>149</xdr:row>
      <xdr:rowOff>108859</xdr:rowOff>
    </xdr:from>
    <xdr:to>
      <xdr:col>5</xdr:col>
      <xdr:colOff>707570</xdr:colOff>
      <xdr:row>151</xdr:row>
      <xdr:rowOff>40821</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6395358" y="26689050"/>
          <a:ext cx="1436912" cy="0"/>
        </a:xfrm>
        <a:prstGeom prst="rect">
          <a:avLst/>
        </a:prstGeom>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2013:</a:t>
          </a:r>
          <a:r>
            <a:rPr lang="en-US" sz="1400" b="1" baseline="0"/>
            <a:t> $92.18</a:t>
          </a:r>
          <a:endParaRPr lang="en-US" sz="1400" b="1"/>
        </a:p>
      </xdr:txBody>
    </xdr:sp>
    <xdr:clientData/>
  </xdr:twoCellAnchor>
  <xdr:twoCellAnchor>
    <xdr:from>
      <xdr:col>8</xdr:col>
      <xdr:colOff>163286</xdr:colOff>
      <xdr:row>149</xdr:row>
      <xdr:rowOff>81642</xdr:rowOff>
    </xdr:from>
    <xdr:to>
      <xdr:col>9</xdr:col>
      <xdr:colOff>381001</xdr:colOff>
      <xdr:row>150</xdr:row>
      <xdr:rowOff>149679</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9859736" y="26689050"/>
          <a:ext cx="1141640" cy="0"/>
        </a:xfrm>
        <a:prstGeom prst="rect">
          <a:avLst/>
        </a:prstGeom>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2015:</a:t>
          </a:r>
          <a:r>
            <a:rPr lang="en-US" sz="1400" b="1" baseline="0"/>
            <a:t> $99.54</a:t>
          </a:r>
          <a:endParaRPr lang="en-US" sz="1400" b="1"/>
        </a:p>
      </xdr:txBody>
    </xdr:sp>
    <xdr:clientData/>
  </xdr:twoCellAnchor>
  <xdr:twoCellAnchor>
    <xdr:from>
      <xdr:col>1</xdr:col>
      <xdr:colOff>1</xdr:colOff>
      <xdr:row>80</xdr:row>
      <xdr:rowOff>0</xdr:rowOff>
    </xdr:from>
    <xdr:to>
      <xdr:col>2</xdr:col>
      <xdr:colOff>925286</xdr:colOff>
      <xdr:row>100</xdr:row>
      <xdr:rowOff>81643</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762000</xdr:colOff>
      <xdr:row>110</xdr:row>
      <xdr:rowOff>40822</xdr:rowOff>
    </xdr:from>
    <xdr:to>
      <xdr:col>2</xdr:col>
      <xdr:colOff>938893</xdr:colOff>
      <xdr:row>130</xdr:row>
      <xdr:rowOff>122464</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53</xdr:row>
      <xdr:rowOff>0</xdr:rowOff>
    </xdr:from>
    <xdr:to>
      <xdr:col>2</xdr:col>
      <xdr:colOff>884464</xdr:colOff>
      <xdr:row>73</xdr:row>
      <xdr:rowOff>27215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925286</xdr:colOff>
      <xdr:row>53</xdr:row>
      <xdr:rowOff>27214</xdr:rowOff>
    </xdr:from>
    <xdr:to>
      <xdr:col>8</xdr:col>
      <xdr:colOff>517072</xdr:colOff>
      <xdr:row>73</xdr:row>
      <xdr:rowOff>27215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80</xdr:row>
      <xdr:rowOff>0</xdr:rowOff>
    </xdr:from>
    <xdr:to>
      <xdr:col>8</xdr:col>
      <xdr:colOff>544286</xdr:colOff>
      <xdr:row>100</xdr:row>
      <xdr:rowOff>81642</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68035</xdr:colOff>
      <xdr:row>110</xdr:row>
      <xdr:rowOff>40821</xdr:rowOff>
    </xdr:from>
    <xdr:to>
      <xdr:col>8</xdr:col>
      <xdr:colOff>612321</xdr:colOff>
      <xdr:row>130</xdr:row>
      <xdr:rowOff>122464</xdr:rowOff>
    </xdr:to>
    <xdr:graphicFrame macro="">
      <xdr:nvGraphicFramePr>
        <xdr:cNvPr id="19" name="Chart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53</xdr:row>
      <xdr:rowOff>0</xdr:rowOff>
    </xdr:from>
    <xdr:to>
      <xdr:col>15</xdr:col>
      <xdr:colOff>285750</xdr:colOff>
      <xdr:row>73</xdr:row>
      <xdr:rowOff>1</xdr:rowOff>
    </xdr:to>
    <xdr:graphicFrame macro="">
      <xdr:nvGraphicFramePr>
        <xdr:cNvPr id="20" name="Chart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80</xdr:row>
      <xdr:rowOff>0</xdr:rowOff>
    </xdr:from>
    <xdr:to>
      <xdr:col>15</xdr:col>
      <xdr:colOff>285750</xdr:colOff>
      <xdr:row>100</xdr:row>
      <xdr:rowOff>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110</xdr:row>
      <xdr:rowOff>0</xdr:rowOff>
    </xdr:from>
    <xdr:to>
      <xdr:col>15</xdr:col>
      <xdr:colOff>285750</xdr:colOff>
      <xdr:row>130</xdr:row>
      <xdr:rowOff>1</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0.78137</cdr:x>
      <cdr:y>0.49187</cdr:y>
    </cdr:from>
    <cdr:to>
      <cdr:x>0.86675</cdr:x>
      <cdr:y>0.56098</cdr:y>
    </cdr:to>
    <cdr:sp macro="" textlink="">
      <cdr:nvSpPr>
        <cdr:cNvPr id="10" name="TextBox 9"/>
        <cdr:cNvSpPr txBox="1"/>
      </cdr:nvSpPr>
      <cdr:spPr>
        <a:xfrm xmlns:a="http://schemas.openxmlformats.org/drawingml/2006/main">
          <a:off x="8218714" y="1646464"/>
          <a:ext cx="898072" cy="231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0.78137</cdr:x>
      <cdr:y>0.49187</cdr:y>
    </cdr:from>
    <cdr:to>
      <cdr:x>0.86675</cdr:x>
      <cdr:y>0.56098</cdr:y>
    </cdr:to>
    <cdr:sp macro="" textlink="">
      <cdr:nvSpPr>
        <cdr:cNvPr id="2" name="TextBox 9"/>
        <cdr:cNvSpPr txBox="1"/>
      </cdr:nvSpPr>
      <cdr:spPr>
        <a:xfrm xmlns:a="http://schemas.openxmlformats.org/drawingml/2006/main">
          <a:off x="8218714" y="1646464"/>
          <a:ext cx="898072" cy="231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0.3719</cdr:x>
      <cdr:y>0.50417</cdr:y>
    </cdr:from>
    <cdr:to>
      <cdr:x>0.52893</cdr:x>
      <cdr:y>0.66667</cdr:y>
    </cdr:to>
    <cdr:cxnSp macro="">
      <cdr:nvCxnSpPr>
        <cdr:cNvPr id="4" name="Elbow Connector 3">
          <a:extLst xmlns:a="http://schemas.openxmlformats.org/drawingml/2006/main">
            <a:ext uri="{FF2B5EF4-FFF2-40B4-BE49-F238E27FC236}">
              <a16:creationId xmlns:a16="http://schemas.microsoft.com/office/drawing/2014/main" id="{551E13F1-759C-448A-A292-9EC83C0565C0}"/>
            </a:ext>
          </a:extLst>
        </cdr:cNvPr>
        <cdr:cNvCxnSpPr/>
      </cdr:nvCxnSpPr>
      <cdr:spPr bwMode="auto">
        <a:xfrm xmlns:a="http://schemas.openxmlformats.org/drawingml/2006/main" flipV="1">
          <a:off x="1836964" y="1646464"/>
          <a:ext cx="775608" cy="530679"/>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0.60606</cdr:x>
      <cdr:y>0.31667</cdr:y>
    </cdr:from>
    <cdr:to>
      <cdr:x>0.7686</cdr:x>
      <cdr:y>0.49583</cdr:y>
    </cdr:to>
    <cdr:cxnSp macro="">
      <cdr:nvCxnSpPr>
        <cdr:cNvPr id="6" name="Elbow Connector 5">
          <a:extLst xmlns:a="http://schemas.openxmlformats.org/drawingml/2006/main">
            <a:ext uri="{FF2B5EF4-FFF2-40B4-BE49-F238E27FC236}">
              <a16:creationId xmlns:a16="http://schemas.microsoft.com/office/drawing/2014/main" id="{03E3BC39-E97A-42FA-87FC-BC44FAFCE102}"/>
            </a:ext>
          </a:extLst>
        </cdr:cNvPr>
        <cdr:cNvCxnSpPr/>
      </cdr:nvCxnSpPr>
      <cdr:spPr bwMode="auto">
        <a:xfrm xmlns:a="http://schemas.openxmlformats.org/drawingml/2006/main" flipV="1">
          <a:off x="2993565" y="1034154"/>
          <a:ext cx="802849" cy="585085"/>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1.xml><?xml version="1.0" encoding="utf-8"?>
<xdr:wsDr xmlns:xdr="http://schemas.openxmlformats.org/drawingml/2006/spreadsheetDrawing" xmlns:a="http://schemas.openxmlformats.org/drawingml/2006/main">
  <xdr:twoCellAnchor>
    <xdr:from>
      <xdr:col>18</xdr:col>
      <xdr:colOff>204106</xdr:colOff>
      <xdr:row>165</xdr:row>
      <xdr:rowOff>163285</xdr:rowOff>
    </xdr:from>
    <xdr:to>
      <xdr:col>40</xdr:col>
      <xdr:colOff>136072</xdr:colOff>
      <xdr:row>211</xdr:row>
      <xdr:rowOff>149679</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163288</xdr:colOff>
      <xdr:row>184</xdr:row>
      <xdr:rowOff>54429</xdr:rowOff>
    </xdr:from>
    <xdr:to>
      <xdr:col>28</xdr:col>
      <xdr:colOff>244931</xdr:colOff>
      <xdr:row>186</xdr:row>
      <xdr:rowOff>68036</xdr:rowOff>
    </xdr:to>
    <xdr:sp macro="" textlink="">
      <xdr:nvSpPr>
        <xdr:cNvPr id="3" name="TextBox 1">
          <a:extLst>
            <a:ext uri="{FF2B5EF4-FFF2-40B4-BE49-F238E27FC236}">
              <a16:creationId xmlns:a16="http://schemas.microsoft.com/office/drawing/2014/main" id="{00000000-0008-0000-0100-000003000000}"/>
            </a:ext>
          </a:extLst>
        </xdr:cNvPr>
        <xdr:cNvSpPr txBox="1"/>
      </xdr:nvSpPr>
      <xdr:spPr>
        <a:xfrm>
          <a:off x="21223063" y="25098375"/>
          <a:ext cx="1300843" cy="0"/>
        </a:xfrm>
        <a:prstGeom prst="rect">
          <a:avLst/>
        </a:prstGeom>
        <a:gradFill>
          <a:gsLst>
            <a:gs pos="0">
              <a:schemeClr val="accent1">
                <a:tint val="66000"/>
                <a:satMod val="160000"/>
              </a:schemeClr>
            </a:gs>
            <a:gs pos="96000">
              <a:srgbClr val="D9E2F3"/>
            </a:gs>
            <a:gs pos="68000">
              <a:schemeClr val="accent1">
                <a:tint val="44500"/>
                <a:satMod val="160000"/>
              </a:schemeClr>
            </a:gs>
            <a:gs pos="100000">
              <a:schemeClr val="accent1">
                <a:tint val="23500"/>
                <a:satMod val="160000"/>
              </a:schemeClr>
            </a:gs>
          </a:gsLst>
          <a:lin ang="5400000" scaled="0"/>
        </a:gradFill>
        <a:ln>
          <a:solidFill>
            <a:schemeClr val="tx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800"/>
            <a:t>GLP: 1.20%</a:t>
          </a:r>
          <a:r>
            <a:rPr lang="en-US" sz="1800" baseline="0"/>
            <a:t> </a:t>
          </a:r>
          <a:endParaRPr lang="en-US" sz="1800"/>
        </a:p>
      </xdr:txBody>
    </xdr:sp>
    <xdr:clientData/>
  </xdr:twoCellAnchor>
  <xdr:twoCellAnchor>
    <xdr:from>
      <xdr:col>32</xdr:col>
      <xdr:colOff>557892</xdr:colOff>
      <xdr:row>188</xdr:row>
      <xdr:rowOff>136071</xdr:rowOff>
    </xdr:from>
    <xdr:to>
      <xdr:col>35</xdr:col>
      <xdr:colOff>108858</xdr:colOff>
      <xdr:row>190</xdr:row>
      <xdr:rowOff>149678</xdr:rowOff>
    </xdr:to>
    <xdr:sp macro="" textlink="">
      <xdr:nvSpPr>
        <xdr:cNvPr id="4" name="TextBox 1">
          <a:extLst>
            <a:ext uri="{FF2B5EF4-FFF2-40B4-BE49-F238E27FC236}">
              <a16:creationId xmlns:a16="http://schemas.microsoft.com/office/drawing/2014/main" id="{00000000-0008-0000-0100-000004000000}"/>
            </a:ext>
          </a:extLst>
        </xdr:cNvPr>
        <xdr:cNvSpPr txBox="1"/>
      </xdr:nvSpPr>
      <xdr:spPr>
        <a:xfrm>
          <a:off x="25275267" y="25098375"/>
          <a:ext cx="1379766" cy="0"/>
        </a:xfrm>
        <a:prstGeom prst="rect">
          <a:avLst/>
        </a:prstGeom>
        <a:gradFill>
          <a:gsLst>
            <a:gs pos="0">
              <a:schemeClr val="accent1">
                <a:tint val="66000"/>
                <a:satMod val="160000"/>
              </a:schemeClr>
            </a:gs>
            <a:gs pos="96000">
              <a:srgbClr val="D9E2F3"/>
            </a:gs>
            <a:gs pos="68000">
              <a:schemeClr val="accent1">
                <a:tint val="44500"/>
                <a:satMod val="160000"/>
              </a:schemeClr>
            </a:gs>
            <a:gs pos="100000">
              <a:schemeClr val="accent1">
                <a:tint val="23500"/>
                <a:satMod val="160000"/>
              </a:schemeClr>
            </a:gs>
          </a:gsLst>
          <a:lin ang="5400000" scaled="0"/>
        </a:gradFill>
        <a:ln>
          <a:solidFill>
            <a:schemeClr val="tx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800"/>
            <a:t>LPL-S: 0.21%</a:t>
          </a:r>
          <a:r>
            <a:rPr lang="en-US" sz="1800" baseline="0"/>
            <a:t> </a:t>
          </a:r>
          <a:endParaRPr lang="en-US" sz="1800"/>
        </a:p>
      </xdr:txBody>
    </xdr:sp>
    <xdr:clientData/>
  </xdr:twoCellAnchor>
  <xdr:twoCellAnchor>
    <xdr:from>
      <xdr:col>1</xdr:col>
      <xdr:colOff>435430</xdr:colOff>
      <xdr:row>165</xdr:row>
      <xdr:rowOff>63951</xdr:rowOff>
    </xdr:from>
    <xdr:to>
      <xdr:col>16</xdr:col>
      <xdr:colOff>517072</xdr:colOff>
      <xdr:row>205</xdr:row>
      <xdr:rowOff>122464</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381000</xdr:colOff>
      <xdr:row>174</xdr:row>
      <xdr:rowOff>81643</xdr:rowOff>
    </xdr:from>
    <xdr:to>
      <xdr:col>6</xdr:col>
      <xdr:colOff>394608</xdr:colOff>
      <xdr:row>200</xdr:row>
      <xdr:rowOff>0</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bwMode="auto">
        <a:xfrm flipV="1">
          <a:off x="8591550" y="25098375"/>
          <a:ext cx="13608" cy="0"/>
        </a:xfrm>
        <a:prstGeom prst="line">
          <a:avLst/>
        </a:prstGeom>
        <a:solidFill>
          <a:srgbClr xmlns:mc="http://schemas.openxmlformats.org/markup-compatibility/2006" xmlns:a14="http://schemas.microsoft.com/office/drawing/2010/main" val="FFFFFF" mc:Ignorable="a14" a14:legacySpreadsheetColorIndex="9"/>
        </a:solidFill>
        <a:ln w="31750" cap="flat" cmpd="sng" algn="ctr">
          <a:solidFill>
            <a:schemeClr val="accent6"/>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639538</xdr:colOff>
      <xdr:row>173</xdr:row>
      <xdr:rowOff>54428</xdr:rowOff>
    </xdr:from>
    <xdr:to>
      <xdr:col>9</xdr:col>
      <xdr:colOff>653144</xdr:colOff>
      <xdr:row>199</xdr:row>
      <xdr:rowOff>122464</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bwMode="auto">
        <a:xfrm flipH="1" flipV="1">
          <a:off x="11259913" y="25098375"/>
          <a:ext cx="13606" cy="0"/>
        </a:xfrm>
        <a:prstGeom prst="line">
          <a:avLst/>
        </a:prstGeom>
        <a:solidFill>
          <a:srgbClr xmlns:mc="http://schemas.openxmlformats.org/markup-compatibility/2006" xmlns:a14="http://schemas.microsoft.com/office/drawing/2010/main" val="FFFFFF" mc:Ignorable="a14" a14:legacySpreadsheetColorIndex="9"/>
        </a:solidFill>
        <a:ln w="31750" cap="flat" cmpd="sng" algn="ctr">
          <a:solidFill>
            <a:schemeClr val="tx1"/>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217714</xdr:colOff>
      <xdr:row>173</xdr:row>
      <xdr:rowOff>40822</xdr:rowOff>
    </xdr:from>
    <xdr:to>
      <xdr:col>6</xdr:col>
      <xdr:colOff>734786</xdr:colOff>
      <xdr:row>174</xdr:row>
      <xdr:rowOff>108857</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7342414" y="25098375"/>
          <a:ext cx="1602922" cy="0"/>
        </a:xfrm>
        <a:prstGeom prst="rect">
          <a:avLst/>
        </a:prstGeom>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PS Calc:</a:t>
          </a:r>
          <a:r>
            <a:rPr lang="en-US" sz="1400" b="1" baseline="0"/>
            <a:t> $93.85</a:t>
          </a:r>
          <a:endParaRPr lang="en-US" sz="1400" b="1"/>
        </a:p>
      </xdr:txBody>
    </xdr:sp>
    <xdr:clientData/>
  </xdr:twoCellAnchor>
  <xdr:twoCellAnchor>
    <xdr:from>
      <xdr:col>9</xdr:col>
      <xdr:colOff>285750</xdr:colOff>
      <xdr:row>172</xdr:row>
      <xdr:rowOff>122466</xdr:rowOff>
    </xdr:from>
    <xdr:to>
      <xdr:col>11</xdr:col>
      <xdr:colOff>258536</xdr:colOff>
      <xdr:row>174</xdr:row>
      <xdr:rowOff>54428</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0906125" y="25098375"/>
          <a:ext cx="1268186" cy="0"/>
        </a:xfrm>
        <a:prstGeom prst="rect">
          <a:avLst/>
        </a:prstGeom>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UBS:</a:t>
          </a:r>
          <a:r>
            <a:rPr lang="en-US" sz="1400" b="1" baseline="0"/>
            <a:t> $100.55</a:t>
          </a:r>
          <a:endParaRPr lang="en-US" sz="1400" b="1"/>
        </a:p>
      </xdr:txBody>
    </xdr:sp>
    <xdr:clientData/>
  </xdr:twoCellAnchor>
  <xdr:twoCellAnchor>
    <xdr:from>
      <xdr:col>5</xdr:col>
      <xdr:colOff>557893</xdr:colOff>
      <xdr:row>175</xdr:row>
      <xdr:rowOff>95250</xdr:rowOff>
    </xdr:from>
    <xdr:to>
      <xdr:col>5</xdr:col>
      <xdr:colOff>571500</xdr:colOff>
      <xdr:row>199</xdr:row>
      <xdr:rowOff>122464</xdr:rowOff>
    </xdr:to>
    <xdr:cxnSp macro="">
      <xdr:nvCxnSpPr>
        <xdr:cNvPr id="10" name="Straight Connector 9">
          <a:extLst>
            <a:ext uri="{FF2B5EF4-FFF2-40B4-BE49-F238E27FC236}">
              <a16:creationId xmlns:a16="http://schemas.microsoft.com/office/drawing/2014/main" id="{00000000-0008-0000-0100-00000A000000}"/>
            </a:ext>
          </a:extLst>
        </xdr:cNvPr>
        <xdr:cNvCxnSpPr/>
      </xdr:nvCxnSpPr>
      <xdr:spPr bwMode="auto">
        <a:xfrm flipH="1" flipV="1">
          <a:off x="7682593" y="25098375"/>
          <a:ext cx="13607" cy="0"/>
        </a:xfrm>
        <a:prstGeom prst="line">
          <a:avLst/>
        </a:prstGeom>
        <a:solidFill>
          <a:srgbClr xmlns:mc="http://schemas.openxmlformats.org/markup-compatibility/2006" xmlns:a14="http://schemas.microsoft.com/office/drawing/2010/main" val="FFFFFF" mc:Ignorable="a14" a14:legacySpreadsheetColorIndex="9"/>
        </a:solidFill>
        <a:ln w="31750" cap="flat" cmpd="sng" algn="ctr">
          <a:solidFill>
            <a:schemeClr val="accent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285750</xdr:colOff>
      <xdr:row>176</xdr:row>
      <xdr:rowOff>68036</xdr:rowOff>
    </xdr:from>
    <xdr:to>
      <xdr:col>9</xdr:col>
      <xdr:colOff>285750</xdr:colOff>
      <xdr:row>199</xdr:row>
      <xdr:rowOff>136071</xdr:rowOff>
    </xdr:to>
    <xdr:cxnSp macro="">
      <xdr:nvCxnSpPr>
        <xdr:cNvPr id="11" name="Straight Connector 10">
          <a:extLst>
            <a:ext uri="{FF2B5EF4-FFF2-40B4-BE49-F238E27FC236}">
              <a16:creationId xmlns:a16="http://schemas.microsoft.com/office/drawing/2014/main" id="{00000000-0008-0000-0100-00000B000000}"/>
            </a:ext>
          </a:extLst>
        </xdr:cNvPr>
        <xdr:cNvCxnSpPr/>
      </xdr:nvCxnSpPr>
      <xdr:spPr bwMode="auto">
        <a:xfrm flipV="1">
          <a:off x="10906125" y="25098375"/>
          <a:ext cx="0" cy="0"/>
        </a:xfrm>
        <a:prstGeom prst="line">
          <a:avLst/>
        </a:prstGeom>
        <a:solidFill>
          <a:srgbClr xmlns:mc="http://schemas.openxmlformats.org/markup-compatibility/2006" xmlns:a14="http://schemas.microsoft.com/office/drawing/2010/main" val="FFFFFF" mc:Ignorable="a14" a14:legacySpreadsheetColorIndex="9"/>
        </a:solidFill>
        <a:ln w="31750" cap="flat" cmpd="sng" algn="ctr">
          <a:solidFill>
            <a:schemeClr val="accent5"/>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108858</xdr:colOff>
      <xdr:row>175</xdr:row>
      <xdr:rowOff>108859</xdr:rowOff>
    </xdr:from>
    <xdr:to>
      <xdr:col>5</xdr:col>
      <xdr:colOff>707570</xdr:colOff>
      <xdr:row>177</xdr:row>
      <xdr:rowOff>40821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6395358" y="25098375"/>
          <a:ext cx="1436912" cy="0"/>
        </a:xfrm>
        <a:prstGeom prst="rect">
          <a:avLst/>
        </a:prstGeom>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2013:</a:t>
          </a:r>
          <a:r>
            <a:rPr lang="en-US" sz="1400" b="1" baseline="0"/>
            <a:t> $92.18</a:t>
          </a:r>
          <a:endParaRPr lang="en-US" sz="1400" b="1"/>
        </a:p>
      </xdr:txBody>
    </xdr:sp>
    <xdr:clientData/>
  </xdr:twoCellAnchor>
  <xdr:twoCellAnchor>
    <xdr:from>
      <xdr:col>8</xdr:col>
      <xdr:colOff>163286</xdr:colOff>
      <xdr:row>175</xdr:row>
      <xdr:rowOff>81642</xdr:rowOff>
    </xdr:from>
    <xdr:to>
      <xdr:col>9</xdr:col>
      <xdr:colOff>381001</xdr:colOff>
      <xdr:row>176</xdr:row>
      <xdr:rowOff>149679</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9859736" y="25098375"/>
          <a:ext cx="1141640" cy="0"/>
        </a:xfrm>
        <a:prstGeom prst="rect">
          <a:avLst/>
        </a:prstGeom>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2015:</a:t>
          </a:r>
          <a:r>
            <a:rPr lang="en-US" sz="1400" b="1" baseline="0"/>
            <a:t> $99.54</a:t>
          </a:r>
          <a:endParaRPr lang="en-US" sz="1400" b="1"/>
        </a:p>
      </xdr:txBody>
    </xdr:sp>
    <xdr:clientData/>
  </xdr:twoCellAnchor>
  <xdr:twoCellAnchor>
    <xdr:from>
      <xdr:col>1</xdr:col>
      <xdr:colOff>0</xdr:colOff>
      <xdr:row>100</xdr:row>
      <xdr:rowOff>0</xdr:rowOff>
    </xdr:from>
    <xdr:to>
      <xdr:col>10</xdr:col>
      <xdr:colOff>285749</xdr:colOff>
      <xdr:row>120</xdr:row>
      <xdr:rowOff>81643</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762000</xdr:colOff>
      <xdr:row>136</xdr:row>
      <xdr:rowOff>40822</xdr:rowOff>
    </xdr:from>
    <xdr:to>
      <xdr:col>10</xdr:col>
      <xdr:colOff>272142</xdr:colOff>
      <xdr:row>156</xdr:row>
      <xdr:rowOff>122464</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65</xdr:row>
      <xdr:rowOff>0</xdr:rowOff>
    </xdr:from>
    <xdr:to>
      <xdr:col>10</xdr:col>
      <xdr:colOff>285749</xdr:colOff>
      <xdr:row>85</xdr:row>
      <xdr:rowOff>81643</xdr:rowOff>
    </xdr:to>
    <xdr:graphicFrame macro="">
      <xdr:nvGraphicFramePr>
        <xdr:cNvPr id="16" name="Chart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0.06565</cdr:x>
      <cdr:y>0.43739</cdr:y>
    </cdr:from>
    <cdr:to>
      <cdr:x>0.15465</cdr:x>
      <cdr:y>0.48276</cdr:y>
    </cdr:to>
    <cdr:sp macro="" textlink="">
      <cdr:nvSpPr>
        <cdr:cNvPr id="2" name="TextBox 1"/>
        <cdr:cNvSpPr txBox="1"/>
      </cdr:nvSpPr>
      <cdr:spPr>
        <a:xfrm xmlns:a="http://schemas.openxmlformats.org/drawingml/2006/main">
          <a:off x="879906" y="3279324"/>
          <a:ext cx="1192940" cy="340178"/>
        </a:xfrm>
        <a:prstGeom xmlns:a="http://schemas.openxmlformats.org/drawingml/2006/main" prst="rect">
          <a:avLst/>
        </a:prstGeom>
        <a:gradFill xmlns:a="http://schemas.openxmlformats.org/drawingml/2006/main">
          <a:gsLst>
            <a:gs pos="0">
              <a:schemeClr val="accent1">
                <a:tint val="66000"/>
                <a:satMod val="160000"/>
              </a:schemeClr>
            </a:gs>
            <a:gs pos="96000">
              <a:srgbClr val="D9E2F3"/>
            </a:gs>
            <a:gs pos="68000">
              <a:schemeClr val="accent1">
                <a:tint val="44500"/>
                <a:satMod val="160000"/>
              </a:schemeClr>
            </a:gs>
            <a:gs pos="100000">
              <a:schemeClr val="accent1">
                <a:tint val="23500"/>
                <a:satMod val="160000"/>
              </a:schemeClr>
            </a:gs>
          </a:gsLst>
          <a:lin ang="5400000" scaled="0"/>
        </a:gra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en-US" sz="1800"/>
            <a:t>RS:</a:t>
          </a:r>
          <a:r>
            <a:rPr lang="en-US" sz="1800" baseline="0"/>
            <a:t> 0.73%</a:t>
          </a:r>
          <a:endParaRPr lang="en-US" sz="1800"/>
        </a:p>
      </cdr:txBody>
    </cdr:sp>
  </cdr:relSizeAnchor>
  <cdr:relSizeAnchor xmlns:cdr="http://schemas.openxmlformats.org/drawingml/2006/chartDrawing">
    <cdr:from>
      <cdr:x>0.06073</cdr:x>
      <cdr:y>0.54809</cdr:y>
    </cdr:from>
    <cdr:to>
      <cdr:x>0.98325</cdr:x>
      <cdr:y>0.54991</cdr:y>
    </cdr:to>
    <cdr:cxnSp macro="">
      <cdr:nvCxnSpPr>
        <cdr:cNvPr id="4" name="Straight Connector 3">
          <a:extLst xmlns:a="http://schemas.openxmlformats.org/drawingml/2006/main">
            <a:ext uri="{FF2B5EF4-FFF2-40B4-BE49-F238E27FC236}">
              <a16:creationId xmlns:a16="http://schemas.microsoft.com/office/drawing/2014/main" id="{92348983-6220-4BC2-B135-DE0316D590D8}"/>
            </a:ext>
          </a:extLst>
        </cdr:cNvPr>
        <cdr:cNvCxnSpPr/>
      </cdr:nvCxnSpPr>
      <cdr:spPr bwMode="auto">
        <a:xfrm xmlns:a="http://schemas.openxmlformats.org/drawingml/2006/main" flipV="1">
          <a:off x="789215" y="4109358"/>
          <a:ext cx="11987893" cy="1360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8100" cap="flat" cmpd="sng" algn="ctr">
          <a:solidFill>
            <a:srgbClr val="143AF8"/>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3.xml><?xml version="1.0" encoding="utf-8"?>
<c:userShapes xmlns:c="http://schemas.openxmlformats.org/drawingml/2006/chart">
  <cdr:relSizeAnchor xmlns:cdr="http://schemas.openxmlformats.org/drawingml/2006/chartDrawing">
    <cdr:from>
      <cdr:x>0.07215</cdr:x>
      <cdr:y>0.94631</cdr:y>
    </cdr:from>
    <cdr:to>
      <cdr:x>0.78557</cdr:x>
      <cdr:y>0.98555</cdr:y>
    </cdr:to>
    <cdr:sp macro="" textlink="">
      <cdr:nvSpPr>
        <cdr:cNvPr id="2" name="TextBox 1"/>
        <cdr:cNvSpPr txBox="1"/>
      </cdr:nvSpPr>
      <cdr:spPr>
        <a:xfrm xmlns:a="http://schemas.openxmlformats.org/drawingml/2006/main">
          <a:off x="966106" y="6236157"/>
          <a:ext cx="9552213" cy="2585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t>PS Calculation</a:t>
          </a:r>
          <a:r>
            <a:rPr lang="en-US" sz="1600" baseline="0"/>
            <a:t> based upon 2015 estimated markup applied to 2016 estimated $/MWh cost.</a:t>
          </a:r>
          <a:endParaRPr lang="en-US" sz="1600"/>
        </a:p>
      </cdr:txBody>
    </cdr:sp>
  </cdr:relSizeAnchor>
</c:userShapes>
</file>

<file path=xl/drawings/drawing14.xml><?xml version="1.0" encoding="utf-8"?>
<c:userShapes xmlns:c="http://schemas.openxmlformats.org/drawingml/2006/chart">
  <cdr:relSizeAnchor xmlns:cdr="http://schemas.openxmlformats.org/drawingml/2006/chartDrawing">
    <cdr:from>
      <cdr:x>0.78137</cdr:x>
      <cdr:y>0.49187</cdr:y>
    </cdr:from>
    <cdr:to>
      <cdr:x>0.86675</cdr:x>
      <cdr:y>0.56098</cdr:y>
    </cdr:to>
    <cdr:sp macro="" textlink="">
      <cdr:nvSpPr>
        <cdr:cNvPr id="10" name="TextBox 9"/>
        <cdr:cNvSpPr txBox="1"/>
      </cdr:nvSpPr>
      <cdr:spPr>
        <a:xfrm xmlns:a="http://schemas.openxmlformats.org/drawingml/2006/main">
          <a:off x="8218714" y="1646464"/>
          <a:ext cx="898072" cy="231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5.xml><?xml version="1.0" encoding="utf-8"?>
<xdr:wsDr xmlns:xdr="http://schemas.openxmlformats.org/drawingml/2006/spreadsheetDrawing" xmlns:a="http://schemas.openxmlformats.org/drawingml/2006/main">
  <xdr:twoCellAnchor>
    <xdr:from>
      <xdr:col>18</xdr:col>
      <xdr:colOff>204106</xdr:colOff>
      <xdr:row>148</xdr:row>
      <xdr:rowOff>163285</xdr:rowOff>
    </xdr:from>
    <xdr:to>
      <xdr:col>40</xdr:col>
      <xdr:colOff>136072</xdr:colOff>
      <xdr:row>194</xdr:row>
      <xdr:rowOff>149679</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163288</xdr:colOff>
      <xdr:row>167</xdr:row>
      <xdr:rowOff>54429</xdr:rowOff>
    </xdr:from>
    <xdr:to>
      <xdr:col>28</xdr:col>
      <xdr:colOff>244931</xdr:colOff>
      <xdr:row>169</xdr:row>
      <xdr:rowOff>68036</xdr:rowOff>
    </xdr:to>
    <xdr:sp macro="" textlink="">
      <xdr:nvSpPr>
        <xdr:cNvPr id="4" name="TextBox 1">
          <a:extLst>
            <a:ext uri="{FF2B5EF4-FFF2-40B4-BE49-F238E27FC236}">
              <a16:creationId xmlns:a16="http://schemas.microsoft.com/office/drawing/2014/main" id="{00000000-0008-0000-0200-000004000000}"/>
            </a:ext>
          </a:extLst>
        </xdr:cNvPr>
        <xdr:cNvSpPr txBox="1"/>
      </xdr:nvSpPr>
      <xdr:spPr>
        <a:xfrm>
          <a:off x="20206609" y="19186072"/>
          <a:ext cx="1306286" cy="340178"/>
        </a:xfrm>
        <a:prstGeom prst="rect">
          <a:avLst/>
        </a:prstGeom>
        <a:gradFill>
          <a:gsLst>
            <a:gs pos="0">
              <a:schemeClr val="accent1">
                <a:tint val="66000"/>
                <a:satMod val="160000"/>
              </a:schemeClr>
            </a:gs>
            <a:gs pos="96000">
              <a:srgbClr val="D9E2F3"/>
            </a:gs>
            <a:gs pos="68000">
              <a:schemeClr val="accent1">
                <a:tint val="44500"/>
                <a:satMod val="160000"/>
              </a:schemeClr>
            </a:gs>
            <a:gs pos="100000">
              <a:schemeClr val="accent1">
                <a:tint val="23500"/>
                <a:satMod val="160000"/>
              </a:schemeClr>
            </a:gs>
          </a:gsLst>
          <a:lin ang="5400000" scaled="0"/>
        </a:gradFill>
        <a:ln>
          <a:solidFill>
            <a:schemeClr val="tx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800"/>
            <a:t>GLP: 1.20%</a:t>
          </a:r>
          <a:r>
            <a:rPr lang="en-US" sz="1800" baseline="0"/>
            <a:t> </a:t>
          </a:r>
          <a:endParaRPr lang="en-US" sz="1800"/>
        </a:p>
      </xdr:txBody>
    </xdr:sp>
    <xdr:clientData/>
  </xdr:twoCellAnchor>
  <xdr:twoCellAnchor>
    <xdr:from>
      <xdr:col>32</xdr:col>
      <xdr:colOff>557892</xdr:colOff>
      <xdr:row>171</xdr:row>
      <xdr:rowOff>136071</xdr:rowOff>
    </xdr:from>
    <xdr:to>
      <xdr:col>35</xdr:col>
      <xdr:colOff>108858</xdr:colOff>
      <xdr:row>173</xdr:row>
      <xdr:rowOff>149678</xdr:rowOff>
    </xdr:to>
    <xdr:sp macro="" textlink="">
      <xdr:nvSpPr>
        <xdr:cNvPr id="5" name="TextBox 1">
          <a:extLst>
            <a:ext uri="{FF2B5EF4-FFF2-40B4-BE49-F238E27FC236}">
              <a16:creationId xmlns:a16="http://schemas.microsoft.com/office/drawing/2014/main" id="{00000000-0008-0000-0200-000005000000}"/>
            </a:ext>
          </a:extLst>
        </xdr:cNvPr>
        <xdr:cNvSpPr txBox="1"/>
      </xdr:nvSpPr>
      <xdr:spPr>
        <a:xfrm>
          <a:off x="24275142" y="19920857"/>
          <a:ext cx="1387930" cy="340178"/>
        </a:xfrm>
        <a:prstGeom prst="rect">
          <a:avLst/>
        </a:prstGeom>
        <a:gradFill>
          <a:gsLst>
            <a:gs pos="0">
              <a:schemeClr val="accent1">
                <a:tint val="66000"/>
                <a:satMod val="160000"/>
              </a:schemeClr>
            </a:gs>
            <a:gs pos="96000">
              <a:srgbClr val="D9E2F3"/>
            </a:gs>
            <a:gs pos="68000">
              <a:schemeClr val="accent1">
                <a:tint val="44500"/>
                <a:satMod val="160000"/>
              </a:schemeClr>
            </a:gs>
            <a:gs pos="100000">
              <a:schemeClr val="accent1">
                <a:tint val="23500"/>
                <a:satMod val="160000"/>
              </a:schemeClr>
            </a:gs>
          </a:gsLst>
          <a:lin ang="5400000" scaled="0"/>
        </a:gradFill>
        <a:ln>
          <a:solidFill>
            <a:schemeClr val="tx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800"/>
            <a:t>LPL-S: 0.21%</a:t>
          </a:r>
          <a:r>
            <a:rPr lang="en-US" sz="1800" baseline="0"/>
            <a:t> </a:t>
          </a:r>
          <a:endParaRPr lang="en-US" sz="1800"/>
        </a:p>
      </xdr:txBody>
    </xdr:sp>
    <xdr:clientData/>
  </xdr:twoCellAnchor>
  <xdr:twoCellAnchor>
    <xdr:from>
      <xdr:col>1</xdr:col>
      <xdr:colOff>435430</xdr:colOff>
      <xdr:row>148</xdr:row>
      <xdr:rowOff>63951</xdr:rowOff>
    </xdr:from>
    <xdr:to>
      <xdr:col>16</xdr:col>
      <xdr:colOff>517072</xdr:colOff>
      <xdr:row>188</xdr:row>
      <xdr:rowOff>122464</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381000</xdr:colOff>
      <xdr:row>157</xdr:row>
      <xdr:rowOff>81643</xdr:rowOff>
    </xdr:from>
    <xdr:to>
      <xdr:col>6</xdr:col>
      <xdr:colOff>394608</xdr:colOff>
      <xdr:row>183</xdr:row>
      <xdr:rowOff>0</xdr:rowOff>
    </xdr:to>
    <xdr:cxnSp macro="">
      <xdr:nvCxnSpPr>
        <xdr:cNvPr id="8" name="Straight Connector 7">
          <a:extLst>
            <a:ext uri="{FF2B5EF4-FFF2-40B4-BE49-F238E27FC236}">
              <a16:creationId xmlns:a16="http://schemas.microsoft.com/office/drawing/2014/main" id="{00000000-0008-0000-0200-000008000000}"/>
            </a:ext>
          </a:extLst>
        </xdr:cNvPr>
        <xdr:cNvCxnSpPr/>
      </xdr:nvCxnSpPr>
      <xdr:spPr bwMode="auto">
        <a:xfrm flipV="1">
          <a:off x="7524750" y="26738036"/>
          <a:ext cx="13608" cy="4163785"/>
        </a:xfrm>
        <a:prstGeom prst="line">
          <a:avLst/>
        </a:prstGeom>
        <a:solidFill>
          <a:srgbClr xmlns:mc="http://schemas.openxmlformats.org/markup-compatibility/2006" xmlns:a14="http://schemas.microsoft.com/office/drawing/2010/main" val="FFFFFF" mc:Ignorable="a14" a14:legacySpreadsheetColorIndex="9"/>
        </a:solidFill>
        <a:ln w="31750" cap="flat" cmpd="sng" algn="ctr">
          <a:solidFill>
            <a:schemeClr val="accent6"/>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639538</xdr:colOff>
      <xdr:row>156</xdr:row>
      <xdr:rowOff>54428</xdr:rowOff>
    </xdr:from>
    <xdr:to>
      <xdr:col>9</xdr:col>
      <xdr:colOff>653144</xdr:colOff>
      <xdr:row>182</xdr:row>
      <xdr:rowOff>122464</xdr:rowOff>
    </xdr:to>
    <xdr:cxnSp macro="">
      <xdr:nvCxnSpPr>
        <xdr:cNvPr id="10" name="Straight Connector 9">
          <a:extLst>
            <a:ext uri="{FF2B5EF4-FFF2-40B4-BE49-F238E27FC236}">
              <a16:creationId xmlns:a16="http://schemas.microsoft.com/office/drawing/2014/main" id="{00000000-0008-0000-0200-00000A000000}"/>
            </a:ext>
          </a:extLst>
        </xdr:cNvPr>
        <xdr:cNvCxnSpPr/>
      </xdr:nvCxnSpPr>
      <xdr:spPr bwMode="auto">
        <a:xfrm flipH="1" flipV="1">
          <a:off x="10205359" y="26547535"/>
          <a:ext cx="13606" cy="4313465"/>
        </a:xfrm>
        <a:prstGeom prst="line">
          <a:avLst/>
        </a:prstGeom>
        <a:solidFill>
          <a:srgbClr xmlns:mc="http://schemas.openxmlformats.org/markup-compatibility/2006" xmlns:a14="http://schemas.microsoft.com/office/drawing/2010/main" val="FFFFFF" mc:Ignorable="a14" a14:legacySpreadsheetColorIndex="9"/>
        </a:solidFill>
        <a:ln w="31750" cap="flat" cmpd="sng" algn="ctr">
          <a:solidFill>
            <a:schemeClr val="tx1"/>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217714</xdr:colOff>
      <xdr:row>156</xdr:row>
      <xdr:rowOff>40822</xdr:rowOff>
    </xdr:from>
    <xdr:to>
      <xdr:col>6</xdr:col>
      <xdr:colOff>734786</xdr:colOff>
      <xdr:row>157</xdr:row>
      <xdr:rowOff>108857</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6585857" y="17376322"/>
          <a:ext cx="1292679" cy="231321"/>
        </a:xfrm>
        <a:prstGeom prst="rect">
          <a:avLst/>
        </a:prstGeom>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PS Calc:</a:t>
          </a:r>
          <a:r>
            <a:rPr lang="en-US" sz="1400" b="1" baseline="0"/>
            <a:t> $93.85</a:t>
          </a:r>
          <a:endParaRPr lang="en-US" sz="1400" b="1"/>
        </a:p>
      </xdr:txBody>
    </xdr:sp>
    <xdr:clientData/>
  </xdr:twoCellAnchor>
  <xdr:twoCellAnchor>
    <xdr:from>
      <xdr:col>9</xdr:col>
      <xdr:colOff>285750</xdr:colOff>
      <xdr:row>155</xdr:row>
      <xdr:rowOff>122466</xdr:rowOff>
    </xdr:from>
    <xdr:to>
      <xdr:col>11</xdr:col>
      <xdr:colOff>258536</xdr:colOff>
      <xdr:row>157</xdr:row>
      <xdr:rowOff>54428</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9851571" y="25785537"/>
          <a:ext cx="1265465" cy="258534"/>
        </a:xfrm>
        <a:prstGeom prst="rect">
          <a:avLst/>
        </a:prstGeom>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UBS:</a:t>
          </a:r>
          <a:r>
            <a:rPr lang="en-US" sz="1400" b="1" baseline="0"/>
            <a:t> $100.55</a:t>
          </a:r>
          <a:endParaRPr lang="en-US" sz="1400" b="1"/>
        </a:p>
      </xdr:txBody>
    </xdr:sp>
    <xdr:clientData/>
  </xdr:twoCellAnchor>
  <xdr:twoCellAnchor>
    <xdr:from>
      <xdr:col>5</xdr:col>
      <xdr:colOff>557893</xdr:colOff>
      <xdr:row>158</xdr:row>
      <xdr:rowOff>95250</xdr:rowOff>
    </xdr:from>
    <xdr:to>
      <xdr:col>5</xdr:col>
      <xdr:colOff>571500</xdr:colOff>
      <xdr:row>182</xdr:row>
      <xdr:rowOff>122464</xdr:rowOff>
    </xdr:to>
    <xdr:cxnSp macro="">
      <xdr:nvCxnSpPr>
        <xdr:cNvPr id="14" name="Straight Connector 13">
          <a:extLst>
            <a:ext uri="{FF2B5EF4-FFF2-40B4-BE49-F238E27FC236}">
              <a16:creationId xmlns:a16="http://schemas.microsoft.com/office/drawing/2014/main" id="{00000000-0008-0000-0200-00000E000000}"/>
            </a:ext>
          </a:extLst>
        </xdr:cNvPr>
        <xdr:cNvCxnSpPr/>
      </xdr:nvCxnSpPr>
      <xdr:spPr bwMode="auto">
        <a:xfrm flipH="1" flipV="1">
          <a:off x="6926036" y="26248179"/>
          <a:ext cx="13607" cy="3946071"/>
        </a:xfrm>
        <a:prstGeom prst="line">
          <a:avLst/>
        </a:prstGeom>
        <a:solidFill>
          <a:srgbClr xmlns:mc="http://schemas.openxmlformats.org/markup-compatibility/2006" xmlns:a14="http://schemas.microsoft.com/office/drawing/2010/main" val="FFFFFF" mc:Ignorable="a14" a14:legacySpreadsheetColorIndex="9"/>
        </a:solidFill>
        <a:ln w="31750" cap="flat" cmpd="sng" algn="ctr">
          <a:solidFill>
            <a:schemeClr val="accent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285750</xdr:colOff>
      <xdr:row>159</xdr:row>
      <xdr:rowOff>68036</xdr:rowOff>
    </xdr:from>
    <xdr:to>
      <xdr:col>9</xdr:col>
      <xdr:colOff>285750</xdr:colOff>
      <xdr:row>182</xdr:row>
      <xdr:rowOff>136071</xdr:rowOff>
    </xdr:to>
    <xdr:cxnSp macro="">
      <xdr:nvCxnSpPr>
        <xdr:cNvPr id="16" name="Straight Connector 15">
          <a:extLst>
            <a:ext uri="{FF2B5EF4-FFF2-40B4-BE49-F238E27FC236}">
              <a16:creationId xmlns:a16="http://schemas.microsoft.com/office/drawing/2014/main" id="{00000000-0008-0000-0200-000010000000}"/>
            </a:ext>
          </a:extLst>
        </xdr:cNvPr>
        <xdr:cNvCxnSpPr/>
      </xdr:nvCxnSpPr>
      <xdr:spPr bwMode="auto">
        <a:xfrm flipV="1">
          <a:off x="9851571" y="27051000"/>
          <a:ext cx="0" cy="3823607"/>
        </a:xfrm>
        <a:prstGeom prst="line">
          <a:avLst/>
        </a:prstGeom>
        <a:solidFill>
          <a:srgbClr xmlns:mc="http://schemas.openxmlformats.org/markup-compatibility/2006" xmlns:a14="http://schemas.microsoft.com/office/drawing/2010/main" val="FFFFFF" mc:Ignorable="a14" a14:legacySpreadsheetColorIndex="9"/>
        </a:solidFill>
        <a:ln w="31750" cap="flat" cmpd="sng" algn="ctr">
          <a:solidFill>
            <a:schemeClr val="accent5"/>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108858</xdr:colOff>
      <xdr:row>158</xdr:row>
      <xdr:rowOff>108859</xdr:rowOff>
    </xdr:from>
    <xdr:to>
      <xdr:col>5</xdr:col>
      <xdr:colOff>707570</xdr:colOff>
      <xdr:row>160</xdr:row>
      <xdr:rowOff>40821</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5864679" y="26261788"/>
          <a:ext cx="1211034" cy="258533"/>
        </a:xfrm>
        <a:prstGeom prst="rect">
          <a:avLst/>
        </a:prstGeom>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2013:</a:t>
          </a:r>
          <a:r>
            <a:rPr lang="en-US" sz="1400" b="1" baseline="0"/>
            <a:t> $92.18</a:t>
          </a:r>
          <a:endParaRPr lang="en-US" sz="1400" b="1"/>
        </a:p>
      </xdr:txBody>
    </xdr:sp>
    <xdr:clientData/>
  </xdr:twoCellAnchor>
  <xdr:twoCellAnchor>
    <xdr:from>
      <xdr:col>8</xdr:col>
      <xdr:colOff>163286</xdr:colOff>
      <xdr:row>158</xdr:row>
      <xdr:rowOff>81642</xdr:rowOff>
    </xdr:from>
    <xdr:to>
      <xdr:col>9</xdr:col>
      <xdr:colOff>381001</xdr:colOff>
      <xdr:row>159</xdr:row>
      <xdr:rowOff>149679</xdr:rowOff>
    </xdr:to>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8803822" y="17743713"/>
          <a:ext cx="1143000" cy="231323"/>
        </a:xfrm>
        <a:prstGeom prst="rect">
          <a:avLst/>
        </a:prstGeom>
        <a:gradFill>
          <a:gsLst>
            <a:gs pos="0">
              <a:schemeClr val="accent1">
                <a:tint val="66000"/>
                <a:satMod val="160000"/>
              </a:schemeClr>
            </a:gs>
            <a:gs pos="100000">
              <a:srgbClr val="D9E2F3"/>
            </a:gs>
            <a:gs pos="10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2015:</a:t>
          </a:r>
          <a:r>
            <a:rPr lang="en-US" sz="1400" b="1" baseline="0"/>
            <a:t> $99.54</a:t>
          </a:r>
          <a:endParaRPr lang="en-US" sz="1400" b="1"/>
        </a:p>
      </xdr:txBody>
    </xdr:sp>
    <xdr:clientData/>
  </xdr:twoCellAnchor>
  <xdr:twoCellAnchor>
    <xdr:from>
      <xdr:col>1</xdr:col>
      <xdr:colOff>0</xdr:colOff>
      <xdr:row>84</xdr:row>
      <xdr:rowOff>0</xdr:rowOff>
    </xdr:from>
    <xdr:to>
      <xdr:col>10</xdr:col>
      <xdr:colOff>285749</xdr:colOff>
      <xdr:row>104</xdr:row>
      <xdr:rowOff>81643</xdr:rowOff>
    </xdr:to>
    <xdr:graphicFrame macro="">
      <xdr:nvGraphicFramePr>
        <xdr:cNvPr id="26" name="Chart 25">
          <a:extLst>
            <a:ext uri="{FF2B5EF4-FFF2-40B4-BE49-F238E27FC236}">
              <a16:creationId xmlns:a16="http://schemas.microsoft.com/office/drawing/2014/main" id="{00000000-0008-0000-02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762000</xdr:colOff>
      <xdr:row>119</xdr:row>
      <xdr:rowOff>40822</xdr:rowOff>
    </xdr:from>
    <xdr:to>
      <xdr:col>10</xdr:col>
      <xdr:colOff>272142</xdr:colOff>
      <xdr:row>139</xdr:row>
      <xdr:rowOff>122464</xdr:rowOff>
    </xdr:to>
    <xdr:graphicFrame macro="">
      <xdr:nvGraphicFramePr>
        <xdr:cNvPr id="27" name="Chart 26">
          <a:extLst>
            <a:ext uri="{FF2B5EF4-FFF2-40B4-BE49-F238E27FC236}">
              <a16:creationId xmlns:a16="http://schemas.microsoft.com/office/drawing/2014/main" id="{00000000-0008-0000-02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52</xdr:row>
      <xdr:rowOff>0</xdr:rowOff>
    </xdr:from>
    <xdr:to>
      <xdr:col>10</xdr:col>
      <xdr:colOff>285749</xdr:colOff>
      <xdr:row>72</xdr:row>
      <xdr:rowOff>81643</xdr:rowOff>
    </xdr:to>
    <xdr:graphicFrame macro="">
      <xdr:nvGraphicFramePr>
        <xdr:cNvPr id="35" name="Chart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0.06565</cdr:x>
      <cdr:y>0.43739</cdr:y>
    </cdr:from>
    <cdr:to>
      <cdr:x>0.15465</cdr:x>
      <cdr:y>0.48276</cdr:y>
    </cdr:to>
    <cdr:sp macro="" textlink="">
      <cdr:nvSpPr>
        <cdr:cNvPr id="2" name="TextBox 1"/>
        <cdr:cNvSpPr txBox="1"/>
      </cdr:nvSpPr>
      <cdr:spPr>
        <a:xfrm xmlns:a="http://schemas.openxmlformats.org/drawingml/2006/main">
          <a:off x="879906" y="3279324"/>
          <a:ext cx="1192940" cy="340178"/>
        </a:xfrm>
        <a:prstGeom xmlns:a="http://schemas.openxmlformats.org/drawingml/2006/main" prst="rect">
          <a:avLst/>
        </a:prstGeom>
        <a:gradFill xmlns:a="http://schemas.openxmlformats.org/drawingml/2006/main">
          <a:gsLst>
            <a:gs pos="0">
              <a:schemeClr val="accent1">
                <a:tint val="66000"/>
                <a:satMod val="160000"/>
              </a:schemeClr>
            </a:gs>
            <a:gs pos="96000">
              <a:srgbClr val="D9E2F3"/>
            </a:gs>
            <a:gs pos="68000">
              <a:schemeClr val="accent1">
                <a:tint val="44500"/>
                <a:satMod val="160000"/>
              </a:schemeClr>
            </a:gs>
            <a:gs pos="100000">
              <a:schemeClr val="accent1">
                <a:tint val="23500"/>
                <a:satMod val="160000"/>
              </a:schemeClr>
            </a:gs>
          </a:gsLst>
          <a:lin ang="5400000" scaled="0"/>
        </a:gra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en-US" sz="1800"/>
            <a:t>RS:</a:t>
          </a:r>
          <a:r>
            <a:rPr lang="en-US" sz="1800" baseline="0"/>
            <a:t> 0.73%</a:t>
          </a:r>
          <a:endParaRPr lang="en-US" sz="1800"/>
        </a:p>
      </cdr:txBody>
    </cdr:sp>
  </cdr:relSizeAnchor>
  <cdr:relSizeAnchor xmlns:cdr="http://schemas.openxmlformats.org/drawingml/2006/chartDrawing">
    <cdr:from>
      <cdr:x>0.06073</cdr:x>
      <cdr:y>0.54809</cdr:y>
    </cdr:from>
    <cdr:to>
      <cdr:x>0.98325</cdr:x>
      <cdr:y>0.54991</cdr:y>
    </cdr:to>
    <cdr:cxnSp macro="">
      <cdr:nvCxnSpPr>
        <cdr:cNvPr id="4" name="Straight Connector 3">
          <a:extLst xmlns:a="http://schemas.openxmlformats.org/drawingml/2006/main">
            <a:ext uri="{FF2B5EF4-FFF2-40B4-BE49-F238E27FC236}">
              <a16:creationId xmlns:a16="http://schemas.microsoft.com/office/drawing/2014/main" id="{FC3F9AEE-2620-4D2F-8F33-C75E5D6E9DA6}"/>
            </a:ext>
          </a:extLst>
        </cdr:cNvPr>
        <cdr:cNvCxnSpPr/>
      </cdr:nvCxnSpPr>
      <cdr:spPr bwMode="auto">
        <a:xfrm xmlns:a="http://schemas.openxmlformats.org/drawingml/2006/main" flipV="1">
          <a:off x="789215" y="4109358"/>
          <a:ext cx="11987893" cy="1360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8100" cap="flat" cmpd="sng" algn="ctr">
          <a:solidFill>
            <a:srgbClr val="143AF8"/>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7.xml><?xml version="1.0" encoding="utf-8"?>
<c:userShapes xmlns:c="http://schemas.openxmlformats.org/drawingml/2006/chart">
  <cdr:relSizeAnchor xmlns:cdr="http://schemas.openxmlformats.org/drawingml/2006/chartDrawing">
    <cdr:from>
      <cdr:x>0.07215</cdr:x>
      <cdr:y>0.94631</cdr:y>
    </cdr:from>
    <cdr:to>
      <cdr:x>0.78557</cdr:x>
      <cdr:y>0.98555</cdr:y>
    </cdr:to>
    <cdr:sp macro="" textlink="">
      <cdr:nvSpPr>
        <cdr:cNvPr id="2" name="TextBox 1"/>
        <cdr:cNvSpPr txBox="1"/>
      </cdr:nvSpPr>
      <cdr:spPr>
        <a:xfrm xmlns:a="http://schemas.openxmlformats.org/drawingml/2006/main">
          <a:off x="966106" y="6236157"/>
          <a:ext cx="9552213" cy="2585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t>PS Calculation</a:t>
          </a:r>
          <a:r>
            <a:rPr lang="en-US" sz="1600" baseline="0"/>
            <a:t> based upon 2015 estimated markup applied to 2016 estimated $/MWh cost.</a:t>
          </a:r>
          <a:endParaRPr lang="en-US" sz="1600"/>
        </a:p>
      </cdr:txBody>
    </cdr:sp>
  </cdr:relSizeAnchor>
</c:userShapes>
</file>

<file path=xl/drawings/drawing18.xml><?xml version="1.0" encoding="utf-8"?>
<c:userShapes xmlns:c="http://schemas.openxmlformats.org/drawingml/2006/chart">
  <cdr:relSizeAnchor xmlns:cdr="http://schemas.openxmlformats.org/drawingml/2006/chartDrawing">
    <cdr:from>
      <cdr:x>0.77321</cdr:x>
      <cdr:y>0.51924</cdr:y>
    </cdr:from>
    <cdr:to>
      <cdr:x>0.98032</cdr:x>
      <cdr:y>0.51925</cdr:y>
    </cdr:to>
    <cdr:cxnSp macro="">
      <cdr:nvCxnSpPr>
        <cdr:cNvPr id="3" name="Straight Connector 2">
          <a:extLst xmlns:a="http://schemas.openxmlformats.org/drawingml/2006/main">
            <a:ext uri="{FF2B5EF4-FFF2-40B4-BE49-F238E27FC236}">
              <a16:creationId xmlns:a16="http://schemas.microsoft.com/office/drawing/2014/main" id="{8D0DA10F-FC19-4E91-A049-063485B54113}"/>
            </a:ext>
          </a:extLst>
        </cdr:cNvPr>
        <cdr:cNvCxnSpPr/>
      </cdr:nvCxnSpPr>
      <cdr:spPr bwMode="auto">
        <a:xfrm xmlns:a="http://schemas.openxmlformats.org/drawingml/2006/main">
          <a:off x="8490581" y="1738082"/>
          <a:ext cx="2274267" cy="3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50800" cap="flat" cmpd="sng" algn="ctr">
          <a:solidFill>
            <a:schemeClr val="tx1"/>
          </a:solidFill>
          <a:prstDash val="sysDash"/>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0.63519</cdr:x>
      <cdr:y>0.36585</cdr:y>
    </cdr:from>
    <cdr:to>
      <cdr:x>0.76843</cdr:x>
      <cdr:y>0.43496</cdr:y>
    </cdr:to>
    <cdr:sp macro="" textlink="">
      <cdr:nvSpPr>
        <cdr:cNvPr id="4" name="TextBox 3"/>
        <cdr:cNvSpPr txBox="1"/>
      </cdr:nvSpPr>
      <cdr:spPr>
        <a:xfrm xmlns:a="http://schemas.openxmlformats.org/drawingml/2006/main">
          <a:off x="6681107" y="1224643"/>
          <a:ext cx="1401525" cy="231328"/>
        </a:xfrm>
        <a:prstGeom xmlns:a="http://schemas.openxmlformats.org/drawingml/2006/main" prst="rect">
          <a:avLst/>
        </a:prstGeom>
        <a:gradFill xmlns:a="http://schemas.openxmlformats.org/drawingml/2006/main">
          <a:gsLst>
            <a:gs pos="100000">
              <a:schemeClr val="accent1">
                <a:tint val="66000"/>
                <a:satMod val="160000"/>
              </a:schemeClr>
            </a:gs>
            <a:gs pos="100000">
              <a:schemeClr val="accent1">
                <a:tint val="44500"/>
                <a:satMod val="160000"/>
              </a:schemeClr>
            </a:gs>
            <a:gs pos="100000">
              <a:schemeClr val="accent1">
                <a:tint val="23500"/>
                <a:satMod val="160000"/>
              </a:schemeClr>
            </a:gs>
          </a:gsLst>
          <a:lin ang="5400000" scaled="0"/>
        </a:gra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en-US" sz="1400" b="0"/>
            <a:t>w/o CP: (0.67%)</a:t>
          </a:r>
        </a:p>
      </cdr:txBody>
    </cdr:sp>
  </cdr:relSizeAnchor>
  <cdr:relSizeAnchor xmlns:cdr="http://schemas.openxmlformats.org/drawingml/2006/chartDrawing">
    <cdr:from>
      <cdr:x>0.76714</cdr:x>
      <cdr:y>0.43496</cdr:y>
    </cdr:from>
    <cdr:to>
      <cdr:x>0.77878</cdr:x>
      <cdr:y>0.52439</cdr:y>
    </cdr:to>
    <cdr:cxnSp macro="">
      <cdr:nvCxnSpPr>
        <cdr:cNvPr id="6" name="Straight Arrow Connector 5">
          <a:extLst xmlns:a="http://schemas.openxmlformats.org/drawingml/2006/main">
            <a:ext uri="{FF2B5EF4-FFF2-40B4-BE49-F238E27FC236}">
              <a16:creationId xmlns:a16="http://schemas.microsoft.com/office/drawing/2014/main" id="{4DABB027-CE06-4127-82D6-597F32BDAE7F}"/>
            </a:ext>
          </a:extLst>
        </cdr:cNvPr>
        <cdr:cNvCxnSpPr/>
      </cdr:nvCxnSpPr>
      <cdr:spPr bwMode="auto">
        <a:xfrm xmlns:a="http://schemas.openxmlformats.org/drawingml/2006/main">
          <a:off x="8069036" y="1455964"/>
          <a:ext cx="122464" cy="299357"/>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9.xml><?xml version="1.0" encoding="utf-8"?>
<c:userShapes xmlns:c="http://schemas.openxmlformats.org/drawingml/2006/chart">
  <cdr:relSizeAnchor xmlns:cdr="http://schemas.openxmlformats.org/drawingml/2006/chartDrawing">
    <cdr:from>
      <cdr:x>0.77585</cdr:x>
      <cdr:y>0.59648</cdr:y>
    </cdr:from>
    <cdr:to>
      <cdr:x>0.98296</cdr:x>
      <cdr:y>0.59648</cdr:y>
    </cdr:to>
    <cdr:cxnSp macro="">
      <cdr:nvCxnSpPr>
        <cdr:cNvPr id="2" name="Straight Connector 1">
          <a:extLst xmlns:a="http://schemas.openxmlformats.org/drawingml/2006/main">
            <a:ext uri="{FF2B5EF4-FFF2-40B4-BE49-F238E27FC236}">
              <a16:creationId xmlns:a16="http://schemas.microsoft.com/office/drawing/2014/main" id="{AA973B9F-5107-40A0-838D-410BE6029529}"/>
            </a:ext>
          </a:extLst>
        </cdr:cNvPr>
        <cdr:cNvCxnSpPr/>
      </cdr:nvCxnSpPr>
      <cdr:spPr bwMode="auto">
        <a:xfrm xmlns:a="http://schemas.openxmlformats.org/drawingml/2006/main">
          <a:off x="8160678" y="1996618"/>
          <a:ext cx="2178449"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50800" cap="flat" cmpd="sng" algn="ctr">
          <a:solidFill>
            <a:schemeClr val="tx1"/>
          </a:solidFill>
          <a:prstDash val="sysDash"/>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0.64295</cdr:x>
      <cdr:y>0.40244</cdr:y>
    </cdr:from>
    <cdr:to>
      <cdr:x>0.7762</cdr:x>
      <cdr:y>0.47561</cdr:y>
    </cdr:to>
    <cdr:sp macro="" textlink="">
      <cdr:nvSpPr>
        <cdr:cNvPr id="3" name="TextBox 2"/>
        <cdr:cNvSpPr txBox="1"/>
      </cdr:nvSpPr>
      <cdr:spPr>
        <a:xfrm xmlns:a="http://schemas.openxmlformats.org/drawingml/2006/main">
          <a:off x="6762749" y="1347107"/>
          <a:ext cx="1401536" cy="244928"/>
        </a:xfrm>
        <a:prstGeom xmlns:a="http://schemas.openxmlformats.org/drawingml/2006/main" prst="rect">
          <a:avLst/>
        </a:prstGeom>
        <a:gradFill xmlns:a="http://schemas.openxmlformats.org/drawingml/2006/main">
          <a:gsLst>
            <a:gs pos="100000">
              <a:schemeClr val="accent1">
                <a:tint val="66000"/>
                <a:satMod val="160000"/>
              </a:schemeClr>
            </a:gs>
            <a:gs pos="100000">
              <a:schemeClr val="accent1">
                <a:tint val="44500"/>
                <a:satMod val="160000"/>
              </a:schemeClr>
            </a:gs>
            <a:gs pos="100000">
              <a:schemeClr val="accent1">
                <a:tint val="23500"/>
                <a:satMod val="160000"/>
              </a:schemeClr>
            </a:gs>
          </a:gsLst>
          <a:lin ang="5400000" scaled="0"/>
        </a:gra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en-US" sz="1400"/>
            <a:t>w/o CP: (1.54%)</a:t>
          </a:r>
        </a:p>
      </cdr:txBody>
    </cdr:sp>
  </cdr:relSizeAnchor>
  <cdr:relSizeAnchor xmlns:cdr="http://schemas.openxmlformats.org/drawingml/2006/chartDrawing">
    <cdr:from>
      <cdr:x>0.77361</cdr:x>
      <cdr:y>0.46748</cdr:y>
    </cdr:from>
    <cdr:to>
      <cdr:x>0.78008</cdr:x>
      <cdr:y>0.5935</cdr:y>
    </cdr:to>
    <cdr:cxnSp macro="">
      <cdr:nvCxnSpPr>
        <cdr:cNvPr id="5" name="Straight Arrow Connector 4">
          <a:extLst xmlns:a="http://schemas.openxmlformats.org/drawingml/2006/main">
            <a:ext uri="{FF2B5EF4-FFF2-40B4-BE49-F238E27FC236}">
              <a16:creationId xmlns:a16="http://schemas.microsoft.com/office/drawing/2014/main" id="{5EE3552F-375F-47C9-84EB-C0107F0AD011}"/>
            </a:ext>
          </a:extLst>
        </cdr:cNvPr>
        <cdr:cNvCxnSpPr/>
      </cdr:nvCxnSpPr>
      <cdr:spPr bwMode="auto">
        <a:xfrm xmlns:a="http://schemas.openxmlformats.org/drawingml/2006/main">
          <a:off x="8137072" y="1564821"/>
          <a:ext cx="68035" cy="421821"/>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2.xml><?xml version="1.0" encoding="utf-8"?>
<c:userShapes xmlns:c="http://schemas.openxmlformats.org/drawingml/2006/chart">
  <cdr:relSizeAnchor xmlns:cdr="http://schemas.openxmlformats.org/drawingml/2006/chartDrawing">
    <cdr:from>
      <cdr:x>0.06565</cdr:x>
      <cdr:y>0.43739</cdr:y>
    </cdr:from>
    <cdr:to>
      <cdr:x>0.15465</cdr:x>
      <cdr:y>0.48276</cdr:y>
    </cdr:to>
    <cdr:sp macro="" textlink="">
      <cdr:nvSpPr>
        <cdr:cNvPr id="2" name="TextBox 1"/>
        <cdr:cNvSpPr txBox="1"/>
      </cdr:nvSpPr>
      <cdr:spPr>
        <a:xfrm xmlns:a="http://schemas.openxmlformats.org/drawingml/2006/main">
          <a:off x="879906" y="3279324"/>
          <a:ext cx="1192940" cy="340178"/>
        </a:xfrm>
        <a:prstGeom xmlns:a="http://schemas.openxmlformats.org/drawingml/2006/main" prst="rect">
          <a:avLst/>
        </a:prstGeom>
        <a:gradFill xmlns:a="http://schemas.openxmlformats.org/drawingml/2006/main">
          <a:gsLst>
            <a:gs pos="0">
              <a:schemeClr val="accent1">
                <a:tint val="66000"/>
                <a:satMod val="160000"/>
              </a:schemeClr>
            </a:gs>
            <a:gs pos="96000">
              <a:srgbClr val="D9E2F3"/>
            </a:gs>
            <a:gs pos="68000">
              <a:schemeClr val="accent1">
                <a:tint val="44500"/>
                <a:satMod val="160000"/>
              </a:schemeClr>
            </a:gs>
            <a:gs pos="100000">
              <a:schemeClr val="accent1">
                <a:tint val="23500"/>
                <a:satMod val="160000"/>
              </a:schemeClr>
            </a:gs>
          </a:gsLst>
          <a:lin ang="5400000" scaled="0"/>
        </a:gra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en-US" sz="1800"/>
            <a:t>RS:</a:t>
          </a:r>
          <a:r>
            <a:rPr lang="en-US" sz="1800" baseline="0"/>
            <a:t> 0.73%</a:t>
          </a:r>
          <a:endParaRPr lang="en-US" sz="1800"/>
        </a:p>
      </cdr:txBody>
    </cdr:sp>
  </cdr:relSizeAnchor>
  <cdr:relSizeAnchor xmlns:cdr="http://schemas.openxmlformats.org/drawingml/2006/chartDrawing">
    <cdr:from>
      <cdr:x>0.06073</cdr:x>
      <cdr:y>0.54809</cdr:y>
    </cdr:from>
    <cdr:to>
      <cdr:x>0.98325</cdr:x>
      <cdr:y>0.54991</cdr:y>
    </cdr:to>
    <cdr:cxnSp macro="">
      <cdr:nvCxnSpPr>
        <cdr:cNvPr id="4" name="Straight Connector 3">
          <a:extLst xmlns:a="http://schemas.openxmlformats.org/drawingml/2006/main">
            <a:ext uri="{FF2B5EF4-FFF2-40B4-BE49-F238E27FC236}">
              <a16:creationId xmlns:a16="http://schemas.microsoft.com/office/drawing/2014/main" id="{5756E469-0D87-43BA-9391-03C6EA65E85D}"/>
            </a:ext>
          </a:extLst>
        </cdr:cNvPr>
        <cdr:cNvCxnSpPr/>
      </cdr:nvCxnSpPr>
      <cdr:spPr bwMode="auto">
        <a:xfrm xmlns:a="http://schemas.openxmlformats.org/drawingml/2006/main" flipV="1">
          <a:off x="789215" y="4109358"/>
          <a:ext cx="11987893" cy="1360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8100" cap="flat" cmpd="sng" algn="ctr">
          <a:solidFill>
            <a:srgbClr val="143AF8"/>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20.xml><?xml version="1.0" encoding="utf-8"?>
<c:userShapes xmlns:c="http://schemas.openxmlformats.org/drawingml/2006/chart">
  <cdr:relSizeAnchor xmlns:cdr="http://schemas.openxmlformats.org/drawingml/2006/chartDrawing">
    <cdr:from>
      <cdr:x>0.7762</cdr:x>
      <cdr:y>0.44715</cdr:y>
    </cdr:from>
    <cdr:to>
      <cdr:x>0.9833</cdr:x>
      <cdr:y>0.44715</cdr:y>
    </cdr:to>
    <cdr:cxnSp macro="">
      <cdr:nvCxnSpPr>
        <cdr:cNvPr id="3" name="Straight Connector 2">
          <a:extLst xmlns:a="http://schemas.openxmlformats.org/drawingml/2006/main">
            <a:ext uri="{FF2B5EF4-FFF2-40B4-BE49-F238E27FC236}">
              <a16:creationId xmlns:a16="http://schemas.microsoft.com/office/drawing/2014/main" id="{9DE9B1C7-FB37-4E01-AF47-C02A6199547B}"/>
            </a:ext>
          </a:extLst>
        </cdr:cNvPr>
        <cdr:cNvCxnSpPr/>
      </cdr:nvCxnSpPr>
      <cdr:spPr bwMode="auto">
        <a:xfrm xmlns:a="http://schemas.openxmlformats.org/drawingml/2006/main">
          <a:off x="8523423" y="1496787"/>
          <a:ext cx="2274158"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50800" cap="flat" cmpd="sng" algn="ctr">
          <a:solidFill>
            <a:schemeClr val="tx1"/>
          </a:solidFill>
          <a:prstDash val="sysDash"/>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0.78137</cdr:x>
      <cdr:y>0.49187</cdr:y>
    </cdr:from>
    <cdr:to>
      <cdr:x>0.86675</cdr:x>
      <cdr:y>0.56098</cdr:y>
    </cdr:to>
    <cdr:sp macro="" textlink="">
      <cdr:nvSpPr>
        <cdr:cNvPr id="10" name="TextBox 9"/>
        <cdr:cNvSpPr txBox="1"/>
      </cdr:nvSpPr>
      <cdr:spPr>
        <a:xfrm xmlns:a="http://schemas.openxmlformats.org/drawingml/2006/main">
          <a:off x="8218714" y="1646464"/>
          <a:ext cx="898072" cy="231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0.64166</cdr:x>
      <cdr:y>0.23171</cdr:y>
    </cdr:from>
    <cdr:to>
      <cdr:x>0.76585</cdr:x>
      <cdr:y>0.30488</cdr:y>
    </cdr:to>
    <cdr:sp macro="" textlink="">
      <cdr:nvSpPr>
        <cdr:cNvPr id="12" name="TextBox 11"/>
        <cdr:cNvSpPr txBox="1"/>
      </cdr:nvSpPr>
      <cdr:spPr>
        <a:xfrm xmlns:a="http://schemas.openxmlformats.org/drawingml/2006/main">
          <a:off x="6749143" y="775607"/>
          <a:ext cx="1306286" cy="244928"/>
        </a:xfrm>
        <a:prstGeom xmlns:a="http://schemas.openxmlformats.org/drawingml/2006/main" prst="rect">
          <a:avLst/>
        </a:prstGeom>
        <a:gradFill xmlns:a="http://schemas.openxmlformats.org/drawingml/2006/main">
          <a:gsLst>
            <a:gs pos="100000">
              <a:schemeClr val="accent1">
                <a:tint val="66000"/>
                <a:satMod val="160000"/>
              </a:schemeClr>
            </a:gs>
            <a:gs pos="100000">
              <a:schemeClr val="accent1">
                <a:tint val="44500"/>
                <a:satMod val="160000"/>
              </a:schemeClr>
            </a:gs>
            <a:gs pos="100000">
              <a:schemeClr val="accent1">
                <a:tint val="23500"/>
                <a:satMod val="160000"/>
              </a:schemeClr>
            </a:gs>
          </a:gsLst>
          <a:lin ang="5400000" scaled="0"/>
        </a:gra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en-US" sz="1400"/>
            <a:t>w/o</a:t>
          </a:r>
          <a:r>
            <a:rPr lang="en-US" sz="1400" baseline="0"/>
            <a:t> CP: 0.74%</a:t>
          </a:r>
          <a:endParaRPr lang="en-US" sz="1400"/>
        </a:p>
      </cdr:txBody>
    </cdr:sp>
  </cdr:relSizeAnchor>
  <cdr:relSizeAnchor xmlns:cdr="http://schemas.openxmlformats.org/drawingml/2006/chartDrawing">
    <cdr:from>
      <cdr:x>0.76197</cdr:x>
      <cdr:y>0.30081</cdr:y>
    </cdr:from>
    <cdr:to>
      <cdr:x>0.78267</cdr:x>
      <cdr:y>0.42683</cdr:y>
    </cdr:to>
    <cdr:cxnSp macro="">
      <cdr:nvCxnSpPr>
        <cdr:cNvPr id="14" name="Straight Arrow Connector 13">
          <a:extLst xmlns:a="http://schemas.openxmlformats.org/drawingml/2006/main">
            <a:ext uri="{FF2B5EF4-FFF2-40B4-BE49-F238E27FC236}">
              <a16:creationId xmlns:a16="http://schemas.microsoft.com/office/drawing/2014/main" id="{19B3B2A8-C136-416F-8F62-A279F1B4DC9D}"/>
            </a:ext>
          </a:extLst>
        </cdr:cNvPr>
        <cdr:cNvCxnSpPr/>
      </cdr:nvCxnSpPr>
      <cdr:spPr bwMode="auto">
        <a:xfrm xmlns:a="http://schemas.openxmlformats.org/drawingml/2006/main">
          <a:off x="8014645" y="1006918"/>
          <a:ext cx="217677" cy="421832"/>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0.07215</cdr:x>
      <cdr:y>0.94631</cdr:y>
    </cdr:from>
    <cdr:to>
      <cdr:x>0.78557</cdr:x>
      <cdr:y>0.98555</cdr:y>
    </cdr:to>
    <cdr:sp macro="" textlink="">
      <cdr:nvSpPr>
        <cdr:cNvPr id="2" name="TextBox 1"/>
        <cdr:cNvSpPr txBox="1"/>
      </cdr:nvSpPr>
      <cdr:spPr>
        <a:xfrm xmlns:a="http://schemas.openxmlformats.org/drawingml/2006/main">
          <a:off x="966106" y="6236157"/>
          <a:ext cx="9552213" cy="2585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t>PS Calculation</a:t>
          </a:r>
          <a:r>
            <a:rPr lang="en-US" sz="1600" baseline="0"/>
            <a:t> based upon 2015 estimated markup applied to 2016 estimated $/MWh cost.</a:t>
          </a:r>
          <a:endParaRPr lang="en-US" sz="1600"/>
        </a:p>
      </cdr:txBody>
    </cdr:sp>
  </cdr:relSizeAnchor>
</c:userShapes>
</file>

<file path=xl/drawings/drawing4.xml><?xml version="1.0" encoding="utf-8"?>
<c:userShapes xmlns:c="http://schemas.openxmlformats.org/drawingml/2006/chart">
  <cdr:relSizeAnchor xmlns:cdr="http://schemas.openxmlformats.org/drawingml/2006/chartDrawing">
    <cdr:from>
      <cdr:x>0.78137</cdr:x>
      <cdr:y>0.49187</cdr:y>
    </cdr:from>
    <cdr:to>
      <cdr:x>0.86675</cdr:x>
      <cdr:y>0.56098</cdr:y>
    </cdr:to>
    <cdr:sp macro="" textlink="">
      <cdr:nvSpPr>
        <cdr:cNvPr id="10" name="TextBox 9"/>
        <cdr:cNvSpPr txBox="1"/>
      </cdr:nvSpPr>
      <cdr:spPr>
        <a:xfrm xmlns:a="http://schemas.openxmlformats.org/drawingml/2006/main">
          <a:off x="8218714" y="1646464"/>
          <a:ext cx="898072" cy="231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0.78137</cdr:x>
      <cdr:y>0.49187</cdr:y>
    </cdr:from>
    <cdr:to>
      <cdr:x>0.86675</cdr:x>
      <cdr:y>0.56098</cdr:y>
    </cdr:to>
    <cdr:sp macro="" textlink="">
      <cdr:nvSpPr>
        <cdr:cNvPr id="10" name="TextBox 9"/>
        <cdr:cNvSpPr txBox="1"/>
      </cdr:nvSpPr>
      <cdr:spPr>
        <a:xfrm xmlns:a="http://schemas.openxmlformats.org/drawingml/2006/main">
          <a:off x="8218714" y="1646464"/>
          <a:ext cx="898072" cy="231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0.78137</cdr:x>
      <cdr:y>0.49187</cdr:y>
    </cdr:from>
    <cdr:to>
      <cdr:x>0.86675</cdr:x>
      <cdr:y>0.56098</cdr:y>
    </cdr:to>
    <cdr:sp macro="" textlink="">
      <cdr:nvSpPr>
        <cdr:cNvPr id="2" name="TextBox 9"/>
        <cdr:cNvSpPr txBox="1"/>
      </cdr:nvSpPr>
      <cdr:spPr>
        <a:xfrm xmlns:a="http://schemas.openxmlformats.org/drawingml/2006/main">
          <a:off x="8218714" y="1646464"/>
          <a:ext cx="898072" cy="231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6.xml><?xml version="1.0" encoding="utf-8"?>
<c:userShapes xmlns:c="http://schemas.openxmlformats.org/drawingml/2006/chart">
  <cdr:relSizeAnchor xmlns:cdr="http://schemas.openxmlformats.org/drawingml/2006/chartDrawing">
    <cdr:from>
      <cdr:x>0.78137</cdr:x>
      <cdr:y>0.49187</cdr:y>
    </cdr:from>
    <cdr:to>
      <cdr:x>0.86675</cdr:x>
      <cdr:y>0.56098</cdr:y>
    </cdr:to>
    <cdr:sp macro="" textlink="">
      <cdr:nvSpPr>
        <cdr:cNvPr id="10" name="TextBox 9"/>
        <cdr:cNvSpPr txBox="1"/>
      </cdr:nvSpPr>
      <cdr:spPr>
        <a:xfrm xmlns:a="http://schemas.openxmlformats.org/drawingml/2006/main">
          <a:off x="8218714" y="1646464"/>
          <a:ext cx="898072" cy="231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c:userShapes xmlns:c="http://schemas.openxmlformats.org/drawingml/2006/chart">
  <cdr:relSizeAnchor xmlns:cdr="http://schemas.openxmlformats.org/drawingml/2006/chartDrawing">
    <cdr:from>
      <cdr:x>0.78137</cdr:x>
      <cdr:y>0.49187</cdr:y>
    </cdr:from>
    <cdr:to>
      <cdr:x>0.86675</cdr:x>
      <cdr:y>0.56098</cdr:y>
    </cdr:to>
    <cdr:sp macro="" textlink="">
      <cdr:nvSpPr>
        <cdr:cNvPr id="10" name="TextBox 9"/>
        <cdr:cNvSpPr txBox="1"/>
      </cdr:nvSpPr>
      <cdr:spPr>
        <a:xfrm xmlns:a="http://schemas.openxmlformats.org/drawingml/2006/main">
          <a:off x="8218714" y="1646464"/>
          <a:ext cx="898072" cy="231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8.xml><?xml version="1.0" encoding="utf-8"?>
<c:userShapes xmlns:c="http://schemas.openxmlformats.org/drawingml/2006/chart">
  <cdr:relSizeAnchor xmlns:cdr="http://schemas.openxmlformats.org/drawingml/2006/chartDrawing">
    <cdr:from>
      <cdr:x>0.78137</cdr:x>
      <cdr:y>0.49187</cdr:y>
    </cdr:from>
    <cdr:to>
      <cdr:x>0.86675</cdr:x>
      <cdr:y>0.56098</cdr:y>
    </cdr:to>
    <cdr:sp macro="" textlink="">
      <cdr:nvSpPr>
        <cdr:cNvPr id="10" name="TextBox 9"/>
        <cdr:cNvSpPr txBox="1"/>
      </cdr:nvSpPr>
      <cdr:spPr>
        <a:xfrm xmlns:a="http://schemas.openxmlformats.org/drawingml/2006/main">
          <a:off x="8218714" y="1646464"/>
          <a:ext cx="898072" cy="231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0.78137</cdr:x>
      <cdr:y>0.49187</cdr:y>
    </cdr:from>
    <cdr:to>
      <cdr:x>0.86675</cdr:x>
      <cdr:y>0.56098</cdr:y>
    </cdr:to>
    <cdr:sp macro="" textlink="">
      <cdr:nvSpPr>
        <cdr:cNvPr id="2" name="TextBox 9"/>
        <cdr:cNvSpPr txBox="1"/>
      </cdr:nvSpPr>
      <cdr:spPr>
        <a:xfrm xmlns:a="http://schemas.openxmlformats.org/drawingml/2006/main">
          <a:off x="8218714" y="1646464"/>
          <a:ext cx="898072" cy="231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0.33609</cdr:x>
      <cdr:y>0.52917</cdr:y>
    </cdr:from>
    <cdr:to>
      <cdr:x>0.50964</cdr:x>
      <cdr:y>0.59167</cdr:y>
    </cdr:to>
    <cdr:cxnSp macro="">
      <cdr:nvCxnSpPr>
        <cdr:cNvPr id="5" name="Elbow Connector 4">
          <a:extLst xmlns:a="http://schemas.openxmlformats.org/drawingml/2006/main">
            <a:ext uri="{FF2B5EF4-FFF2-40B4-BE49-F238E27FC236}">
              <a16:creationId xmlns:a16="http://schemas.microsoft.com/office/drawing/2014/main" id="{E4BE4BF4-206F-4E53-B292-632825574B07}"/>
            </a:ext>
          </a:extLst>
        </cdr:cNvPr>
        <cdr:cNvCxnSpPr/>
      </cdr:nvCxnSpPr>
      <cdr:spPr bwMode="auto">
        <a:xfrm xmlns:a="http://schemas.openxmlformats.org/drawingml/2006/main">
          <a:off x="1660072" y="1728107"/>
          <a:ext cx="857250" cy="204107"/>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0.58953</cdr:x>
      <cdr:y>0.25</cdr:y>
    </cdr:from>
    <cdr:to>
      <cdr:x>0.75758</cdr:x>
      <cdr:y>0.57083</cdr:y>
    </cdr:to>
    <cdr:cxnSp macro="">
      <cdr:nvCxnSpPr>
        <cdr:cNvPr id="42" name="Elbow Connector 41">
          <a:extLst xmlns:a="http://schemas.openxmlformats.org/drawingml/2006/main">
            <a:ext uri="{FF2B5EF4-FFF2-40B4-BE49-F238E27FC236}">
              <a16:creationId xmlns:a16="http://schemas.microsoft.com/office/drawing/2014/main" id="{DFE314A6-3DB1-4AAB-9C88-EC7E77B6085D}"/>
            </a:ext>
          </a:extLst>
        </cdr:cNvPr>
        <cdr:cNvCxnSpPr/>
      </cdr:nvCxnSpPr>
      <cdr:spPr bwMode="auto">
        <a:xfrm xmlns:a="http://schemas.openxmlformats.org/drawingml/2006/main" rot="5400000" flipH="1" flipV="1">
          <a:off x="2803073" y="925287"/>
          <a:ext cx="1047751" cy="830037"/>
        </a:xfrm>
        <a:prstGeom xmlns:a="http://schemas.openxmlformats.org/drawingml/2006/main" prst="bentConnector3">
          <a:avLst>
            <a:gd name="adj1" fmla="val 50000"/>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9.xml><?xml version="1.0" encoding="utf-8"?>
<c:userShapes xmlns:c="http://schemas.openxmlformats.org/drawingml/2006/chart">
  <cdr:relSizeAnchor xmlns:cdr="http://schemas.openxmlformats.org/drawingml/2006/chartDrawing">
    <cdr:from>
      <cdr:x>0.78137</cdr:x>
      <cdr:y>0.49187</cdr:y>
    </cdr:from>
    <cdr:to>
      <cdr:x>0.86675</cdr:x>
      <cdr:y>0.56098</cdr:y>
    </cdr:to>
    <cdr:sp macro="" textlink="">
      <cdr:nvSpPr>
        <cdr:cNvPr id="10" name="TextBox 9"/>
        <cdr:cNvSpPr txBox="1"/>
      </cdr:nvSpPr>
      <cdr:spPr>
        <a:xfrm xmlns:a="http://schemas.openxmlformats.org/drawingml/2006/main">
          <a:off x="8218714" y="1646464"/>
          <a:ext cx="898072" cy="231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0.78137</cdr:x>
      <cdr:y>0.49187</cdr:y>
    </cdr:from>
    <cdr:to>
      <cdr:x>0.86675</cdr:x>
      <cdr:y>0.56098</cdr:y>
    </cdr:to>
    <cdr:sp macro="" textlink="">
      <cdr:nvSpPr>
        <cdr:cNvPr id="2" name="TextBox 9"/>
        <cdr:cNvSpPr txBox="1"/>
      </cdr:nvSpPr>
      <cdr:spPr>
        <a:xfrm xmlns:a="http://schemas.openxmlformats.org/drawingml/2006/main">
          <a:off x="8218714" y="1646464"/>
          <a:ext cx="898072" cy="231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0.34711</cdr:x>
      <cdr:y>0.49583</cdr:y>
    </cdr:from>
    <cdr:to>
      <cdr:x>0.5124</cdr:x>
      <cdr:y>0.59167</cdr:y>
    </cdr:to>
    <cdr:cxnSp macro="">
      <cdr:nvCxnSpPr>
        <cdr:cNvPr id="4" name="Elbow Connector 3">
          <a:extLst xmlns:a="http://schemas.openxmlformats.org/drawingml/2006/main">
            <a:ext uri="{FF2B5EF4-FFF2-40B4-BE49-F238E27FC236}">
              <a16:creationId xmlns:a16="http://schemas.microsoft.com/office/drawing/2014/main" id="{DFCFFF67-D80C-4704-AE1B-D51F0A3F7587}"/>
            </a:ext>
          </a:extLst>
        </cdr:cNvPr>
        <cdr:cNvCxnSpPr/>
      </cdr:nvCxnSpPr>
      <cdr:spPr bwMode="auto">
        <a:xfrm xmlns:a="http://schemas.openxmlformats.org/drawingml/2006/main" flipV="1">
          <a:off x="1714500" y="1619250"/>
          <a:ext cx="816429" cy="312965"/>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0.59504</cdr:x>
      <cdr:y>0.31667</cdr:y>
    </cdr:from>
    <cdr:to>
      <cdr:x>0.75758</cdr:x>
      <cdr:y>0.49583</cdr:y>
    </cdr:to>
    <cdr:cxnSp macro="">
      <cdr:nvCxnSpPr>
        <cdr:cNvPr id="6" name="Elbow Connector 5">
          <a:extLst xmlns:a="http://schemas.openxmlformats.org/drawingml/2006/main">
            <a:ext uri="{FF2B5EF4-FFF2-40B4-BE49-F238E27FC236}">
              <a16:creationId xmlns:a16="http://schemas.microsoft.com/office/drawing/2014/main" id="{8B6E5D24-E7F9-4473-9CA5-E8DF0AC7243E}"/>
            </a:ext>
          </a:extLst>
        </cdr:cNvPr>
        <cdr:cNvCxnSpPr/>
      </cdr:nvCxnSpPr>
      <cdr:spPr bwMode="auto">
        <a:xfrm xmlns:a="http://schemas.openxmlformats.org/drawingml/2006/main" flipV="1">
          <a:off x="2939143" y="1034143"/>
          <a:ext cx="802821" cy="585107"/>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comments" Target="../comments2.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vmlDrawing" Target="../drawings/vmlDrawing2.vml"/><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11.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15.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8" Type="http://schemas.openxmlformats.org/officeDocument/2006/relationships/hyperlink" Target="../../../../2018%20BGS-RSCP%20for%202019-2020/2019.01%20Compliance%20Filing/Pre%20Auction/2015%20BGS-RSCP%20for%202016-2017/2015-11%20Compliance%20Filing/2015%20BGS-RSCP%20for%202016-2017/2015-07%20Initial%20Filing/BGS-FP%20Initial%20Filing%20Supporting%20Documents/Table3%20-%20kWh%20forecast/LPLS%20Split%20Mar%202015.xls" TargetMode="External"/><Relationship Id="rId13" Type="http://schemas.openxmlformats.org/officeDocument/2006/relationships/hyperlink" Target="../../../../2018%20BGS-RSCP%20for%202019-2020/2019.01%20Compliance%20Filing/Pre%20Auction/2015%20BGS-RSCP%20for%202016-2017/2015-11%20Compliance%20Filing/2015%20BGS-RSCP%20for%202016-2017/2015-07%20Initial%20Filing/BGS-FP%20Initial%20Filing%20Supporting%20Documents/Table4&amp;5&amp;6%20-%20NERA%20Inputs/2016%20Inputs%20to%20FP%20Pricing_3%20JUN%202015_DRAFT.xlsx" TargetMode="External"/><Relationship Id="rId18" Type="http://schemas.openxmlformats.org/officeDocument/2006/relationships/comments" Target="../comments1.xml"/><Relationship Id="rId3" Type="http://schemas.openxmlformats.org/officeDocument/2006/relationships/printerSettings" Target="../printerSettings/printerSettings18.bin"/><Relationship Id="rId7" Type="http://schemas.openxmlformats.org/officeDocument/2006/relationships/hyperlink" Target="../../../../2018%20BGS-RSCP%20for%202019-2020/2019.01%20Compliance%20Filing/Pre%20Auction/2015%20BGS-RSCP%20for%202016-2017/2015-11%20Compliance%20Filing/2015%20BGS-RSCP%20for%202016-2017/2015-07%20Initial%20Filing/BGS-FP%20Initial%20Filing%20Supporting%20Documents/Table3%20-%20kWh%20forecast/Net%20Sales%20Forecast%20used%20in%2015-16%20BGS.xls" TargetMode="External"/><Relationship Id="rId12" Type="http://schemas.openxmlformats.org/officeDocument/2006/relationships/hyperlink" Target="../../../../2018%20BGS-RSCP%20for%202019-2020/2019.01%20Compliance%20Filing/Pre%20Auction/2015%20BGS-RSCP%20for%202016-2017/2015-11%20Compliance%20Filing/2014%20BGS-FP%20for%202015-2016/BGS-FP%20Bid%20Factors%20for%202015-16FINAL(02-13-15).xlsx" TargetMode="External"/><Relationship Id="rId17" Type="http://schemas.openxmlformats.org/officeDocument/2006/relationships/vmlDrawing" Target="../drawings/vmlDrawing1.vml"/><Relationship Id="rId2" Type="http://schemas.openxmlformats.org/officeDocument/2006/relationships/printerSettings" Target="../printerSettings/printerSettings17.bin"/><Relationship Id="rId16" Type="http://schemas.openxmlformats.org/officeDocument/2006/relationships/printerSettings" Target="../printerSettings/printerSettings20.bin"/><Relationship Id="rId1" Type="http://schemas.openxmlformats.org/officeDocument/2006/relationships/printerSettings" Target="../printerSettings/printerSettings16.bin"/><Relationship Id="rId6" Type="http://schemas.openxmlformats.org/officeDocument/2006/relationships/hyperlink" Target="../../../../2018%20BGS-RSCP%20for%202019-2020/2019.01%20Compliance%20Filing/Pre%20Auction/2015%20BGS-RSCP%20for%202016-2017/2015-11%20Compliance%20Filing/2015%20BGS-RSCP%20for%202016-2017/2015-07%20Initial%20Filing/BGS-FP%20Initial%20Filing%20Supporting%20Documents/Table1&amp;2%20-%20OnPeak%25/Table%202%20-%20001.2014%20-%20012.2014%20KWH%20(RLM,%20LPLS-H-O).xls" TargetMode="External"/><Relationship Id="rId11" Type="http://schemas.openxmlformats.org/officeDocument/2006/relationships/hyperlink" Target="../../../../2018%20BGS-RSCP%20for%202019-2020/2019.01%20Compliance%20Filing/Pre%20Auction/2015%20BGS-RSCP%20for%202016-2017/2015-11%20Compliance%20Filing/2015%20BGS-RSCP%20for%202016-2017/2015-07%20Initial%20Filing/BGS-FP%20Initial%20Filing%20Supporting%20Documents/Table10%20-%20Gen%20and%20Trans%20Obs/CAP%20AND%20TRAN%20LOADS%20FOR%202015%20For%20Myron%20-%20Copy.xls" TargetMode="External"/><Relationship Id="rId5" Type="http://schemas.openxmlformats.org/officeDocument/2006/relationships/hyperlink" Target="../../../../2018%20BGS-RSCP%20for%202019-2020/2019.01%20Compliance%20Filing/Pre%20Auction/2015%20BGS-RSCP%20for%202016-2017/2015-11%20Compliance%20Filing/2015%20BGS-RSCP%20for%202016-2017/2015-07%20Initial%20Filing/BGS-FP%20Initial%20Filing%20Supporting%20Documents/Table1&amp;2%20-%20OnPeak%25/Table%201%20-%20Time%20period%20usage%20for%202016-17%20Spreadsheet.xls" TargetMode="External"/><Relationship Id="rId15" Type="http://schemas.openxmlformats.org/officeDocument/2006/relationships/hyperlink" Target="../../../../2018%20BGS-RSCP%20for%202019-2020/2019.01%20Compliance%20Filing/Pre%20Auction/2015%20BGS-RSCP%20for%202016-2017/2015-11%20Compliance%20Filing/2014%20BGS-FP%20for%202015-2016/BGS-FP%20Bid%20Factors%20for%202015-16FINAL(02-13-15).xlsx" TargetMode="External"/><Relationship Id="rId10" Type="http://schemas.openxmlformats.org/officeDocument/2006/relationships/hyperlink" Target="../../../../2018%20BGS-RSCP%20for%202019-2020/2019.01%20Compliance%20Filing/Pre%20Auction/2015%20BGS-RSCP%20for%202016-2017/2015-11%20Compliance%20Filing/2015%20BGS-RSCP%20for%202016-2017/2015-07%20Initial%20Filing/BGS-FP%20Initial%20Filing%20Supporting%20Documents/Table4&amp;5&amp;6%20-%20NERA%20Inputs/2016%20Inputs%20to%20FP%20Pricing_3%20JUN%202015_DRAFT.xlsx" TargetMode="External"/><Relationship Id="rId4" Type="http://schemas.openxmlformats.org/officeDocument/2006/relationships/printerSettings" Target="../printerSettings/printerSettings19.bin"/><Relationship Id="rId9" Type="http://schemas.openxmlformats.org/officeDocument/2006/relationships/hyperlink" Target="../../../../2018%20BGS-RSCP%20for%202019-2020/2019.01%20Compliance%20Filing/Pre%20Auction/2015%20BGS-RSCP%20for%202016-2017/2015-11%20Compliance%20Filing/2015%20BGS-RSCP%20for%202016-2017/2015-07%20Initial%20Filing/BGS-FP%20Initial%20Filing%20Supporting%20Documents/Table4&amp;5&amp;6%20-%20NERA%20Inputs/2016%20Inputs%20to%20FP%20Pricing_3%20JUN%202015_DRAFT.xlsx" TargetMode="External"/><Relationship Id="rId14" Type="http://schemas.openxmlformats.org/officeDocument/2006/relationships/hyperlink" Target="../../../../2018%20BGS-RSCP%20for%202019-2020/2019.01%20Compliance%20Filing/Pre%20Auction/2015%20BGS-RSCP%20for%202016-2017/2015-11%20Compliance%20Filing/2015%20BGS-RSCP%20for%202016-2017/2015-07%20Initial%20Filing/BGS-FP%20Initial%20Filing%20Supporting%20Documents/Table4&amp;5&amp;6%20-%20NERA%20Inputs/2016%20Inputs%20to%20FP%20Pricing_3%20JUN%202015_DRAFT.xlsx"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5">
    <pageSetUpPr fitToPage="1"/>
  </sheetPr>
  <dimension ref="A1:R192"/>
  <sheetViews>
    <sheetView workbookViewId="0"/>
  </sheetViews>
  <sheetFormatPr defaultRowHeight="12.75" outlineLevelRow="1" x14ac:dyDescent="0.2"/>
  <cols>
    <col min="1" max="1" width="11.7109375" customWidth="1"/>
    <col min="2" max="2" width="58.85546875" customWidth="1"/>
    <col min="3" max="3" width="14.28515625" customWidth="1"/>
    <col min="4" max="4" width="14.42578125" customWidth="1"/>
    <col min="5" max="5" width="12.5703125" customWidth="1"/>
    <col min="6" max="6" width="16.28515625" bestFit="1" customWidth="1"/>
    <col min="7" max="7" width="11.5703125" bestFit="1" customWidth="1"/>
    <col min="8" max="8" width="10.7109375" bestFit="1" customWidth="1"/>
    <col min="9" max="9" width="13.85546875" customWidth="1"/>
    <col min="10" max="10" width="10.28515625" bestFit="1" customWidth="1"/>
    <col min="12" max="12" width="13.42578125" customWidth="1"/>
    <col min="13" max="13" width="17.5703125" customWidth="1"/>
    <col min="15" max="15" width="10.28515625" bestFit="1" customWidth="1"/>
  </cols>
  <sheetData>
    <row r="1" spans="1:12" x14ac:dyDescent="0.2">
      <c r="A1" s="181" t="s">
        <v>547</v>
      </c>
      <c r="C1" s="684" t="s">
        <v>546</v>
      </c>
      <c r="D1" s="685"/>
      <c r="E1" s="686"/>
    </row>
    <row r="3" spans="1:12" ht="28.5" customHeight="1" x14ac:dyDescent="0.2"/>
    <row r="4" spans="1:12" ht="51" x14ac:dyDescent="0.2">
      <c r="A4" s="305" t="s">
        <v>540</v>
      </c>
      <c r="B4" s="305" t="s">
        <v>534</v>
      </c>
      <c r="C4" s="306" t="s">
        <v>0</v>
      </c>
      <c r="D4" s="306" t="s">
        <v>5</v>
      </c>
      <c r="E4" s="306" t="s">
        <v>36</v>
      </c>
      <c r="F4" s="306" t="s">
        <v>536</v>
      </c>
      <c r="G4" s="306" t="s">
        <v>535</v>
      </c>
      <c r="H4" s="306" t="s">
        <v>537</v>
      </c>
      <c r="I4" s="306" t="s">
        <v>539</v>
      </c>
      <c r="J4" s="306" t="s">
        <v>541</v>
      </c>
      <c r="K4" s="306" t="s">
        <v>542</v>
      </c>
    </row>
    <row r="5" spans="1:12" x14ac:dyDescent="0.2">
      <c r="A5" s="76">
        <v>1</v>
      </c>
      <c r="B5" s="303" t="e">
        <f>+#REF!</f>
        <v>#REF!</v>
      </c>
      <c r="C5" s="297"/>
      <c r="D5" s="297"/>
      <c r="E5" s="297"/>
      <c r="F5" s="307"/>
      <c r="G5" s="307"/>
      <c r="H5" s="308"/>
      <c r="I5" s="309"/>
      <c r="J5" s="302"/>
      <c r="K5" s="302"/>
    </row>
    <row r="6" spans="1:12" ht="13.5" thickBot="1" x14ac:dyDescent="0.25">
      <c r="A6" s="320">
        <v>2</v>
      </c>
      <c r="B6" s="321" t="e">
        <f>+#REF!</f>
        <v>#REF!</v>
      </c>
      <c r="C6" s="322" t="e">
        <f>+#REF!</f>
        <v>#REF!</v>
      </c>
      <c r="D6" s="322" t="e">
        <f>+#REF!</f>
        <v>#REF!</v>
      </c>
      <c r="E6" s="322" t="e">
        <f>+#REF!</f>
        <v>#REF!</v>
      </c>
      <c r="F6" s="323" t="e">
        <f>+#REF!</f>
        <v>#REF!</v>
      </c>
      <c r="G6" s="323" t="e">
        <f>+#REF!</f>
        <v>#REF!</v>
      </c>
      <c r="H6" s="322" t="e">
        <f t="shared" ref="H6:H23" si="0">+F6/G6-1</f>
        <v>#REF!</v>
      </c>
      <c r="I6" s="324" t="e">
        <f>+#REF!</f>
        <v>#REF!</v>
      </c>
      <c r="J6" s="325"/>
      <c r="K6" s="325"/>
      <c r="L6" s="295"/>
    </row>
    <row r="7" spans="1:12" x14ac:dyDescent="0.2">
      <c r="A7" s="346">
        <v>3</v>
      </c>
      <c r="B7" s="347" t="e">
        <f>+#REF!</f>
        <v>#REF!</v>
      </c>
      <c r="C7" s="348" t="e">
        <f>+#REF!</f>
        <v>#REF!</v>
      </c>
      <c r="D7" s="348" t="e">
        <f>+#REF!</f>
        <v>#REF!</v>
      </c>
      <c r="E7" s="348" t="e">
        <f>+#REF!</f>
        <v>#REF!</v>
      </c>
      <c r="F7" s="349" t="e">
        <f>+#REF!</f>
        <v>#REF!</v>
      </c>
      <c r="G7" s="349" t="e">
        <f>+#REF!</f>
        <v>#REF!</v>
      </c>
      <c r="H7" s="348" t="e">
        <f t="shared" si="0"/>
        <v>#REF!</v>
      </c>
      <c r="I7" s="350" t="e">
        <f>+#REF!</f>
        <v>#REF!</v>
      </c>
      <c r="J7" s="350" t="e">
        <f>+G7-G6</f>
        <v>#REF!</v>
      </c>
      <c r="K7" s="351" t="e">
        <f>+I7-I6</f>
        <v>#REF!</v>
      </c>
      <c r="L7" s="311"/>
    </row>
    <row r="8" spans="1:12" x14ac:dyDescent="0.2">
      <c r="A8" s="352">
        <v>4</v>
      </c>
      <c r="B8" s="353" t="e">
        <f>+#REF!</f>
        <v>#REF!</v>
      </c>
      <c r="C8" s="354" t="e">
        <f>+#REF!</f>
        <v>#REF!</v>
      </c>
      <c r="D8" s="354" t="e">
        <f>+#REF!</f>
        <v>#REF!</v>
      </c>
      <c r="E8" s="354" t="e">
        <f>+#REF!</f>
        <v>#REF!</v>
      </c>
      <c r="F8" s="355" t="e">
        <f>+#REF!</f>
        <v>#REF!</v>
      </c>
      <c r="G8" s="355" t="e">
        <f>+#REF!</f>
        <v>#REF!</v>
      </c>
      <c r="H8" s="354" t="e">
        <f t="shared" si="0"/>
        <v>#REF!</v>
      </c>
      <c r="I8" s="356" t="e">
        <f>+#REF!</f>
        <v>#REF!</v>
      </c>
      <c r="J8" s="356" t="e">
        <f t="shared" ref="J8:J20" si="1">+G8-G7</f>
        <v>#REF!</v>
      </c>
      <c r="K8" s="357" t="e">
        <f t="shared" ref="K8:K20" si="2">+I8-I7</f>
        <v>#REF!</v>
      </c>
      <c r="L8" s="311"/>
    </row>
    <row r="9" spans="1:12" x14ac:dyDescent="0.2">
      <c r="A9" s="352">
        <v>5</v>
      </c>
      <c r="B9" s="353" t="e">
        <f>+#REF!</f>
        <v>#REF!</v>
      </c>
      <c r="C9" s="354" t="e">
        <f>+#REF!</f>
        <v>#REF!</v>
      </c>
      <c r="D9" s="354" t="e">
        <f>+#REF!</f>
        <v>#REF!</v>
      </c>
      <c r="E9" s="354" t="e">
        <f>+#REF!</f>
        <v>#REF!</v>
      </c>
      <c r="F9" s="355" t="e">
        <f>+#REF!</f>
        <v>#REF!</v>
      </c>
      <c r="G9" s="355" t="e">
        <f>+#REF!</f>
        <v>#REF!</v>
      </c>
      <c r="H9" s="354" t="e">
        <f t="shared" si="0"/>
        <v>#REF!</v>
      </c>
      <c r="I9" s="356" t="e">
        <f>+#REF!</f>
        <v>#REF!</v>
      </c>
      <c r="J9" s="356" t="e">
        <f t="shared" si="1"/>
        <v>#REF!</v>
      </c>
      <c r="K9" s="357" t="e">
        <f t="shared" si="2"/>
        <v>#REF!</v>
      </c>
      <c r="L9" s="311"/>
    </row>
    <row r="10" spans="1:12" ht="13.5" thickBot="1" x14ac:dyDescent="0.25">
      <c r="A10" s="358">
        <v>6</v>
      </c>
      <c r="B10" s="359" t="e">
        <f>+#REF!</f>
        <v>#REF!</v>
      </c>
      <c r="C10" s="360" t="e">
        <f>+#REF!</f>
        <v>#REF!</v>
      </c>
      <c r="D10" s="360" t="e">
        <f>+#REF!</f>
        <v>#REF!</v>
      </c>
      <c r="E10" s="360" t="e">
        <f>+#REF!</f>
        <v>#REF!</v>
      </c>
      <c r="F10" s="361" t="e">
        <f>+#REF!</f>
        <v>#REF!</v>
      </c>
      <c r="G10" s="361" t="e">
        <f>+#REF!</f>
        <v>#REF!</v>
      </c>
      <c r="H10" s="360" t="e">
        <f t="shared" si="0"/>
        <v>#REF!</v>
      </c>
      <c r="I10" s="362" t="e">
        <f>+#REF!</f>
        <v>#REF!</v>
      </c>
      <c r="J10" s="362" t="e">
        <f t="shared" si="1"/>
        <v>#REF!</v>
      </c>
      <c r="K10" s="363" t="e">
        <f t="shared" si="2"/>
        <v>#REF!</v>
      </c>
      <c r="L10" s="311"/>
    </row>
    <row r="11" spans="1:12" x14ac:dyDescent="0.2">
      <c r="A11" s="326">
        <v>7</v>
      </c>
      <c r="B11" s="327" t="e">
        <f>+#REF!</f>
        <v>#REF!</v>
      </c>
      <c r="C11" s="328" t="e">
        <f>+#REF!</f>
        <v>#REF!</v>
      </c>
      <c r="D11" s="328" t="e">
        <f>+#REF!</f>
        <v>#REF!</v>
      </c>
      <c r="E11" s="328" t="e">
        <f>+#REF!</f>
        <v>#REF!</v>
      </c>
      <c r="F11" s="329" t="e">
        <f>+#REF!</f>
        <v>#REF!</v>
      </c>
      <c r="G11" s="329" t="e">
        <f>+#REF!</f>
        <v>#REF!</v>
      </c>
      <c r="H11" s="328" t="e">
        <f t="shared" si="0"/>
        <v>#REF!</v>
      </c>
      <c r="I11" s="330" t="e">
        <f>+#REF!</f>
        <v>#REF!</v>
      </c>
      <c r="J11" s="330" t="e">
        <f t="shared" si="1"/>
        <v>#REF!</v>
      </c>
      <c r="K11" s="331" t="e">
        <f t="shared" si="2"/>
        <v>#REF!</v>
      </c>
      <c r="L11" s="311"/>
    </row>
    <row r="12" spans="1:12" x14ac:dyDescent="0.2">
      <c r="A12" s="332">
        <v>8</v>
      </c>
      <c r="B12" s="303" t="e">
        <f>+#REF!</f>
        <v>#REF!</v>
      </c>
      <c r="C12" s="299" t="e">
        <f>+#REF!</f>
        <v>#REF!</v>
      </c>
      <c r="D12" s="299" t="e">
        <f>+#REF!</f>
        <v>#REF!</v>
      </c>
      <c r="E12" s="299" t="e">
        <f>+#REF!</f>
        <v>#REF!</v>
      </c>
      <c r="F12" s="298" t="e">
        <f>+#REF!</f>
        <v>#REF!</v>
      </c>
      <c r="G12" s="298" t="e">
        <f>+#REF!</f>
        <v>#REF!</v>
      </c>
      <c r="H12" s="299" t="e">
        <f t="shared" si="0"/>
        <v>#REF!</v>
      </c>
      <c r="I12" s="300" t="e">
        <f>+#REF!</f>
        <v>#REF!</v>
      </c>
      <c r="J12" s="300" t="e">
        <f t="shared" si="1"/>
        <v>#REF!</v>
      </c>
      <c r="K12" s="333" t="e">
        <f t="shared" si="2"/>
        <v>#REF!</v>
      </c>
      <c r="L12" s="311"/>
    </row>
    <row r="13" spans="1:12" ht="13.5" thickBot="1" x14ac:dyDescent="0.25">
      <c r="A13" s="334">
        <v>9</v>
      </c>
      <c r="B13" s="335" t="e">
        <f>+#REF!</f>
        <v>#REF!</v>
      </c>
      <c r="C13" s="336" t="e">
        <f>+#REF!</f>
        <v>#REF!</v>
      </c>
      <c r="D13" s="336" t="e">
        <f>+#REF!</f>
        <v>#REF!</v>
      </c>
      <c r="E13" s="336" t="e">
        <f>+#REF!</f>
        <v>#REF!</v>
      </c>
      <c r="F13" s="337" t="e">
        <f>+#REF!</f>
        <v>#REF!</v>
      </c>
      <c r="G13" s="337" t="e">
        <f>+#REF!</f>
        <v>#REF!</v>
      </c>
      <c r="H13" s="336" t="e">
        <f t="shared" si="0"/>
        <v>#REF!</v>
      </c>
      <c r="I13" s="338" t="e">
        <f>+#REF!</f>
        <v>#REF!</v>
      </c>
      <c r="J13" s="338" t="e">
        <f t="shared" si="1"/>
        <v>#REF!</v>
      </c>
      <c r="K13" s="339" t="e">
        <f t="shared" si="2"/>
        <v>#REF!</v>
      </c>
      <c r="L13" s="311"/>
    </row>
    <row r="14" spans="1:12" x14ac:dyDescent="0.2">
      <c r="A14" s="346">
        <v>10</v>
      </c>
      <c r="B14" s="347" t="e">
        <f>+#REF!</f>
        <v>#REF!</v>
      </c>
      <c r="C14" s="348" t="e">
        <f>+#REF!</f>
        <v>#REF!</v>
      </c>
      <c r="D14" s="348" t="e">
        <f>+#REF!</f>
        <v>#REF!</v>
      </c>
      <c r="E14" s="348" t="e">
        <f>+#REF!</f>
        <v>#REF!</v>
      </c>
      <c r="F14" s="349" t="e">
        <f>+#REF!</f>
        <v>#REF!</v>
      </c>
      <c r="G14" s="349" t="e">
        <f>+#REF!</f>
        <v>#REF!</v>
      </c>
      <c r="H14" s="348" t="e">
        <f t="shared" si="0"/>
        <v>#REF!</v>
      </c>
      <c r="I14" s="350" t="e">
        <f>+#REF!</f>
        <v>#REF!</v>
      </c>
      <c r="J14" s="350" t="e">
        <f t="shared" si="1"/>
        <v>#REF!</v>
      </c>
      <c r="K14" s="351" t="e">
        <f t="shared" si="2"/>
        <v>#REF!</v>
      </c>
      <c r="L14" s="311"/>
    </row>
    <row r="15" spans="1:12" x14ac:dyDescent="0.2">
      <c r="A15" s="352">
        <v>11</v>
      </c>
      <c r="B15" s="353" t="e">
        <f>+#REF!</f>
        <v>#REF!</v>
      </c>
      <c r="C15" s="354" t="e">
        <f>+#REF!</f>
        <v>#REF!</v>
      </c>
      <c r="D15" s="354" t="e">
        <f>+#REF!</f>
        <v>#REF!</v>
      </c>
      <c r="E15" s="354" t="e">
        <f>+#REF!</f>
        <v>#REF!</v>
      </c>
      <c r="F15" s="355" t="e">
        <f>+#REF!</f>
        <v>#REF!</v>
      </c>
      <c r="G15" s="355" t="e">
        <f>+#REF!</f>
        <v>#REF!</v>
      </c>
      <c r="H15" s="354" t="e">
        <f t="shared" si="0"/>
        <v>#REF!</v>
      </c>
      <c r="I15" s="356" t="e">
        <f>+#REF!</f>
        <v>#REF!</v>
      </c>
      <c r="J15" s="356" t="e">
        <f t="shared" si="1"/>
        <v>#REF!</v>
      </c>
      <c r="K15" s="357" t="e">
        <f t="shared" si="2"/>
        <v>#REF!</v>
      </c>
      <c r="L15" s="311"/>
    </row>
    <row r="16" spans="1:12" ht="13.5" thickBot="1" x14ac:dyDescent="0.25">
      <c r="A16" s="358">
        <v>12</v>
      </c>
      <c r="B16" s="359" t="e">
        <f>+#REF!</f>
        <v>#REF!</v>
      </c>
      <c r="C16" s="360" t="e">
        <f>+#REF!</f>
        <v>#REF!</v>
      </c>
      <c r="D16" s="360" t="e">
        <f>+#REF!</f>
        <v>#REF!</v>
      </c>
      <c r="E16" s="360" t="e">
        <f>+#REF!</f>
        <v>#REF!</v>
      </c>
      <c r="F16" s="361" t="e">
        <f>+#REF!</f>
        <v>#REF!</v>
      </c>
      <c r="G16" s="361" t="e">
        <f>+#REF!</f>
        <v>#REF!</v>
      </c>
      <c r="H16" s="360" t="e">
        <f t="shared" si="0"/>
        <v>#REF!</v>
      </c>
      <c r="I16" s="362" t="e">
        <f>+#REF!</f>
        <v>#REF!</v>
      </c>
      <c r="J16" s="362" t="e">
        <f t="shared" si="1"/>
        <v>#REF!</v>
      </c>
      <c r="K16" s="363" t="e">
        <f t="shared" si="2"/>
        <v>#REF!</v>
      </c>
      <c r="L16" s="311"/>
    </row>
    <row r="17" spans="1:12" ht="13.5" thickBot="1" x14ac:dyDescent="0.25">
      <c r="A17" s="340">
        <v>13</v>
      </c>
      <c r="B17" s="341" t="e">
        <f>+#REF!</f>
        <v>#REF!</v>
      </c>
      <c r="C17" s="342" t="e">
        <f>+#REF!</f>
        <v>#REF!</v>
      </c>
      <c r="D17" s="342" t="e">
        <f>+#REF!</f>
        <v>#REF!</v>
      </c>
      <c r="E17" s="342" t="e">
        <f>+#REF!</f>
        <v>#REF!</v>
      </c>
      <c r="F17" s="343" t="e">
        <f>+#REF!</f>
        <v>#REF!</v>
      </c>
      <c r="G17" s="343" t="e">
        <f>+#REF!</f>
        <v>#REF!</v>
      </c>
      <c r="H17" s="342" t="e">
        <f t="shared" si="0"/>
        <v>#REF!</v>
      </c>
      <c r="I17" s="344" t="e">
        <f>+#REF!</f>
        <v>#REF!</v>
      </c>
      <c r="J17" s="344" t="e">
        <f t="shared" si="1"/>
        <v>#REF!</v>
      </c>
      <c r="K17" s="345" t="e">
        <f t="shared" si="2"/>
        <v>#REF!</v>
      </c>
      <c r="L17" s="311"/>
    </row>
    <row r="18" spans="1:12" ht="13.5" thickBot="1" x14ac:dyDescent="0.25">
      <c r="A18" s="364">
        <v>14</v>
      </c>
      <c r="B18" s="365" t="e">
        <f>+#REF!</f>
        <v>#REF!</v>
      </c>
      <c r="C18" s="366" t="e">
        <f>+#REF!</f>
        <v>#REF!</v>
      </c>
      <c r="D18" s="366" t="e">
        <f>+#REF!</f>
        <v>#REF!</v>
      </c>
      <c r="E18" s="366" t="e">
        <f>+#REF!</f>
        <v>#REF!</v>
      </c>
      <c r="F18" s="367" t="e">
        <f>+#REF!</f>
        <v>#REF!</v>
      </c>
      <c r="G18" s="367" t="e">
        <f>+#REF!</f>
        <v>#REF!</v>
      </c>
      <c r="H18" s="366" t="e">
        <f t="shared" si="0"/>
        <v>#REF!</v>
      </c>
      <c r="I18" s="368" t="e">
        <f>+#REF!</f>
        <v>#REF!</v>
      </c>
      <c r="J18" s="368" t="e">
        <f t="shared" si="1"/>
        <v>#REF!</v>
      </c>
      <c r="K18" s="369" t="e">
        <f t="shared" si="2"/>
        <v>#REF!</v>
      </c>
      <c r="L18" s="311"/>
    </row>
    <row r="19" spans="1:12" ht="13.5" thickBot="1" x14ac:dyDescent="0.25">
      <c r="A19" s="374">
        <v>15</v>
      </c>
      <c r="B19" s="375" t="e">
        <f>+#REF!</f>
        <v>#REF!</v>
      </c>
      <c r="C19" s="376" t="e">
        <f>+#REF!</f>
        <v>#REF!</v>
      </c>
      <c r="D19" s="376" t="e">
        <f>+#REF!</f>
        <v>#REF!</v>
      </c>
      <c r="E19" s="376" t="e">
        <f>+#REF!</f>
        <v>#REF!</v>
      </c>
      <c r="F19" s="377" t="e">
        <f>+#REF!</f>
        <v>#REF!</v>
      </c>
      <c r="G19" s="377" t="e">
        <f>+#REF!</f>
        <v>#REF!</v>
      </c>
      <c r="H19" s="376" t="e">
        <f t="shared" si="0"/>
        <v>#REF!</v>
      </c>
      <c r="I19" s="378" t="e">
        <f>+#REF!</f>
        <v>#REF!</v>
      </c>
      <c r="J19" s="378" t="e">
        <f t="shared" si="1"/>
        <v>#REF!</v>
      </c>
      <c r="K19" s="379" t="e">
        <f t="shared" si="2"/>
        <v>#REF!</v>
      </c>
      <c r="L19" s="295"/>
    </row>
    <row r="20" spans="1:12" ht="13.5" thickBot="1" x14ac:dyDescent="0.25">
      <c r="A20" s="420">
        <v>16</v>
      </c>
      <c r="B20" s="421" t="s">
        <v>563</v>
      </c>
      <c r="C20" s="422" t="e">
        <f>+#REF!</f>
        <v>#REF!</v>
      </c>
      <c r="D20" s="422" t="e">
        <f>+#REF!</f>
        <v>#REF!</v>
      </c>
      <c r="E20" s="422" t="e">
        <f>+#REF!</f>
        <v>#REF!</v>
      </c>
      <c r="F20" s="423" t="e">
        <f>+#REF!</f>
        <v>#REF!</v>
      </c>
      <c r="G20" s="423" t="e">
        <f>+#REF!</f>
        <v>#REF!</v>
      </c>
      <c r="H20" s="422" t="e">
        <f t="shared" si="0"/>
        <v>#REF!</v>
      </c>
      <c r="I20" s="424" t="e">
        <f>+#REF!</f>
        <v>#REF!</v>
      </c>
      <c r="J20" s="424" t="e">
        <f t="shared" si="1"/>
        <v>#REF!</v>
      </c>
      <c r="K20" s="425" t="e">
        <f t="shared" si="2"/>
        <v>#REF!</v>
      </c>
      <c r="L20" s="295"/>
    </row>
    <row r="21" spans="1:12" ht="18" x14ac:dyDescent="0.25">
      <c r="A21" s="415">
        <v>16</v>
      </c>
      <c r="B21" s="416" t="s">
        <v>555</v>
      </c>
      <c r="C21" s="417" t="e">
        <f>SUM(C6:C18)</f>
        <v>#REF!</v>
      </c>
      <c r="D21" s="417" t="e">
        <f t="shared" ref="D21:E21" si="3">SUM(D6:D18)</f>
        <v>#REF!</v>
      </c>
      <c r="E21" s="417" t="e">
        <f t="shared" si="3"/>
        <v>#REF!</v>
      </c>
      <c r="F21" s="418" t="e">
        <f t="shared" ref="F21:G23" si="4">+F18</f>
        <v>#REF!</v>
      </c>
      <c r="G21" s="418" t="e">
        <f t="shared" si="4"/>
        <v>#REF!</v>
      </c>
      <c r="H21" s="419" t="e">
        <f t="shared" si="0"/>
        <v>#REF!</v>
      </c>
      <c r="I21" s="415"/>
      <c r="J21" s="415"/>
      <c r="K21" s="415"/>
    </row>
    <row r="22" spans="1:12" ht="18" x14ac:dyDescent="0.25">
      <c r="A22" s="302"/>
      <c r="B22" s="314" t="s">
        <v>556</v>
      </c>
      <c r="C22" s="316" t="e">
        <f>SUM(C6:C19)</f>
        <v>#REF!</v>
      </c>
      <c r="D22" s="316" t="e">
        <f>SUM(D6:D19)</f>
        <v>#REF!</v>
      </c>
      <c r="E22" s="316" t="e">
        <f>SUM(E6:E19)</f>
        <v>#REF!</v>
      </c>
      <c r="F22" s="318" t="e">
        <f t="shared" si="4"/>
        <v>#REF!</v>
      </c>
      <c r="G22" s="318" t="e">
        <f t="shared" si="4"/>
        <v>#REF!</v>
      </c>
      <c r="H22" s="317" t="e">
        <f t="shared" si="0"/>
        <v>#REF!</v>
      </c>
      <c r="I22" s="302"/>
      <c r="J22" s="302"/>
      <c r="K22" s="302"/>
    </row>
    <row r="23" spans="1:12" ht="18" x14ac:dyDescent="0.25">
      <c r="A23" s="302"/>
      <c r="B23" s="314" t="s">
        <v>564</v>
      </c>
      <c r="C23" s="316" t="e">
        <f>+C20</f>
        <v>#REF!</v>
      </c>
      <c r="D23" s="316" t="e">
        <f t="shared" ref="D23:E23" si="5">+D20</f>
        <v>#REF!</v>
      </c>
      <c r="E23" s="316" t="e">
        <f t="shared" si="5"/>
        <v>#REF!</v>
      </c>
      <c r="F23" s="318" t="e">
        <f t="shared" si="4"/>
        <v>#REF!</v>
      </c>
      <c r="G23" s="318" t="e">
        <f t="shared" si="4"/>
        <v>#REF!</v>
      </c>
      <c r="H23" s="317" t="e">
        <f t="shared" si="0"/>
        <v>#REF!</v>
      </c>
      <c r="I23" s="302"/>
      <c r="J23" s="302"/>
      <c r="K23" s="302"/>
    </row>
    <row r="24" spans="1:12" ht="18" outlineLevel="1" x14ac:dyDescent="0.25">
      <c r="A24" s="302"/>
      <c r="B24" s="302"/>
      <c r="C24" s="317" t="e">
        <f>SUM(C22:C23)</f>
        <v>#REF!</v>
      </c>
      <c r="D24" s="317" t="e">
        <f>SUM(D22:D23)</f>
        <v>#REF!</v>
      </c>
      <c r="E24" s="317" t="e">
        <f>SUM(E22:E23)</f>
        <v>#REF!</v>
      </c>
      <c r="F24" s="304"/>
      <c r="G24" s="304"/>
      <c r="H24" s="304"/>
      <c r="I24" s="302"/>
      <c r="J24" s="302"/>
      <c r="K24" s="302"/>
    </row>
    <row r="25" spans="1:12" ht="18" outlineLevel="1" x14ac:dyDescent="0.25">
      <c r="A25" s="302"/>
      <c r="B25" s="314" t="s">
        <v>565</v>
      </c>
      <c r="C25" s="317" t="e">
        <f>+#REF!</f>
        <v>#REF!</v>
      </c>
      <c r="D25" s="317" t="e">
        <f>+#REF!</f>
        <v>#REF!</v>
      </c>
      <c r="E25" s="317" t="e">
        <f>+#REF!</f>
        <v>#REF!</v>
      </c>
      <c r="F25" s="304"/>
      <c r="G25" s="304"/>
      <c r="H25" s="304"/>
      <c r="I25" s="302"/>
      <c r="J25" s="302"/>
      <c r="K25" s="302"/>
    </row>
    <row r="26" spans="1:12" ht="18" outlineLevel="1" x14ac:dyDescent="0.25">
      <c r="A26" s="302"/>
      <c r="B26" s="304"/>
      <c r="C26" s="317" t="e">
        <f>+C24+C25</f>
        <v>#REF!</v>
      </c>
      <c r="D26" s="317" t="e">
        <f t="shared" ref="D26:E26" si="6">+D24+D25</f>
        <v>#REF!</v>
      </c>
      <c r="E26" s="317" t="e">
        <f t="shared" si="6"/>
        <v>#REF!</v>
      </c>
      <c r="F26" s="304"/>
      <c r="G26" s="304"/>
      <c r="H26" s="304"/>
      <c r="I26" s="302"/>
      <c r="J26" s="302"/>
      <c r="K26" s="302"/>
    </row>
    <row r="27" spans="1:12" outlineLevel="1" x14ac:dyDescent="0.2">
      <c r="A27" s="302"/>
      <c r="B27" s="302"/>
      <c r="C27" s="315" t="e">
        <f>+#REF!-C24</f>
        <v>#REF!</v>
      </c>
      <c r="D27" s="315" t="e">
        <f>+#REF!-D24</f>
        <v>#REF!</v>
      </c>
      <c r="E27" s="315" t="e">
        <f>+#REF!-E24</f>
        <v>#REF!</v>
      </c>
      <c r="F27" s="304"/>
      <c r="G27" s="304"/>
      <c r="H27" s="304"/>
      <c r="I27" s="302"/>
      <c r="J27" s="302"/>
      <c r="K27" s="302"/>
    </row>
    <row r="28" spans="1:12" outlineLevel="1" x14ac:dyDescent="0.2"/>
    <row r="29" spans="1:12" ht="15.75" customHeight="1" x14ac:dyDescent="0.2"/>
    <row r="30" spans="1:12" ht="51" x14ac:dyDescent="0.2">
      <c r="A30" s="305" t="s">
        <v>540</v>
      </c>
      <c r="B30" s="305" t="s">
        <v>534</v>
      </c>
      <c r="C30" s="306" t="s">
        <v>0</v>
      </c>
      <c r="D30" s="306" t="s">
        <v>5</v>
      </c>
      <c r="E30" s="306" t="s">
        <v>36</v>
      </c>
      <c r="F30" s="306" t="s">
        <v>536</v>
      </c>
      <c r="G30" s="306" t="s">
        <v>535</v>
      </c>
      <c r="H30" s="306" t="s">
        <v>537</v>
      </c>
      <c r="I30" s="306" t="s">
        <v>539</v>
      </c>
      <c r="J30" s="306" t="s">
        <v>541</v>
      </c>
      <c r="K30" s="306" t="s">
        <v>542</v>
      </c>
    </row>
    <row r="31" spans="1:12" x14ac:dyDescent="0.2">
      <c r="A31" s="380" t="s">
        <v>557</v>
      </c>
      <c r="B31" s="303" t="s">
        <v>543</v>
      </c>
      <c r="C31" s="319"/>
      <c r="D31" s="319"/>
      <c r="E31" s="319"/>
      <c r="F31" s="298" t="e">
        <f>+F6</f>
        <v>#REF!</v>
      </c>
      <c r="G31" s="298" t="e">
        <f>+G6</f>
        <v>#REF!</v>
      </c>
      <c r="H31" s="299" t="e">
        <f t="shared" ref="H31:H39" si="7">+F31/G31-1</f>
        <v>#REF!</v>
      </c>
      <c r="I31" s="298" t="e">
        <f>+I6</f>
        <v>#REF!</v>
      </c>
      <c r="J31" s="312"/>
      <c r="K31" s="312"/>
      <c r="L31" s="72"/>
    </row>
    <row r="32" spans="1:12" x14ac:dyDescent="0.2">
      <c r="A32" s="380" t="s">
        <v>558</v>
      </c>
      <c r="B32" s="303" t="s">
        <v>545</v>
      </c>
      <c r="C32" s="301" t="e">
        <f>SUM(C7:C10)</f>
        <v>#REF!</v>
      </c>
      <c r="D32" s="301" t="e">
        <f>SUM(D7:D10)</f>
        <v>#REF!</v>
      </c>
      <c r="E32" s="301" t="e">
        <f>SUM(E7:E10)</f>
        <v>#REF!</v>
      </c>
      <c r="F32" s="300" t="e">
        <f>+F10</f>
        <v>#REF!</v>
      </c>
      <c r="G32" s="300" t="e">
        <f>+G10</f>
        <v>#REF!</v>
      </c>
      <c r="H32" s="299" t="e">
        <f t="shared" si="7"/>
        <v>#REF!</v>
      </c>
      <c r="I32" s="300" t="e">
        <f>+I10</f>
        <v>#REF!</v>
      </c>
      <c r="J32" s="300" t="e">
        <f>+G32-G31</f>
        <v>#REF!</v>
      </c>
      <c r="K32" s="300" t="e">
        <f>+I32-I31</f>
        <v>#REF!</v>
      </c>
      <c r="L32" s="310"/>
    </row>
    <row r="33" spans="1:18" x14ac:dyDescent="0.2">
      <c r="A33" s="381" t="s">
        <v>559</v>
      </c>
      <c r="B33" s="303" t="s">
        <v>544</v>
      </c>
      <c r="C33" s="301" t="e">
        <f>SUM(C11:C13)</f>
        <v>#REF!</v>
      </c>
      <c r="D33" s="301" t="e">
        <f>SUM(D11:D13)</f>
        <v>#REF!</v>
      </c>
      <c r="E33" s="301" t="e">
        <f>SUM(E11:E13)</f>
        <v>#REF!</v>
      </c>
      <c r="F33" s="300" t="e">
        <f>+F13</f>
        <v>#REF!</v>
      </c>
      <c r="G33" s="300" t="e">
        <f>+G13</f>
        <v>#REF!</v>
      </c>
      <c r="H33" s="299" t="e">
        <f t="shared" si="7"/>
        <v>#REF!</v>
      </c>
      <c r="I33" s="300" t="e">
        <f>+I13</f>
        <v>#REF!</v>
      </c>
      <c r="J33" s="300" t="e">
        <f>+G33-G32</f>
        <v>#REF!</v>
      </c>
      <c r="K33" s="300" t="e">
        <f>+I33-I32</f>
        <v>#REF!</v>
      </c>
      <c r="L33" s="310"/>
    </row>
    <row r="34" spans="1:18" x14ac:dyDescent="0.2">
      <c r="A34" s="381" t="s">
        <v>561</v>
      </c>
      <c r="B34" s="303" t="s">
        <v>562</v>
      </c>
      <c r="C34" s="301" t="e">
        <f>SUM(C14:C15)</f>
        <v>#REF!</v>
      </c>
      <c r="D34" s="301" t="e">
        <f>SUM(D14:D15)</f>
        <v>#REF!</v>
      </c>
      <c r="E34" s="301" t="e">
        <f>SUM(E14:E15)</f>
        <v>#REF!</v>
      </c>
      <c r="F34" s="300" t="e">
        <f t="shared" ref="F34:G39" si="8">+F15</f>
        <v>#REF!</v>
      </c>
      <c r="G34" s="300" t="e">
        <f t="shared" si="8"/>
        <v>#REF!</v>
      </c>
      <c r="H34" s="299" t="e">
        <f t="shared" si="7"/>
        <v>#REF!</v>
      </c>
      <c r="I34" s="300" t="e">
        <f t="shared" ref="I34:I39" si="9">+I15</f>
        <v>#REF!</v>
      </c>
      <c r="J34" s="300" t="e">
        <f>+G34-G33</f>
        <v>#REF!</v>
      </c>
      <c r="K34" s="300" t="e">
        <f>+I34-I33</f>
        <v>#REF!</v>
      </c>
      <c r="L34" s="310"/>
    </row>
    <row r="35" spans="1:18" x14ac:dyDescent="0.2">
      <c r="A35" s="381">
        <v>12</v>
      </c>
      <c r="B35" s="303" t="s">
        <v>560</v>
      </c>
      <c r="C35" s="301" t="e">
        <f t="shared" ref="C35:E39" si="10">+C16</f>
        <v>#REF!</v>
      </c>
      <c r="D35" s="301" t="e">
        <f t="shared" si="10"/>
        <v>#REF!</v>
      </c>
      <c r="E35" s="301" t="e">
        <f t="shared" si="10"/>
        <v>#REF!</v>
      </c>
      <c r="F35" s="300" t="e">
        <f t="shared" si="8"/>
        <v>#REF!</v>
      </c>
      <c r="G35" s="300" t="e">
        <f t="shared" si="8"/>
        <v>#REF!</v>
      </c>
      <c r="H35" s="299" t="e">
        <f t="shared" si="7"/>
        <v>#REF!</v>
      </c>
      <c r="I35" s="300" t="e">
        <f t="shared" si="9"/>
        <v>#REF!</v>
      </c>
      <c r="J35" s="300" t="e">
        <f>+G35-G34</f>
        <v>#REF!</v>
      </c>
      <c r="K35" s="300" t="e">
        <f>+I35-I34</f>
        <v>#REF!</v>
      </c>
      <c r="L35" s="310"/>
    </row>
    <row r="36" spans="1:18" x14ac:dyDescent="0.2">
      <c r="A36" s="382">
        <v>13</v>
      </c>
      <c r="B36" s="303" t="s">
        <v>533</v>
      </c>
      <c r="C36" s="301" t="e">
        <f t="shared" si="10"/>
        <v>#REF!</v>
      </c>
      <c r="D36" s="301" t="e">
        <f t="shared" si="10"/>
        <v>#REF!</v>
      </c>
      <c r="E36" s="301" t="e">
        <f t="shared" si="10"/>
        <v>#REF!</v>
      </c>
      <c r="F36" s="298" t="e">
        <f t="shared" si="8"/>
        <v>#REF!</v>
      </c>
      <c r="G36" s="298" t="e">
        <f t="shared" si="8"/>
        <v>#REF!</v>
      </c>
      <c r="H36" s="299" t="e">
        <f t="shared" si="7"/>
        <v>#REF!</v>
      </c>
      <c r="I36" s="300" t="e">
        <f t="shared" si="9"/>
        <v>#REF!</v>
      </c>
      <c r="J36" s="300" t="e">
        <f t="shared" ref="J36" si="11">+G36-G34</f>
        <v>#REF!</v>
      </c>
      <c r="K36" s="300" t="e">
        <f t="shared" ref="K36" si="12">+I36-I34</f>
        <v>#REF!</v>
      </c>
      <c r="L36" s="310"/>
    </row>
    <row r="37" spans="1:18" x14ac:dyDescent="0.2">
      <c r="A37" s="382">
        <v>14</v>
      </c>
      <c r="B37" s="303" t="s">
        <v>428</v>
      </c>
      <c r="C37" s="301" t="e">
        <f t="shared" si="10"/>
        <v>#REF!</v>
      </c>
      <c r="D37" s="301" t="e">
        <f t="shared" si="10"/>
        <v>#REF!</v>
      </c>
      <c r="E37" s="301" t="e">
        <f t="shared" si="10"/>
        <v>#REF!</v>
      </c>
      <c r="F37" s="313" t="e">
        <f t="shared" si="8"/>
        <v>#REF!</v>
      </c>
      <c r="G37" s="313" t="e">
        <f t="shared" si="8"/>
        <v>#REF!</v>
      </c>
      <c r="H37" s="299" t="e">
        <f t="shared" si="7"/>
        <v>#REF!</v>
      </c>
      <c r="I37" s="300" t="e">
        <f t="shared" si="9"/>
        <v>#REF!</v>
      </c>
      <c r="J37" s="300" t="e">
        <f t="shared" ref="J37:J39" si="13">+G37-G36</f>
        <v>#REF!</v>
      </c>
      <c r="K37" s="300" t="e">
        <f t="shared" ref="K37:K39" si="14">+I37-I36</f>
        <v>#REF!</v>
      </c>
      <c r="L37" s="310"/>
    </row>
    <row r="38" spans="1:18" x14ac:dyDescent="0.2">
      <c r="A38" s="382">
        <v>15</v>
      </c>
      <c r="B38" s="303" t="s">
        <v>554</v>
      </c>
      <c r="C38" s="301" t="e">
        <f t="shared" si="10"/>
        <v>#REF!</v>
      </c>
      <c r="D38" s="301" t="e">
        <f t="shared" si="10"/>
        <v>#REF!</v>
      </c>
      <c r="E38" s="301" t="e">
        <f t="shared" si="10"/>
        <v>#REF!</v>
      </c>
      <c r="F38" s="313" t="e">
        <f t="shared" si="8"/>
        <v>#REF!</v>
      </c>
      <c r="G38" s="313" t="e">
        <f t="shared" si="8"/>
        <v>#REF!</v>
      </c>
      <c r="H38" s="299" t="e">
        <f t="shared" si="7"/>
        <v>#REF!</v>
      </c>
      <c r="I38" s="300" t="e">
        <f t="shared" si="9"/>
        <v>#REF!</v>
      </c>
      <c r="J38" s="300" t="e">
        <f t="shared" si="13"/>
        <v>#REF!</v>
      </c>
      <c r="K38" s="300" t="e">
        <f t="shared" si="14"/>
        <v>#REF!</v>
      </c>
      <c r="L38" s="310"/>
    </row>
    <row r="39" spans="1:18" x14ac:dyDescent="0.2">
      <c r="A39" s="382">
        <v>16</v>
      </c>
      <c r="B39" s="429" t="s">
        <v>563</v>
      </c>
      <c r="C39" s="301" t="e">
        <f t="shared" si="10"/>
        <v>#REF!</v>
      </c>
      <c r="D39" s="301" t="e">
        <f t="shared" si="10"/>
        <v>#REF!</v>
      </c>
      <c r="E39" s="301" t="e">
        <f t="shared" si="10"/>
        <v>#REF!</v>
      </c>
      <c r="F39" s="313" t="e">
        <f t="shared" si="8"/>
        <v>#REF!</v>
      </c>
      <c r="G39" s="313" t="e">
        <f t="shared" si="8"/>
        <v>#REF!</v>
      </c>
      <c r="H39" s="299" t="e">
        <f t="shared" si="7"/>
        <v>#REF!</v>
      </c>
      <c r="I39" s="300" t="e">
        <f t="shared" si="9"/>
        <v>#REF!</v>
      </c>
      <c r="J39" s="300" t="e">
        <f t="shared" si="13"/>
        <v>#REF!</v>
      </c>
      <c r="K39" s="300" t="e">
        <f t="shared" si="14"/>
        <v>#REF!</v>
      </c>
      <c r="L39" s="310"/>
    </row>
    <row r="40" spans="1:18" x14ac:dyDescent="0.2">
      <c r="A40" s="382">
        <v>17</v>
      </c>
      <c r="B40" s="429" t="str">
        <f>+B25</f>
        <v>3/1 NITS/NITS/TEC Adder</v>
      </c>
      <c r="C40" s="301" t="e">
        <f>+C25</f>
        <v>#REF!</v>
      </c>
      <c r="D40" s="301" t="e">
        <f t="shared" ref="D40:E40" si="15">+D25</f>
        <v>#REF!</v>
      </c>
      <c r="E40" s="301" t="e">
        <f t="shared" si="15"/>
        <v>#REF!</v>
      </c>
      <c r="F40" s="426"/>
      <c r="G40" s="426"/>
      <c r="H40" s="427"/>
      <c r="I40" s="428"/>
      <c r="J40" s="428"/>
      <c r="K40" s="428"/>
      <c r="L40" s="310"/>
    </row>
    <row r="41" spans="1:18" ht="18" x14ac:dyDescent="0.25">
      <c r="A41" s="302"/>
      <c r="B41" s="314" t="s">
        <v>538</v>
      </c>
      <c r="C41" s="316" t="e">
        <f>SUM(C32:C40)</f>
        <v>#REF!</v>
      </c>
      <c r="D41" s="316" t="e">
        <f t="shared" ref="D41:E41" si="16">SUM(D32:D40)</f>
        <v>#REF!</v>
      </c>
      <c r="E41" s="316" t="e">
        <f t="shared" si="16"/>
        <v>#REF!</v>
      </c>
      <c r="F41" s="302"/>
      <c r="G41" s="302"/>
      <c r="H41" s="302"/>
      <c r="I41" s="302"/>
      <c r="J41" s="302"/>
      <c r="K41" s="302"/>
    </row>
    <row r="42" spans="1:18" hidden="1" outlineLevel="1" x14ac:dyDescent="0.2">
      <c r="B42" s="296"/>
      <c r="C42" s="315" t="e">
        <f>+C22-C41</f>
        <v>#REF!</v>
      </c>
      <c r="D42" s="315" t="e">
        <f>+D22-D41</f>
        <v>#REF!</v>
      </c>
      <c r="E42" s="315" t="e">
        <f>+E22-E41</f>
        <v>#REF!</v>
      </c>
      <c r="F42" s="302"/>
      <c r="G42" s="302"/>
      <c r="H42" s="302"/>
      <c r="I42" s="302"/>
      <c r="J42" s="302"/>
      <c r="K42" s="302"/>
    </row>
    <row r="43" spans="1:18" collapsed="1" x14ac:dyDescent="0.2"/>
    <row r="48" spans="1:18" x14ac:dyDescent="0.2">
      <c r="B48" s="72" t="s">
        <v>0</v>
      </c>
      <c r="C48" s="72" t="s">
        <v>550</v>
      </c>
      <c r="D48" s="72" t="s">
        <v>551</v>
      </c>
      <c r="E48" s="72" t="s">
        <v>552</v>
      </c>
      <c r="F48" s="72" t="s">
        <v>553</v>
      </c>
      <c r="N48" s="72" t="s">
        <v>0</v>
      </c>
      <c r="O48" s="72" t="s">
        <v>550</v>
      </c>
      <c r="P48" s="72" t="s">
        <v>551</v>
      </c>
      <c r="Q48" s="72" t="s">
        <v>552</v>
      </c>
      <c r="R48" s="72" t="s">
        <v>553</v>
      </c>
    </row>
    <row r="49" spans="2:18" x14ac:dyDescent="0.2">
      <c r="B49" s="433" t="s">
        <v>568</v>
      </c>
      <c r="C49" s="430" t="e">
        <f>+#REF!</f>
        <v>#REF!</v>
      </c>
      <c r="D49" s="431" t="e">
        <f>+$C$49</f>
        <v>#REF!</v>
      </c>
      <c r="J49" s="436" t="str">
        <f>+N49</f>
        <v>February 1</v>
      </c>
      <c r="L49" s="295" t="e">
        <f>+D49</f>
        <v>#REF!</v>
      </c>
      <c r="M49" s="437" t="e">
        <f>+O50</f>
        <v>#REF!</v>
      </c>
      <c r="N49" s="433" t="s">
        <v>568</v>
      </c>
      <c r="O49" s="430">
        <v>0</v>
      </c>
      <c r="P49" s="431">
        <v>0</v>
      </c>
    </row>
    <row r="50" spans="2:18" x14ac:dyDescent="0.2">
      <c r="B50" s="72" t="s">
        <v>566</v>
      </c>
      <c r="C50" s="431" t="e">
        <f>+#REF!</f>
        <v>#REF!</v>
      </c>
      <c r="D50" s="431"/>
      <c r="E50" s="431" t="e">
        <f>SUM(C$49:C49)</f>
        <v>#REF!</v>
      </c>
      <c r="F50" s="431" t="e">
        <f>SUM(C$49:C50)</f>
        <v>#REF!</v>
      </c>
      <c r="J50" t="str">
        <f>+N50</f>
        <v>3/1 NITS TEC Adder</v>
      </c>
      <c r="L50" s="295" t="e">
        <f>+F50</f>
        <v>#REF!</v>
      </c>
      <c r="M50" s="437" t="e">
        <f>+O51</f>
        <v>#REF!</v>
      </c>
      <c r="N50" s="72" t="s">
        <v>566</v>
      </c>
      <c r="O50" s="435" t="e">
        <f>+#REF!</f>
        <v>#REF!</v>
      </c>
      <c r="P50" s="431"/>
      <c r="Q50" s="373">
        <f>SUM(O$49:O49)</f>
        <v>0</v>
      </c>
      <c r="R50" s="373" t="e">
        <f>SUM(O$49:O50)</f>
        <v>#REF!</v>
      </c>
    </row>
    <row r="51" spans="2:18" x14ac:dyDescent="0.2">
      <c r="B51" s="72" t="s">
        <v>567</v>
      </c>
      <c r="C51" s="431" t="e">
        <f>+#REF!</f>
        <v>#REF!</v>
      </c>
      <c r="D51" s="431"/>
      <c r="E51" s="431" t="e">
        <f>SUM(C$49:C50)</f>
        <v>#REF!</v>
      </c>
      <c r="F51" s="431" t="e">
        <f>SUM(C$49:C51)</f>
        <v>#REF!</v>
      </c>
      <c r="J51" t="str">
        <f>+N51</f>
        <v>6/1 Estimated BGS Impact</v>
      </c>
      <c r="L51" s="295" t="e">
        <f>+F51</f>
        <v>#REF!</v>
      </c>
      <c r="M51" s="437" t="e">
        <f>+P52</f>
        <v>#REF!</v>
      </c>
      <c r="N51" s="72" t="s">
        <v>567</v>
      </c>
      <c r="O51" s="435" t="e">
        <f>+#REF!</f>
        <v>#REF!</v>
      </c>
      <c r="P51" s="431"/>
      <c r="Q51" s="373" t="e">
        <f>SUM(O$49:O50)</f>
        <v>#REF!</v>
      </c>
      <c r="R51" s="373" t="e">
        <f>SUM(O$49:O51)</f>
        <v>#REF!</v>
      </c>
    </row>
    <row r="52" spans="2:18" x14ac:dyDescent="0.2">
      <c r="B52" s="246" t="s">
        <v>569</v>
      </c>
      <c r="C52" s="431"/>
      <c r="D52" s="431" t="e">
        <f>SUM(C49:C51)</f>
        <v>#REF!</v>
      </c>
      <c r="E52" s="431"/>
      <c r="F52" s="431"/>
      <c r="N52" s="246" t="s">
        <v>569</v>
      </c>
      <c r="O52" s="431"/>
      <c r="P52" s="373" t="e">
        <f>SUM(O49:O51)</f>
        <v>#REF!</v>
      </c>
      <c r="Q52" s="373"/>
      <c r="R52" s="373"/>
    </row>
    <row r="75" spans="2:18" x14ac:dyDescent="0.2">
      <c r="B75" s="72" t="s">
        <v>5</v>
      </c>
      <c r="C75" s="72" t="s">
        <v>550</v>
      </c>
      <c r="D75" s="72" t="s">
        <v>551</v>
      </c>
      <c r="E75" s="72" t="s">
        <v>552</v>
      </c>
      <c r="F75" s="72" t="s">
        <v>553</v>
      </c>
      <c r="N75" s="72" t="s">
        <v>5</v>
      </c>
      <c r="O75" s="72" t="s">
        <v>550</v>
      </c>
      <c r="P75" s="72" t="s">
        <v>551</v>
      </c>
      <c r="Q75" s="72" t="s">
        <v>552</v>
      </c>
      <c r="R75" s="72" t="s">
        <v>553</v>
      </c>
    </row>
    <row r="76" spans="2:18" x14ac:dyDescent="0.2">
      <c r="B76" s="433" t="s">
        <v>568</v>
      </c>
      <c r="C76" s="430" t="e">
        <f>+#REF!</f>
        <v>#REF!</v>
      </c>
      <c r="D76" s="431" t="e">
        <f>+C76</f>
        <v>#REF!</v>
      </c>
      <c r="J76" s="436" t="str">
        <f>+N76</f>
        <v>February 1</v>
      </c>
      <c r="L76" s="295" t="e">
        <f>+D76</f>
        <v>#REF!</v>
      </c>
      <c r="M76" s="437" t="e">
        <f>+O77</f>
        <v>#REF!</v>
      </c>
      <c r="N76" s="433" t="s">
        <v>568</v>
      </c>
      <c r="O76" s="430">
        <v>0</v>
      </c>
      <c r="P76" s="431">
        <v>0</v>
      </c>
    </row>
    <row r="77" spans="2:18" x14ac:dyDescent="0.2">
      <c r="B77" s="72" t="s">
        <v>566</v>
      </c>
      <c r="C77" s="431" t="e">
        <f>+#REF!</f>
        <v>#REF!</v>
      </c>
      <c r="D77" s="431"/>
      <c r="E77" s="431" t="e">
        <f>SUM(C$76:C76)</f>
        <v>#REF!</v>
      </c>
      <c r="F77" s="431" t="e">
        <f>SUM(C$76:C77)</f>
        <v>#REF!</v>
      </c>
      <c r="J77" t="str">
        <f>+N77</f>
        <v>3/1 NITS TEC Adder</v>
      </c>
      <c r="L77" s="295" t="e">
        <f>+F77</f>
        <v>#REF!</v>
      </c>
      <c r="M77" s="437" t="e">
        <f>+O78</f>
        <v>#REF!</v>
      </c>
      <c r="N77" s="72" t="s">
        <v>566</v>
      </c>
      <c r="O77" s="435" t="e">
        <f>+#REF!</f>
        <v>#REF!</v>
      </c>
      <c r="P77" s="431"/>
      <c r="Q77" s="373">
        <f>SUM(O$76:O76)</f>
        <v>0</v>
      </c>
      <c r="R77" s="373" t="e">
        <f>SUM(O$76:O77)</f>
        <v>#REF!</v>
      </c>
    </row>
    <row r="78" spans="2:18" x14ac:dyDescent="0.2">
      <c r="B78" s="72" t="s">
        <v>567</v>
      </c>
      <c r="C78" s="431" t="e">
        <f>+#REF!</f>
        <v>#REF!</v>
      </c>
      <c r="D78" s="431"/>
      <c r="E78" s="431" t="e">
        <f>SUM(C$76:C77)</f>
        <v>#REF!</v>
      </c>
      <c r="F78" s="431" t="e">
        <f>SUM(C$76:C78)</f>
        <v>#REF!</v>
      </c>
      <c r="J78" t="str">
        <f>+N78</f>
        <v>6/1 Estimated BGS Impact</v>
      </c>
      <c r="L78" s="295" t="e">
        <f>+F78</f>
        <v>#REF!</v>
      </c>
      <c r="M78" s="437" t="e">
        <f>+P79</f>
        <v>#REF!</v>
      </c>
      <c r="N78" s="72" t="s">
        <v>567</v>
      </c>
      <c r="O78" s="435" t="e">
        <f>+#REF!</f>
        <v>#REF!</v>
      </c>
      <c r="P78" s="431"/>
      <c r="Q78" s="373" t="e">
        <f>SUM(O$76:O77)</f>
        <v>#REF!</v>
      </c>
      <c r="R78" s="373" t="e">
        <f>SUM(O$76:O78)</f>
        <v>#REF!</v>
      </c>
    </row>
    <row r="79" spans="2:18" x14ac:dyDescent="0.2">
      <c r="B79" s="72" t="s">
        <v>549</v>
      </c>
      <c r="C79" s="373"/>
      <c r="D79" s="434" t="e">
        <f>SUM(C76:C78)</f>
        <v>#REF!</v>
      </c>
      <c r="E79" s="373"/>
      <c r="F79" s="373"/>
      <c r="N79" s="246" t="s">
        <v>569</v>
      </c>
      <c r="O79" s="431"/>
      <c r="P79" s="373" t="e">
        <f>SUM(O76:O78)</f>
        <v>#REF!</v>
      </c>
      <c r="Q79" s="373"/>
      <c r="R79" s="373"/>
    </row>
    <row r="103" spans="2:18" x14ac:dyDescent="0.2">
      <c r="B103" s="72" t="s">
        <v>36</v>
      </c>
      <c r="C103" s="72" t="s">
        <v>550</v>
      </c>
      <c r="D103" s="72" t="s">
        <v>551</v>
      </c>
      <c r="E103" s="72" t="s">
        <v>552</v>
      </c>
      <c r="F103" s="72" t="s">
        <v>553</v>
      </c>
      <c r="N103" s="72" t="s">
        <v>36</v>
      </c>
      <c r="O103" s="72" t="s">
        <v>550</v>
      </c>
      <c r="P103" s="72" t="s">
        <v>551</v>
      </c>
      <c r="Q103" s="72" t="s">
        <v>552</v>
      </c>
      <c r="R103" s="72" t="s">
        <v>553</v>
      </c>
    </row>
    <row r="104" spans="2:18" x14ac:dyDescent="0.2">
      <c r="B104" s="433" t="s">
        <v>568</v>
      </c>
      <c r="C104" s="430" t="e">
        <f>+#REF!</f>
        <v>#REF!</v>
      </c>
      <c r="D104" s="431" t="e">
        <f>+C104</f>
        <v>#REF!</v>
      </c>
      <c r="J104" s="436" t="str">
        <f>+N104</f>
        <v>February 1</v>
      </c>
      <c r="L104" s="295" t="e">
        <f>+D104</f>
        <v>#REF!</v>
      </c>
      <c r="M104" s="437" t="e">
        <f>+O105</f>
        <v>#REF!</v>
      </c>
      <c r="N104" s="433" t="s">
        <v>568</v>
      </c>
      <c r="O104" s="430">
        <v>0</v>
      </c>
      <c r="P104" s="431">
        <v>0</v>
      </c>
    </row>
    <row r="105" spans="2:18" x14ac:dyDescent="0.2">
      <c r="B105" s="72" t="s">
        <v>566</v>
      </c>
      <c r="C105" s="431" t="e">
        <f>+#REF!</f>
        <v>#REF!</v>
      </c>
      <c r="D105" s="431"/>
      <c r="E105" s="431" t="e">
        <f>SUM(C$104:C104)</f>
        <v>#REF!</v>
      </c>
      <c r="F105" s="431" t="e">
        <f>SUM(C$104:C105)</f>
        <v>#REF!</v>
      </c>
      <c r="J105" t="str">
        <f>+N105</f>
        <v>3/1 NITS TEC Adder</v>
      </c>
      <c r="L105" s="295" t="e">
        <f>+F105</f>
        <v>#REF!</v>
      </c>
      <c r="M105" s="437" t="e">
        <f>+O106</f>
        <v>#REF!</v>
      </c>
      <c r="N105" s="72" t="s">
        <v>566</v>
      </c>
      <c r="O105" s="435" t="e">
        <f>+#REF!</f>
        <v>#REF!</v>
      </c>
      <c r="P105" s="431"/>
      <c r="Q105" s="373">
        <f>SUM(O$104:O104)</f>
        <v>0</v>
      </c>
      <c r="R105" s="373" t="e">
        <f>SUM(O$104:O105)</f>
        <v>#REF!</v>
      </c>
    </row>
    <row r="106" spans="2:18" x14ac:dyDescent="0.2">
      <c r="B106" s="72" t="s">
        <v>567</v>
      </c>
      <c r="C106" s="431" t="e">
        <f>+#REF!</f>
        <v>#REF!</v>
      </c>
      <c r="D106" s="431"/>
      <c r="E106" s="431" t="e">
        <f>SUM(C$104:C105)</f>
        <v>#REF!</v>
      </c>
      <c r="F106" s="431" t="e">
        <f>SUM(C$104:C106)</f>
        <v>#REF!</v>
      </c>
      <c r="J106" t="str">
        <f>+N106</f>
        <v>6/1 Estimated BGS Impact</v>
      </c>
      <c r="L106" s="295" t="e">
        <f>+F106</f>
        <v>#REF!</v>
      </c>
      <c r="M106" s="437" t="e">
        <f>+P107</f>
        <v>#REF!</v>
      </c>
      <c r="N106" s="72" t="s">
        <v>567</v>
      </c>
      <c r="O106" s="435" t="e">
        <f>+#REF!</f>
        <v>#REF!</v>
      </c>
      <c r="P106" s="431"/>
      <c r="Q106" s="373" t="e">
        <f>SUM(O$104:O105)</f>
        <v>#REF!</v>
      </c>
      <c r="R106" s="373" t="e">
        <f>SUM(O$104:O106)</f>
        <v>#REF!</v>
      </c>
    </row>
    <row r="107" spans="2:18" x14ac:dyDescent="0.2">
      <c r="B107" s="72" t="str">
        <f t="shared" ref="B107" si="17">+B79</f>
        <v>Final</v>
      </c>
      <c r="C107" s="373"/>
      <c r="D107" s="431" t="e">
        <f>SUM(C104:C106)</f>
        <v>#REF!</v>
      </c>
      <c r="E107" s="373"/>
      <c r="F107" s="373"/>
      <c r="N107" s="246" t="s">
        <v>569</v>
      </c>
      <c r="O107" s="431"/>
      <c r="P107" s="373" t="e">
        <f>SUM(O104:O106)</f>
        <v>#REF!</v>
      </c>
      <c r="Q107" s="373"/>
      <c r="R107" s="373"/>
    </row>
    <row r="138" spans="2:18" hidden="1" outlineLevel="1" x14ac:dyDescent="0.2">
      <c r="B138" s="55"/>
      <c r="C138" s="55"/>
      <c r="D138" s="55"/>
      <c r="E138" s="55"/>
      <c r="F138" s="55"/>
      <c r="G138" s="55"/>
      <c r="H138" s="55"/>
      <c r="I138" s="55"/>
      <c r="J138" s="55"/>
      <c r="K138" s="55"/>
      <c r="L138" s="55"/>
      <c r="M138" s="55"/>
      <c r="N138" s="55"/>
      <c r="O138" s="55"/>
      <c r="P138" s="55"/>
      <c r="Q138" s="55"/>
      <c r="R138" s="55"/>
    </row>
    <row r="139" spans="2:18" hidden="1" outlineLevel="1" x14ac:dyDescent="0.2">
      <c r="B139" s="55"/>
      <c r="C139" s="55"/>
      <c r="D139" s="55"/>
      <c r="E139" s="55"/>
      <c r="F139" s="55"/>
      <c r="G139" s="55"/>
      <c r="H139" s="55"/>
      <c r="I139" s="55"/>
      <c r="J139" s="55"/>
      <c r="K139" s="55"/>
      <c r="L139" s="55"/>
      <c r="M139" s="55"/>
      <c r="N139" s="55"/>
      <c r="O139" s="55"/>
      <c r="P139" s="55"/>
      <c r="Q139" s="55"/>
      <c r="R139" s="55"/>
    </row>
    <row r="140" spans="2:18" hidden="1" outlineLevel="1" x14ac:dyDescent="0.2">
      <c r="B140" s="55"/>
      <c r="C140" s="55"/>
      <c r="D140" s="55"/>
      <c r="E140" s="55"/>
      <c r="F140" s="55"/>
      <c r="G140" s="55"/>
      <c r="H140" s="55"/>
      <c r="I140" s="55"/>
      <c r="J140" s="55"/>
      <c r="K140" s="55"/>
      <c r="L140" s="55"/>
      <c r="M140" s="55"/>
      <c r="N140" s="55"/>
      <c r="O140" s="55"/>
      <c r="P140" s="55"/>
      <c r="Q140" s="55"/>
      <c r="R140" s="55"/>
    </row>
    <row r="141" spans="2:18" hidden="1" outlineLevel="1" x14ac:dyDescent="0.2">
      <c r="B141" s="55"/>
      <c r="C141" s="55"/>
      <c r="D141" s="55"/>
      <c r="E141" s="55"/>
      <c r="F141" s="55"/>
      <c r="G141" s="55"/>
      <c r="H141" s="55"/>
      <c r="I141" s="55"/>
      <c r="J141" s="55"/>
      <c r="K141" s="55"/>
      <c r="L141" s="55"/>
      <c r="M141" s="55"/>
      <c r="N141" s="55"/>
      <c r="O141" s="55"/>
      <c r="P141" s="55"/>
      <c r="Q141" s="55"/>
      <c r="R141" s="55"/>
    </row>
    <row r="142" spans="2:18" hidden="1" outlineLevel="1" x14ac:dyDescent="0.2">
      <c r="B142" s="55"/>
      <c r="C142" s="55"/>
      <c r="D142" s="55"/>
      <c r="E142" s="55"/>
      <c r="F142" s="55"/>
      <c r="G142" s="55"/>
      <c r="H142" s="55"/>
      <c r="I142" s="55"/>
      <c r="J142" s="55"/>
      <c r="K142" s="55"/>
      <c r="L142" s="55"/>
      <c r="M142" s="55"/>
      <c r="N142" s="55"/>
      <c r="O142" s="55"/>
      <c r="P142" s="55"/>
      <c r="Q142" s="55"/>
      <c r="R142" s="55"/>
    </row>
    <row r="143" spans="2:18" hidden="1" outlineLevel="1" x14ac:dyDescent="0.2">
      <c r="B143" s="55"/>
      <c r="C143" s="55"/>
      <c r="D143" s="55"/>
      <c r="E143" s="55"/>
      <c r="F143" s="55"/>
      <c r="G143" s="55"/>
      <c r="H143" s="55"/>
      <c r="I143" s="55"/>
      <c r="J143" s="55"/>
      <c r="K143" s="55"/>
      <c r="L143" s="55"/>
      <c r="M143" s="55"/>
      <c r="N143" s="55"/>
      <c r="O143" s="55"/>
      <c r="P143" s="55"/>
      <c r="Q143" s="55"/>
      <c r="R143" s="55"/>
    </row>
    <row r="144" spans="2:18" hidden="1" outlineLevel="1" x14ac:dyDescent="0.2">
      <c r="B144" s="55"/>
      <c r="C144" s="55"/>
      <c r="D144" s="55"/>
      <c r="E144" s="55"/>
      <c r="F144" s="55"/>
      <c r="G144" s="55"/>
      <c r="H144" s="55"/>
      <c r="I144" s="55"/>
      <c r="J144" s="55"/>
      <c r="K144" s="55"/>
      <c r="L144" s="55"/>
      <c r="M144" s="55"/>
      <c r="N144" s="55"/>
      <c r="O144" s="55"/>
      <c r="P144" s="55"/>
      <c r="Q144" s="55"/>
      <c r="R144" s="55"/>
    </row>
    <row r="145" spans="2:18" hidden="1" outlineLevel="1" x14ac:dyDescent="0.2">
      <c r="B145" s="55"/>
      <c r="C145" s="55"/>
      <c r="D145" s="55"/>
      <c r="E145" s="55"/>
      <c r="F145" s="55"/>
      <c r="G145" s="55"/>
      <c r="H145" s="55"/>
      <c r="I145" s="55"/>
      <c r="J145" s="55"/>
      <c r="K145" s="55"/>
      <c r="L145" s="55"/>
      <c r="M145" s="55"/>
      <c r="N145" s="55"/>
      <c r="O145" s="55"/>
      <c r="P145" s="55"/>
      <c r="Q145" s="55"/>
      <c r="R145" s="55"/>
    </row>
    <row r="146" spans="2:18" hidden="1" outlineLevel="1" x14ac:dyDescent="0.2">
      <c r="B146" s="55"/>
      <c r="C146" s="55"/>
      <c r="D146" s="55"/>
      <c r="E146" s="55"/>
      <c r="F146" s="55"/>
      <c r="G146" s="55"/>
      <c r="H146" s="55"/>
      <c r="I146" s="55"/>
      <c r="J146" s="55"/>
      <c r="K146" s="55"/>
      <c r="L146" s="55"/>
      <c r="M146" s="55"/>
      <c r="N146" s="55"/>
      <c r="O146" s="55"/>
      <c r="P146" s="55"/>
      <c r="Q146" s="55"/>
      <c r="R146" s="55"/>
    </row>
    <row r="147" spans="2:18" hidden="1" outlineLevel="1" x14ac:dyDescent="0.2">
      <c r="B147" s="55"/>
      <c r="C147" s="55"/>
      <c r="D147" s="55"/>
      <c r="E147" s="55"/>
      <c r="F147" s="55"/>
      <c r="G147" s="55"/>
      <c r="H147" s="55"/>
      <c r="I147" s="55"/>
      <c r="J147" s="55"/>
      <c r="K147" s="55"/>
      <c r="L147" s="55"/>
      <c r="M147" s="55"/>
      <c r="N147" s="55"/>
      <c r="O147" s="55"/>
      <c r="P147" s="55"/>
      <c r="Q147" s="55"/>
      <c r="R147" s="55"/>
    </row>
    <row r="148" spans="2:18" hidden="1" outlineLevel="1" x14ac:dyDescent="0.2">
      <c r="B148" s="55"/>
      <c r="C148" s="55"/>
      <c r="D148" s="55"/>
      <c r="E148" s="55"/>
      <c r="F148" s="55"/>
      <c r="G148" s="55"/>
      <c r="H148" s="55"/>
      <c r="I148" s="55"/>
      <c r="J148" s="55"/>
      <c r="K148" s="55"/>
      <c r="L148" s="55"/>
      <c r="M148" s="55"/>
      <c r="N148" s="55"/>
      <c r="O148" s="55"/>
      <c r="P148" s="55"/>
      <c r="Q148" s="55"/>
      <c r="R148" s="55"/>
    </row>
    <row r="149" spans="2:18" hidden="1" outlineLevel="1" x14ac:dyDescent="0.2">
      <c r="B149" s="55"/>
      <c r="C149" s="55"/>
      <c r="D149" s="55"/>
      <c r="E149" s="55"/>
      <c r="F149" s="55"/>
      <c r="G149" s="55"/>
      <c r="H149" s="55"/>
      <c r="I149" s="55"/>
      <c r="J149" s="55"/>
      <c r="K149" s="55"/>
      <c r="L149" s="55"/>
      <c r="M149" s="55"/>
      <c r="N149" s="55"/>
      <c r="O149" s="55"/>
      <c r="P149" s="55"/>
      <c r="Q149" s="55"/>
      <c r="R149" s="55"/>
    </row>
    <row r="150" spans="2:18" hidden="1" outlineLevel="1" x14ac:dyDescent="0.2">
      <c r="B150" s="55"/>
      <c r="C150" s="55"/>
      <c r="D150" s="55"/>
      <c r="E150" s="55"/>
      <c r="F150" s="55"/>
      <c r="G150" s="55"/>
      <c r="H150" s="55"/>
      <c r="I150" s="55"/>
      <c r="J150" s="55"/>
      <c r="K150" s="55"/>
      <c r="L150" s="55"/>
      <c r="M150" s="55"/>
      <c r="N150" s="55"/>
      <c r="O150" s="55"/>
      <c r="P150" s="55"/>
      <c r="Q150" s="55"/>
      <c r="R150" s="55"/>
    </row>
    <row r="151" spans="2:18" hidden="1" outlineLevel="1" x14ac:dyDescent="0.2">
      <c r="B151" s="55"/>
      <c r="C151" s="55"/>
      <c r="D151" s="55"/>
      <c r="E151" s="55"/>
      <c r="F151" s="55"/>
      <c r="G151" s="55"/>
      <c r="H151" s="55"/>
      <c r="I151" s="55"/>
      <c r="J151" s="55"/>
      <c r="K151" s="55"/>
      <c r="L151" s="55"/>
      <c r="M151" s="55"/>
      <c r="N151" s="55"/>
      <c r="O151" s="55"/>
      <c r="P151" s="55"/>
      <c r="Q151" s="55"/>
      <c r="R151" s="55"/>
    </row>
    <row r="152" spans="2:18" hidden="1" outlineLevel="1" x14ac:dyDescent="0.2">
      <c r="B152" s="55"/>
      <c r="C152" s="55"/>
      <c r="D152" s="55"/>
      <c r="E152" s="55"/>
      <c r="F152" s="55"/>
      <c r="G152" s="55"/>
      <c r="H152" s="55"/>
      <c r="I152" s="55"/>
      <c r="J152" s="55"/>
      <c r="K152" s="55"/>
      <c r="L152" s="55"/>
      <c r="M152" s="55"/>
      <c r="N152" s="55"/>
      <c r="O152" s="55"/>
      <c r="P152" s="55"/>
      <c r="Q152" s="55"/>
      <c r="R152" s="55"/>
    </row>
    <row r="153" spans="2:18" hidden="1" outlineLevel="1" x14ac:dyDescent="0.2">
      <c r="B153" s="55"/>
      <c r="C153" s="55"/>
      <c r="D153" s="55"/>
      <c r="E153" s="55"/>
      <c r="F153" s="55"/>
      <c r="G153" s="55"/>
      <c r="H153" s="55"/>
      <c r="I153" s="55"/>
      <c r="J153" s="55"/>
      <c r="K153" s="55"/>
      <c r="L153" s="55"/>
      <c r="M153" s="55"/>
      <c r="N153" s="55"/>
      <c r="O153" s="55"/>
      <c r="P153" s="55"/>
      <c r="Q153" s="55"/>
      <c r="R153" s="55"/>
    </row>
    <row r="154" spans="2:18" hidden="1" outlineLevel="1" x14ac:dyDescent="0.2">
      <c r="B154" s="55"/>
      <c r="C154" s="55"/>
      <c r="D154" s="55"/>
      <c r="E154" s="55"/>
      <c r="F154" s="55"/>
      <c r="G154" s="55"/>
      <c r="H154" s="55"/>
      <c r="I154" s="55"/>
      <c r="J154" s="55"/>
      <c r="K154" s="55"/>
      <c r="L154" s="55"/>
      <c r="M154" s="55"/>
      <c r="N154" s="55"/>
      <c r="O154" s="55"/>
      <c r="P154" s="55"/>
      <c r="Q154" s="55"/>
      <c r="R154" s="55"/>
    </row>
    <row r="155" spans="2:18" hidden="1" outlineLevel="1" x14ac:dyDescent="0.2">
      <c r="B155" s="55"/>
      <c r="C155" s="55"/>
      <c r="D155" s="55"/>
      <c r="E155" s="55"/>
      <c r="F155" s="55"/>
      <c r="G155" s="55"/>
      <c r="H155" s="55"/>
      <c r="I155" s="55"/>
      <c r="J155" s="55"/>
      <c r="K155" s="55"/>
      <c r="L155" s="55"/>
      <c r="M155" s="55"/>
      <c r="N155" s="55"/>
      <c r="O155" s="55"/>
      <c r="P155" s="55"/>
      <c r="Q155" s="55"/>
      <c r="R155" s="55"/>
    </row>
    <row r="156" spans="2:18" hidden="1" outlineLevel="1" x14ac:dyDescent="0.2">
      <c r="B156" s="55"/>
      <c r="C156" s="55"/>
      <c r="D156" s="55"/>
      <c r="E156" s="55"/>
      <c r="F156" s="55"/>
      <c r="G156" s="55"/>
      <c r="H156" s="55"/>
      <c r="I156" s="55"/>
      <c r="J156" s="55"/>
      <c r="K156" s="55"/>
      <c r="L156" s="55"/>
      <c r="M156" s="55"/>
      <c r="N156" s="55"/>
      <c r="O156" s="55"/>
      <c r="P156" s="55"/>
      <c r="Q156" s="55"/>
      <c r="R156" s="55"/>
    </row>
    <row r="157" spans="2:18" hidden="1" outlineLevel="1" x14ac:dyDescent="0.2">
      <c r="B157" s="55"/>
      <c r="C157" s="55"/>
      <c r="D157" s="55"/>
      <c r="E157" s="55"/>
      <c r="F157" s="55"/>
      <c r="G157" s="55"/>
      <c r="H157" s="55"/>
      <c r="I157" s="55"/>
      <c r="J157" s="55"/>
      <c r="K157" s="55"/>
      <c r="L157" s="55"/>
      <c r="M157" s="55"/>
      <c r="N157" s="55"/>
      <c r="O157" s="55"/>
      <c r="P157" s="55"/>
      <c r="Q157" s="55"/>
      <c r="R157" s="55"/>
    </row>
    <row r="158" spans="2:18" hidden="1" outlineLevel="1" x14ac:dyDescent="0.2">
      <c r="B158" s="55"/>
      <c r="C158" s="55"/>
      <c r="D158" s="55"/>
      <c r="E158" s="55"/>
      <c r="F158" s="55"/>
      <c r="G158" s="55"/>
      <c r="H158" s="55"/>
      <c r="I158" s="55"/>
      <c r="J158" s="55"/>
      <c r="K158" s="55"/>
      <c r="L158" s="55"/>
      <c r="M158" s="55"/>
      <c r="N158" s="55"/>
      <c r="O158" s="55"/>
      <c r="P158" s="55"/>
      <c r="Q158" s="55"/>
      <c r="R158" s="55"/>
    </row>
    <row r="159" spans="2:18" hidden="1" outlineLevel="1" x14ac:dyDescent="0.2">
      <c r="B159" s="55"/>
      <c r="C159" s="55"/>
      <c r="D159" s="55"/>
      <c r="E159" s="55"/>
      <c r="F159" s="55"/>
      <c r="G159" s="55"/>
      <c r="H159" s="55"/>
      <c r="I159" s="55"/>
      <c r="J159" s="55"/>
      <c r="K159" s="55"/>
      <c r="L159" s="55"/>
      <c r="M159" s="55"/>
      <c r="N159" s="55"/>
      <c r="O159" s="55"/>
      <c r="P159" s="55"/>
      <c r="Q159" s="55"/>
      <c r="R159" s="55"/>
    </row>
    <row r="160" spans="2:18" hidden="1" outlineLevel="1" x14ac:dyDescent="0.2">
      <c r="B160" s="55"/>
      <c r="C160" s="55"/>
      <c r="D160" s="55"/>
      <c r="E160" s="55"/>
      <c r="F160" s="55"/>
      <c r="G160" s="55"/>
      <c r="H160" s="55"/>
      <c r="I160" s="55"/>
      <c r="J160" s="55"/>
      <c r="K160" s="55"/>
      <c r="L160" s="55"/>
      <c r="M160" s="55"/>
      <c r="N160" s="55"/>
      <c r="O160" s="55"/>
      <c r="P160" s="55"/>
      <c r="Q160" s="55"/>
      <c r="R160" s="55"/>
    </row>
    <row r="161" spans="2:18" hidden="1" outlineLevel="1" x14ac:dyDescent="0.2">
      <c r="B161" s="55"/>
      <c r="C161" s="55"/>
      <c r="D161" s="55"/>
      <c r="E161" s="55"/>
      <c r="F161" s="55"/>
      <c r="G161" s="55"/>
      <c r="H161" s="55"/>
      <c r="I161" s="55"/>
      <c r="J161" s="55"/>
      <c r="K161" s="55"/>
      <c r="L161" s="55"/>
      <c r="M161" s="55"/>
      <c r="N161" s="55"/>
      <c r="O161" s="55"/>
      <c r="P161" s="55"/>
      <c r="Q161" s="55"/>
      <c r="R161" s="55"/>
    </row>
    <row r="162" spans="2:18" hidden="1" outlineLevel="1" x14ac:dyDescent="0.2">
      <c r="B162" s="55"/>
      <c r="C162" s="55"/>
      <c r="D162" s="55"/>
      <c r="E162" s="55"/>
      <c r="F162" s="55"/>
      <c r="G162" s="55"/>
      <c r="H162" s="55"/>
      <c r="I162" s="55"/>
      <c r="J162" s="55"/>
      <c r="K162" s="55"/>
      <c r="L162" s="55"/>
      <c r="M162" s="55"/>
      <c r="N162" s="55"/>
      <c r="O162" s="55"/>
      <c r="P162" s="55"/>
      <c r="Q162" s="55"/>
      <c r="R162" s="55"/>
    </row>
    <row r="163" spans="2:18" hidden="1" outlineLevel="1" x14ac:dyDescent="0.2">
      <c r="B163" s="55"/>
      <c r="C163" s="55"/>
      <c r="D163" s="55"/>
      <c r="E163" s="55"/>
      <c r="F163" s="55"/>
      <c r="G163" s="55"/>
      <c r="H163" s="55"/>
      <c r="I163" s="55"/>
      <c r="J163" s="55"/>
      <c r="K163" s="55"/>
      <c r="L163" s="55"/>
      <c r="M163" s="55"/>
      <c r="N163" s="55"/>
      <c r="O163" s="55"/>
      <c r="P163" s="55"/>
      <c r="Q163" s="55"/>
      <c r="R163" s="55"/>
    </row>
    <row r="164" spans="2:18" hidden="1" outlineLevel="1" x14ac:dyDescent="0.2">
      <c r="B164" s="55"/>
      <c r="C164" s="55"/>
      <c r="D164" s="55"/>
      <c r="E164" s="55"/>
      <c r="F164" s="55"/>
      <c r="G164" s="55"/>
      <c r="H164" s="55"/>
      <c r="I164" s="55"/>
      <c r="J164" s="55"/>
      <c r="K164" s="55"/>
      <c r="L164" s="55"/>
      <c r="M164" s="55"/>
      <c r="N164" s="55"/>
      <c r="O164" s="55"/>
      <c r="P164" s="55"/>
      <c r="Q164" s="55"/>
      <c r="R164" s="55"/>
    </row>
    <row r="165" spans="2:18" hidden="1" outlineLevel="1" x14ac:dyDescent="0.2">
      <c r="B165" s="55"/>
      <c r="C165" s="55"/>
      <c r="D165" s="55"/>
      <c r="E165" s="55"/>
      <c r="F165" s="55"/>
      <c r="G165" s="55"/>
      <c r="H165" s="55"/>
      <c r="I165" s="55"/>
      <c r="J165" s="55"/>
      <c r="K165" s="55"/>
      <c r="L165" s="55"/>
      <c r="M165" s="55"/>
      <c r="N165" s="55"/>
      <c r="O165" s="55"/>
      <c r="P165" s="55"/>
      <c r="Q165" s="55"/>
      <c r="R165" s="55"/>
    </row>
    <row r="166" spans="2:18" hidden="1" outlineLevel="1" x14ac:dyDescent="0.2">
      <c r="B166" s="55"/>
      <c r="C166" s="55"/>
      <c r="D166" s="55"/>
      <c r="E166" s="55"/>
      <c r="F166" s="55"/>
      <c r="G166" s="55"/>
      <c r="H166" s="55"/>
      <c r="I166" s="55"/>
      <c r="J166" s="55"/>
      <c r="K166" s="55"/>
      <c r="L166" s="55"/>
      <c r="M166" s="55"/>
      <c r="N166" s="55"/>
      <c r="O166" s="55"/>
      <c r="P166" s="55"/>
      <c r="Q166" s="55"/>
      <c r="R166" s="55"/>
    </row>
    <row r="167" spans="2:18" hidden="1" outlineLevel="1" x14ac:dyDescent="0.2">
      <c r="B167" s="55"/>
      <c r="C167" s="55"/>
      <c r="D167" s="55"/>
      <c r="E167" s="55"/>
      <c r="F167" s="55"/>
      <c r="G167" s="55"/>
      <c r="H167" s="55"/>
      <c r="I167" s="55"/>
      <c r="J167" s="55"/>
      <c r="K167" s="55"/>
      <c r="L167" s="55"/>
      <c r="M167" s="55"/>
      <c r="N167" s="55"/>
      <c r="O167" s="55"/>
      <c r="P167" s="55"/>
      <c r="Q167" s="55"/>
      <c r="R167" s="55"/>
    </row>
    <row r="168" spans="2:18" hidden="1" outlineLevel="1" x14ac:dyDescent="0.2">
      <c r="B168" s="55"/>
      <c r="C168" s="55"/>
      <c r="D168" s="55"/>
      <c r="E168" s="55"/>
      <c r="F168" s="55"/>
      <c r="G168" s="55"/>
      <c r="H168" s="55"/>
      <c r="I168" s="55"/>
      <c r="J168" s="55"/>
      <c r="K168" s="55"/>
      <c r="L168" s="55"/>
      <c r="M168" s="55"/>
      <c r="N168" s="55"/>
      <c r="O168" s="55"/>
      <c r="P168" s="55"/>
      <c r="Q168" s="55"/>
      <c r="R168" s="55"/>
    </row>
    <row r="169" spans="2:18" hidden="1" outlineLevel="1" x14ac:dyDescent="0.2">
      <c r="B169" s="55"/>
      <c r="C169" s="55"/>
      <c r="D169" s="55"/>
      <c r="E169" s="55"/>
      <c r="F169" s="55"/>
      <c r="G169" s="55"/>
      <c r="H169" s="55"/>
      <c r="I169" s="55"/>
      <c r="J169" s="55"/>
      <c r="K169" s="55"/>
      <c r="L169" s="55"/>
      <c r="M169" s="55"/>
      <c r="N169" s="55"/>
      <c r="O169" s="55"/>
      <c r="P169" s="55"/>
      <c r="Q169" s="55"/>
      <c r="R169" s="55"/>
    </row>
    <row r="170" spans="2:18" hidden="1" outlineLevel="1" x14ac:dyDescent="0.2">
      <c r="B170" s="55"/>
      <c r="C170" s="55"/>
      <c r="D170" s="55"/>
      <c r="E170" s="55"/>
      <c r="F170" s="55"/>
      <c r="G170" s="55"/>
      <c r="H170" s="55"/>
      <c r="I170" s="55"/>
      <c r="J170" s="55"/>
      <c r="K170" s="55"/>
      <c r="L170" s="55"/>
      <c r="M170" s="55"/>
      <c r="N170" s="55"/>
      <c r="O170" s="55"/>
      <c r="P170" s="55"/>
      <c r="Q170" s="55"/>
      <c r="R170" s="55"/>
    </row>
    <row r="171" spans="2:18" hidden="1" outlineLevel="1" x14ac:dyDescent="0.2">
      <c r="B171" s="55"/>
      <c r="C171" s="55"/>
      <c r="D171" s="55"/>
      <c r="E171" s="55"/>
      <c r="F171" s="55"/>
      <c r="G171" s="55"/>
      <c r="H171" s="55"/>
      <c r="I171" s="55"/>
      <c r="J171" s="55"/>
      <c r="K171" s="55"/>
      <c r="L171" s="55"/>
      <c r="M171" s="55"/>
      <c r="N171" s="55"/>
      <c r="O171" s="55"/>
      <c r="P171" s="55"/>
      <c r="Q171" s="55"/>
      <c r="R171" s="55"/>
    </row>
    <row r="172" spans="2:18" hidden="1" outlineLevel="1" x14ac:dyDescent="0.2">
      <c r="B172" s="55"/>
      <c r="C172" s="55"/>
      <c r="D172" s="55"/>
      <c r="E172" s="55"/>
      <c r="F172" s="55"/>
      <c r="G172" s="55"/>
      <c r="H172" s="55"/>
      <c r="I172" s="55"/>
      <c r="J172" s="55"/>
      <c r="K172" s="55"/>
      <c r="L172" s="55"/>
      <c r="M172" s="55"/>
      <c r="N172" s="55"/>
      <c r="O172" s="55"/>
      <c r="P172" s="55"/>
      <c r="Q172" s="55"/>
      <c r="R172" s="55"/>
    </row>
    <row r="173" spans="2:18" hidden="1" outlineLevel="1" x14ac:dyDescent="0.2">
      <c r="B173" s="55"/>
      <c r="C173" s="55"/>
      <c r="D173" s="55"/>
      <c r="E173" s="55"/>
      <c r="F173" s="55"/>
      <c r="G173" s="55"/>
      <c r="H173" s="55"/>
      <c r="I173" s="55"/>
      <c r="J173" s="55"/>
      <c r="K173" s="55"/>
      <c r="L173" s="55"/>
      <c r="M173" s="55"/>
      <c r="N173" s="55"/>
      <c r="O173" s="55"/>
      <c r="P173" s="55"/>
      <c r="Q173" s="55"/>
      <c r="R173" s="55"/>
    </row>
    <row r="174" spans="2:18" hidden="1" outlineLevel="1" x14ac:dyDescent="0.2">
      <c r="B174" s="55"/>
      <c r="C174" s="55"/>
      <c r="D174" s="55"/>
      <c r="E174" s="55"/>
      <c r="F174" s="55"/>
      <c r="G174" s="55"/>
      <c r="H174" s="55"/>
      <c r="I174" s="55"/>
      <c r="J174" s="55"/>
      <c r="K174" s="55"/>
      <c r="L174" s="55"/>
      <c r="M174" s="55"/>
      <c r="N174" s="55"/>
      <c r="O174" s="55"/>
      <c r="P174" s="55"/>
      <c r="Q174" s="55"/>
      <c r="R174" s="55"/>
    </row>
    <row r="175" spans="2:18" hidden="1" outlineLevel="1" x14ac:dyDescent="0.2">
      <c r="B175" s="55"/>
      <c r="C175" s="55"/>
      <c r="D175" s="55"/>
      <c r="E175" s="55"/>
      <c r="F175" s="55"/>
      <c r="G175" s="55"/>
      <c r="H175" s="55"/>
      <c r="I175" s="55"/>
      <c r="J175" s="55"/>
      <c r="K175" s="55"/>
      <c r="L175" s="55"/>
      <c r="M175" s="55"/>
      <c r="N175" s="55"/>
      <c r="O175" s="55"/>
      <c r="P175" s="55"/>
      <c r="Q175" s="55"/>
      <c r="R175" s="55"/>
    </row>
    <row r="176" spans="2:18" hidden="1" outlineLevel="1" x14ac:dyDescent="0.2">
      <c r="B176" s="55"/>
      <c r="C176" s="55"/>
      <c r="D176" s="55"/>
      <c r="E176" s="55"/>
      <c r="F176" s="55"/>
      <c r="G176" s="55"/>
      <c r="H176" s="55"/>
      <c r="I176" s="55"/>
      <c r="J176" s="55"/>
      <c r="K176" s="55"/>
      <c r="L176" s="55"/>
      <c r="M176" s="55"/>
      <c r="N176" s="55"/>
      <c r="O176" s="55"/>
      <c r="P176" s="55"/>
      <c r="Q176" s="55"/>
      <c r="R176" s="55"/>
    </row>
    <row r="177" spans="2:18" hidden="1" outlineLevel="1" x14ac:dyDescent="0.2">
      <c r="B177" s="55"/>
      <c r="C177" s="55"/>
      <c r="D177" s="55"/>
      <c r="E177" s="55"/>
      <c r="F177" s="55"/>
      <c r="G177" s="55"/>
      <c r="H177" s="55"/>
      <c r="I177" s="55"/>
      <c r="J177" s="55"/>
      <c r="K177" s="55"/>
      <c r="L177" s="55"/>
      <c r="M177" s="55"/>
      <c r="N177" s="55"/>
      <c r="O177" s="55"/>
      <c r="P177" s="55"/>
      <c r="Q177" s="55"/>
      <c r="R177" s="55"/>
    </row>
    <row r="178" spans="2:18" hidden="1" outlineLevel="1" x14ac:dyDescent="0.2">
      <c r="B178" s="55"/>
      <c r="C178" s="55"/>
      <c r="D178" s="55"/>
      <c r="E178" s="55"/>
      <c r="F178" s="55"/>
      <c r="G178" s="55"/>
      <c r="H178" s="55"/>
      <c r="I178" s="55"/>
      <c r="J178" s="55"/>
      <c r="K178" s="55"/>
      <c r="L178" s="55"/>
      <c r="M178" s="55"/>
      <c r="N178" s="55"/>
      <c r="O178" s="55"/>
      <c r="P178" s="55"/>
      <c r="Q178" s="55"/>
      <c r="R178" s="55"/>
    </row>
    <row r="179" spans="2:18" hidden="1" outlineLevel="1" x14ac:dyDescent="0.2">
      <c r="B179" s="55"/>
      <c r="C179" s="55"/>
      <c r="D179" s="55"/>
      <c r="E179" s="55"/>
      <c r="F179" s="55"/>
      <c r="G179" s="55"/>
      <c r="H179" s="55"/>
      <c r="I179" s="55"/>
      <c r="J179" s="55"/>
      <c r="K179" s="55"/>
      <c r="L179" s="55"/>
      <c r="M179" s="55"/>
      <c r="N179" s="55"/>
      <c r="O179" s="55"/>
      <c r="P179" s="55"/>
      <c r="Q179" s="55"/>
      <c r="R179" s="55"/>
    </row>
    <row r="180" spans="2:18" hidden="1" outlineLevel="1" x14ac:dyDescent="0.2">
      <c r="B180" s="55"/>
      <c r="C180" s="55"/>
      <c r="D180" s="55"/>
      <c r="E180" s="55"/>
      <c r="F180" s="55"/>
      <c r="G180" s="55"/>
      <c r="H180" s="55"/>
      <c r="I180" s="55"/>
      <c r="J180" s="55"/>
      <c r="K180" s="55"/>
      <c r="L180" s="55"/>
      <c r="M180" s="55"/>
      <c r="N180" s="55"/>
      <c r="O180" s="55"/>
      <c r="P180" s="55"/>
      <c r="Q180" s="55"/>
      <c r="R180" s="55"/>
    </row>
    <row r="181" spans="2:18" hidden="1" outlineLevel="1" x14ac:dyDescent="0.2">
      <c r="B181" s="55"/>
      <c r="C181" s="55"/>
      <c r="D181" s="55"/>
      <c r="E181" s="55"/>
      <c r="F181" s="55"/>
      <c r="G181" s="55"/>
      <c r="H181" s="55"/>
      <c r="I181" s="55"/>
      <c r="J181" s="55"/>
      <c r="K181" s="55"/>
      <c r="L181" s="55"/>
      <c r="M181" s="55"/>
      <c r="N181" s="55"/>
      <c r="O181" s="55"/>
      <c r="P181" s="55"/>
      <c r="Q181" s="55"/>
      <c r="R181" s="55"/>
    </row>
    <row r="182" spans="2:18" hidden="1" outlineLevel="1" x14ac:dyDescent="0.2">
      <c r="B182" s="370"/>
      <c r="C182" s="370"/>
      <c r="D182" s="370"/>
      <c r="E182" s="370"/>
      <c r="F182" s="370"/>
      <c r="G182" s="370"/>
      <c r="H182" s="370"/>
      <c r="I182" s="370"/>
      <c r="J182" s="370"/>
      <c r="K182" s="370"/>
      <c r="L182" s="370"/>
      <c r="M182" s="370"/>
      <c r="N182" s="370"/>
      <c r="O182" s="370"/>
      <c r="P182" s="370"/>
      <c r="Q182" s="370"/>
      <c r="R182" s="370"/>
    </row>
    <row r="183" spans="2:18" hidden="1" outlineLevel="1" x14ac:dyDescent="0.2">
      <c r="B183" s="370"/>
      <c r="C183" s="370"/>
      <c r="D183" s="370"/>
      <c r="E183" s="370"/>
      <c r="F183" s="370"/>
      <c r="G183" s="370"/>
      <c r="H183" s="370"/>
      <c r="I183" s="370"/>
      <c r="J183" s="370"/>
      <c r="K183" s="370"/>
      <c r="L183" s="370"/>
      <c r="M183" s="370"/>
      <c r="N183" s="370"/>
      <c r="O183" s="370"/>
      <c r="P183" s="370"/>
      <c r="Q183" s="370"/>
      <c r="R183" s="370"/>
    </row>
    <row r="184" spans="2:18" hidden="1" outlineLevel="1" x14ac:dyDescent="0.2"/>
    <row r="185" spans="2:18" hidden="1" outlineLevel="1" x14ac:dyDescent="0.2"/>
    <row r="186" spans="2:18" hidden="1" outlineLevel="1" x14ac:dyDescent="0.2"/>
    <row r="187" spans="2:18" hidden="1" outlineLevel="1" x14ac:dyDescent="0.2"/>
    <row r="188" spans="2:18" hidden="1" outlineLevel="1" x14ac:dyDescent="0.2"/>
    <row r="189" spans="2:18" hidden="1" outlineLevel="1" x14ac:dyDescent="0.2"/>
    <row r="190" spans="2:18" hidden="1" outlineLevel="1" x14ac:dyDescent="0.2"/>
    <row r="191" spans="2:18" hidden="1" outlineLevel="1" x14ac:dyDescent="0.2"/>
    <row r="192" spans="2:18" collapsed="1" x14ac:dyDescent="0.2"/>
  </sheetData>
  <sheetProtection sheet="1" objects="1" scenarios="1"/>
  <customSheetViews>
    <customSheetView guid="{782F5CFE-DE26-4D5A-B82E-30A424B0A39B}" scale="70" fitToPage="1" hiddenRows="1" state="hidden">
      <selection activeCell="E25" sqref="E25"/>
      <pageMargins left="0.25" right="0.25" top="0.75" bottom="0.75" header="0.3" footer="0.3"/>
      <printOptions headings="1" gridLines="1"/>
      <pageSetup paperSize="5" scale="39" orientation="portrait" r:id="rId1"/>
    </customSheetView>
    <customSheetView guid="{88B031DE-0423-45A5-B384-E560A52FDD07}" scale="70" fitToPage="1" hiddenRows="1" state="hidden">
      <selection activeCell="E25" sqref="E25"/>
      <pageMargins left="0.25" right="0.25" top="0.75" bottom="0.75" header="0.3" footer="0.3"/>
      <printOptions headings="1" gridLines="1"/>
      <pageSetup paperSize="5" scale="39" orientation="portrait" r:id="rId2"/>
    </customSheetView>
    <customSheetView guid="{D5524E47-947F-4D9F-AE8B-3F0380261994}" scale="70" fitToPage="1" hiddenRows="1" state="hidden">
      <selection activeCell="E25" sqref="E25"/>
      <pageMargins left="0.25" right="0.25" top="0.75" bottom="0.75" header="0.3" footer="0.3"/>
      <printOptions headings="1" gridLines="1"/>
      <pageSetup paperSize="5" scale="39" orientation="portrait" r:id="rId3"/>
    </customSheetView>
    <customSheetView guid="{9BF7FAF1-D686-4A6B-A2BE-0DAD43841920}" scale="70" fitToPage="1" hiddenRows="1" state="hidden">
      <selection activeCell="E25" sqref="E25"/>
      <pageMargins left="0.25" right="0.25" top="0.75" bottom="0.75" header="0.3" footer="0.3"/>
      <printOptions headings="1" gridLines="1"/>
      <pageSetup paperSize="5" scale="39" orientation="portrait" r:id="rId4"/>
    </customSheetView>
  </customSheetViews>
  <mergeCells count="1">
    <mergeCell ref="C1:E1"/>
  </mergeCells>
  <printOptions headings="1" gridLines="1"/>
  <pageMargins left="0.25" right="0.25" top="0.75" bottom="0.75" header="0.3" footer="0.3"/>
  <pageSetup paperSize="5" scale="3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0"/>
  <dimension ref="A1:V109"/>
  <sheetViews>
    <sheetView workbookViewId="0"/>
  </sheetViews>
  <sheetFormatPr defaultRowHeight="12.75" x14ac:dyDescent="0.2"/>
  <cols>
    <col min="3" max="3" width="15" customWidth="1"/>
    <col min="13" max="13" width="31" customWidth="1"/>
  </cols>
  <sheetData>
    <row r="1" spans="1:21" x14ac:dyDescent="0.2">
      <c r="A1" s="181" t="s">
        <v>573</v>
      </c>
    </row>
    <row r="3" spans="1:21" x14ac:dyDescent="0.2">
      <c r="B3" s="60" t="s">
        <v>279</v>
      </c>
      <c r="C3" s="41" t="s">
        <v>570</v>
      </c>
      <c r="D3" s="23"/>
      <c r="E3" s="1"/>
      <c r="F3" s="23"/>
      <c r="G3" s="1"/>
      <c r="H3" s="1"/>
      <c r="I3" s="1"/>
      <c r="J3" s="1"/>
      <c r="K3" s="1"/>
      <c r="L3" s="1"/>
    </row>
    <row r="4" spans="1:21" x14ac:dyDescent="0.2">
      <c r="B4" s="1"/>
      <c r="C4" s="5" t="s">
        <v>225</v>
      </c>
      <c r="D4" s="1"/>
      <c r="E4" s="1"/>
      <c r="F4" s="1"/>
      <c r="G4" s="1"/>
      <c r="H4" s="1"/>
      <c r="I4" s="1"/>
      <c r="J4" s="1"/>
      <c r="K4" s="1"/>
      <c r="L4" s="1"/>
    </row>
    <row r="5" spans="1:21" x14ac:dyDescent="0.2">
      <c r="B5" s="1"/>
      <c r="C5" s="1"/>
      <c r="D5" s="1"/>
      <c r="E5" s="1"/>
      <c r="F5" s="1"/>
      <c r="G5" s="1"/>
      <c r="H5" s="1"/>
      <c r="I5" s="1"/>
      <c r="J5" s="1"/>
      <c r="K5" s="1"/>
      <c r="L5" s="1"/>
    </row>
    <row r="6" spans="1:21" x14ac:dyDescent="0.2">
      <c r="B6" s="1"/>
      <c r="C6" s="4" t="s">
        <v>201</v>
      </c>
      <c r="D6" s="1"/>
      <c r="E6" s="1"/>
      <c r="F6" s="1"/>
      <c r="G6" s="1"/>
      <c r="H6" s="1"/>
      <c r="I6" s="1"/>
      <c r="J6" s="1"/>
      <c r="K6" s="1"/>
      <c r="L6" s="1"/>
    </row>
    <row r="7" spans="1:21" x14ac:dyDescent="0.2">
      <c r="B7" s="1"/>
      <c r="C7" s="5" t="s">
        <v>272</v>
      </c>
      <c r="D7" s="1"/>
      <c r="E7" s="1"/>
      <c r="F7" s="1"/>
      <c r="G7" s="1"/>
      <c r="H7" s="1"/>
      <c r="I7" s="1"/>
      <c r="J7" s="1"/>
      <c r="K7" s="1"/>
      <c r="L7" s="1"/>
    </row>
    <row r="8" spans="1:21" x14ac:dyDescent="0.2">
      <c r="B8" s="1"/>
      <c r="C8" s="4"/>
      <c r="D8" s="1"/>
      <c r="E8" s="1"/>
      <c r="F8" s="1"/>
      <c r="G8" s="1"/>
      <c r="H8" s="1"/>
      <c r="I8" s="1"/>
      <c r="J8" s="1"/>
      <c r="K8" s="1"/>
      <c r="L8" s="1"/>
    </row>
    <row r="9" spans="1:21" x14ac:dyDescent="0.2">
      <c r="B9" s="1"/>
      <c r="C9" s="1"/>
      <c r="D9" s="9" t="s">
        <v>0</v>
      </c>
      <c r="E9" s="9" t="s">
        <v>1</v>
      </c>
      <c r="F9" s="9" t="s">
        <v>2</v>
      </c>
      <c r="G9" s="9" t="s">
        <v>3</v>
      </c>
      <c r="H9" s="9" t="s">
        <v>4</v>
      </c>
      <c r="I9" s="9" t="s">
        <v>6</v>
      </c>
      <c r="J9" s="9" t="s">
        <v>37</v>
      </c>
      <c r="K9" s="9" t="s">
        <v>38</v>
      </c>
      <c r="L9" s="1"/>
      <c r="M9" s="27"/>
      <c r="N9" s="442" t="s">
        <v>0</v>
      </c>
      <c r="O9" s="442" t="s">
        <v>1</v>
      </c>
      <c r="P9" s="442" t="s">
        <v>2</v>
      </c>
      <c r="Q9" s="442" t="s">
        <v>3</v>
      </c>
      <c r="R9" s="442" t="s">
        <v>4</v>
      </c>
      <c r="S9" s="442" t="s">
        <v>6</v>
      </c>
      <c r="T9" s="442" t="s">
        <v>37</v>
      </c>
      <c r="U9" s="442" t="s">
        <v>38</v>
      </c>
    </row>
    <row r="10" spans="1:21" x14ac:dyDescent="0.2">
      <c r="B10" s="1"/>
      <c r="C10" s="1"/>
      <c r="D10" s="60"/>
      <c r="E10" s="60"/>
      <c r="F10" s="60"/>
      <c r="G10" s="61"/>
      <c r="H10" s="61"/>
      <c r="I10" s="61"/>
      <c r="J10" s="61"/>
      <c r="K10" s="61"/>
      <c r="L10" s="1"/>
      <c r="M10" s="27"/>
      <c r="N10" s="443"/>
      <c r="O10" s="443"/>
      <c r="P10" s="443"/>
      <c r="Q10" s="443"/>
      <c r="R10" s="443"/>
      <c r="S10" s="443"/>
      <c r="T10" s="443"/>
      <c r="U10" s="443"/>
    </row>
    <row r="11" spans="1:21" x14ac:dyDescent="0.2">
      <c r="B11" s="1"/>
      <c r="C11" s="10" t="s">
        <v>23</v>
      </c>
      <c r="D11" s="60"/>
      <c r="E11" s="60"/>
      <c r="F11" s="60"/>
      <c r="G11" s="61">
        <f t="shared" ref="G11:K11" si="0">+G48-G85</f>
        <v>1.9999999999997797E-3</v>
      </c>
      <c r="H11" s="61">
        <f t="shared" si="0"/>
        <v>-8.7000000000001521E-3</v>
      </c>
      <c r="I11" s="61">
        <f t="shared" si="0"/>
        <v>4.1199999999999903E-2</v>
      </c>
      <c r="J11" s="61">
        <f t="shared" si="0"/>
        <v>-5.9999999999948983E-4</v>
      </c>
      <c r="K11" s="61">
        <f t="shared" si="0"/>
        <v>-5.9999999999948983E-4</v>
      </c>
      <c r="L11" s="1"/>
      <c r="M11" s="27" t="s">
        <v>23</v>
      </c>
      <c r="N11" s="443"/>
      <c r="O11" s="443"/>
      <c r="P11" s="443"/>
      <c r="Q11" s="447">
        <f t="shared" ref="Q11" si="1">+G11/G48</f>
        <v>3.7501640696776357E-4</v>
      </c>
      <c r="R11" s="447">
        <f t="shared" ref="R11" si="2">+H11/H48</f>
        <v>-1.6280854089863114E-3</v>
      </c>
      <c r="S11" s="447">
        <f t="shared" ref="S11" si="3">+I11/I48</f>
        <v>4.3438837694789343E-3</v>
      </c>
      <c r="T11" s="447">
        <f t="shared" ref="T11" si="4">+J11/J48</f>
        <v>-1.2666244458507279E-4</v>
      </c>
      <c r="U11" s="447">
        <f t="shared" ref="U11" si="5">+K11/K48</f>
        <v>-1.2666244458507279E-4</v>
      </c>
    </row>
    <row r="12" spans="1:21" x14ac:dyDescent="0.2">
      <c r="B12" s="1"/>
      <c r="C12" s="15" t="s">
        <v>84</v>
      </c>
      <c r="D12" s="60"/>
      <c r="E12" s="60"/>
      <c r="F12" s="61">
        <f t="shared" ref="F12:F13" si="6">+F49-F86</f>
        <v>0.13510000000000133</v>
      </c>
      <c r="G12" s="1"/>
      <c r="H12" s="61"/>
      <c r="I12" s="61"/>
      <c r="J12" s="61"/>
      <c r="K12" s="60"/>
      <c r="L12" s="1"/>
      <c r="M12" s="444" t="s">
        <v>84</v>
      </c>
      <c r="N12" s="443"/>
      <c r="O12" s="443"/>
      <c r="P12" s="447">
        <f t="shared" ref="P12" si="7">+F12/F49</f>
        <v>6.3236333509640533E-3</v>
      </c>
      <c r="Q12" s="447"/>
      <c r="R12" s="443"/>
      <c r="S12" s="443"/>
      <c r="T12" s="443"/>
      <c r="U12" s="443"/>
    </row>
    <row r="13" spans="1:21" x14ac:dyDescent="0.2">
      <c r="B13" s="1"/>
      <c r="C13" s="15" t="s">
        <v>85</v>
      </c>
      <c r="D13" s="60"/>
      <c r="E13" s="60"/>
      <c r="F13" s="61">
        <f t="shared" si="6"/>
        <v>-2.0000000000006679E-3</v>
      </c>
      <c r="G13" s="60"/>
      <c r="H13" s="60"/>
      <c r="I13" s="60"/>
      <c r="J13" s="60"/>
      <c r="K13" s="60"/>
      <c r="L13" s="1"/>
      <c r="M13" s="444" t="s">
        <v>85</v>
      </c>
      <c r="N13" s="443"/>
      <c r="O13" s="443"/>
      <c r="P13" s="447">
        <f t="shared" ref="P13" si="8">+F13/F50</f>
        <v>-4.494887065963969E-4</v>
      </c>
      <c r="Q13" s="447"/>
      <c r="R13" s="443"/>
      <c r="S13" s="443"/>
      <c r="T13" s="443"/>
      <c r="U13" s="443"/>
    </row>
    <row r="14" spans="1:21" x14ac:dyDescent="0.2">
      <c r="B14" s="1"/>
      <c r="C14" s="438"/>
      <c r="D14" s="60"/>
      <c r="E14" s="60"/>
      <c r="F14" s="60"/>
      <c r="G14" s="60"/>
      <c r="H14" s="60"/>
      <c r="I14" s="60"/>
      <c r="J14" s="60"/>
      <c r="K14" s="60"/>
      <c r="L14" s="1"/>
      <c r="M14" s="445"/>
      <c r="N14" s="443"/>
      <c r="O14" s="443"/>
      <c r="P14" s="443"/>
      <c r="Q14" s="443"/>
      <c r="R14" s="443"/>
      <c r="S14" s="443"/>
      <c r="T14" s="443"/>
      <c r="U14" s="443"/>
    </row>
    <row r="15" spans="1:21" x14ac:dyDescent="0.2">
      <c r="B15" s="1"/>
      <c r="C15" s="39" t="s">
        <v>166</v>
      </c>
      <c r="D15" s="61">
        <f>+D52-D89</f>
        <v>5.0800000000000622E-2</v>
      </c>
      <c r="E15" s="61">
        <f>+E52-E89</f>
        <v>2.7299999999998548E-2</v>
      </c>
      <c r="F15" s="60"/>
      <c r="G15" s="60"/>
      <c r="H15" s="60"/>
      <c r="I15" s="60"/>
      <c r="J15" s="60"/>
      <c r="K15" s="60"/>
      <c r="L15" s="1"/>
      <c r="M15" s="446" t="s">
        <v>166</v>
      </c>
      <c r="N15" s="447">
        <f>+D15/D52</f>
        <v>4.456726762293339E-3</v>
      </c>
      <c r="O15" s="447">
        <f>+E15/E52</f>
        <v>3.2711848159507465E-3</v>
      </c>
      <c r="P15" s="443"/>
      <c r="Q15" s="443"/>
      <c r="R15" s="443"/>
      <c r="S15" s="443"/>
      <c r="T15" s="443"/>
      <c r="U15" s="443"/>
    </row>
    <row r="16" spans="1:21" x14ac:dyDescent="0.2">
      <c r="B16" s="1"/>
      <c r="C16" s="39" t="s">
        <v>167</v>
      </c>
      <c r="D16" s="61">
        <f>+D53-D90</f>
        <v>5.1000000000000156E-2</v>
      </c>
      <c r="E16" s="61">
        <f>+E53-E90</f>
        <v>2.7599999999999625E-2</v>
      </c>
      <c r="F16" s="60"/>
      <c r="G16" s="60"/>
      <c r="H16" s="60"/>
      <c r="I16" s="60"/>
      <c r="J16" s="60"/>
      <c r="K16" s="60"/>
      <c r="L16" s="1"/>
      <c r="M16" s="446" t="s">
        <v>167</v>
      </c>
      <c r="N16" s="447">
        <f>+D16/D53</f>
        <v>4.1432087933513809E-3</v>
      </c>
      <c r="O16" s="447">
        <f>+E16/E53</f>
        <v>2.8859727087363024E-3</v>
      </c>
      <c r="P16" s="443"/>
      <c r="Q16" s="443"/>
      <c r="R16" s="443"/>
      <c r="S16" s="443"/>
      <c r="T16" s="443"/>
      <c r="U16" s="443"/>
    </row>
    <row r="17" spans="2:22" x14ac:dyDescent="0.2">
      <c r="B17" s="1"/>
      <c r="C17" s="1"/>
      <c r="D17" s="61"/>
      <c r="E17" s="61"/>
      <c r="F17" s="60"/>
      <c r="G17" s="60"/>
      <c r="H17" s="60"/>
      <c r="I17" s="60"/>
      <c r="J17" s="60"/>
      <c r="K17" s="60"/>
      <c r="L17" s="1"/>
      <c r="M17" s="27"/>
      <c r="N17" s="443"/>
      <c r="O17" s="443"/>
      <c r="P17" s="443"/>
      <c r="Q17" s="443"/>
      <c r="R17" s="443"/>
      <c r="S17" s="443"/>
      <c r="T17" s="443"/>
      <c r="U17" s="443"/>
    </row>
    <row r="18" spans="2:22" x14ac:dyDescent="0.2">
      <c r="B18" s="1"/>
      <c r="C18" s="10" t="s">
        <v>24</v>
      </c>
      <c r="D18" s="61">
        <f t="shared" ref="D18:E18" si="9">+D55-D92</f>
        <v>5.1600000000000534E-2</v>
      </c>
      <c r="E18" s="61">
        <f t="shared" si="9"/>
        <v>2.2800000000000153E-2</v>
      </c>
      <c r="F18" s="60"/>
      <c r="G18" s="61">
        <f t="shared" ref="F18:K20" si="10">+G55-G92</f>
        <v>-8.8000000000008072E-3</v>
      </c>
      <c r="H18" s="61">
        <f t="shared" si="10"/>
        <v>-8.799999999999919E-3</v>
      </c>
      <c r="I18" s="61">
        <f t="shared" si="10"/>
        <v>2.4299999999998434E-2</v>
      </c>
      <c r="J18" s="61">
        <f t="shared" si="10"/>
        <v>-1.9999999999953388E-4</v>
      </c>
      <c r="K18" s="61">
        <f t="shared" si="10"/>
        <v>-1.9999999999953388E-4</v>
      </c>
      <c r="L18" s="1"/>
      <c r="M18" s="27" t="s">
        <v>24</v>
      </c>
      <c r="N18" s="447">
        <f>+D18/D55</f>
        <v>4.6007346909662022E-3</v>
      </c>
      <c r="O18" s="447">
        <f>+E18/E55</f>
        <v>2.619244554728443E-3</v>
      </c>
      <c r="P18" s="443"/>
      <c r="Q18" s="447">
        <f t="shared" ref="Q18" si="11">+G18/G55</f>
        <v>-1.6113379598265629E-3</v>
      </c>
      <c r="R18" s="447">
        <f t="shared" ref="R18" si="12">+H18/H55</f>
        <v>-1.6056050211647787E-3</v>
      </c>
      <c r="S18" s="447">
        <f t="shared" ref="S18" si="13">+I18/I55</f>
        <v>2.6573640698130479E-3</v>
      </c>
      <c r="T18" s="447">
        <f t="shared" ref="T18" si="14">+J18/J55</f>
        <v>-3.8771712158718571E-5</v>
      </c>
      <c r="U18" s="447">
        <f t="shared" ref="U18" si="15">+K18/K55</f>
        <v>-3.8771712158718571E-5</v>
      </c>
    </row>
    <row r="19" spans="2:22" x14ac:dyDescent="0.2">
      <c r="B19" s="1"/>
      <c r="C19" s="15" t="s">
        <v>84</v>
      </c>
      <c r="D19" s="60"/>
      <c r="E19" s="60"/>
      <c r="F19" s="61">
        <f t="shared" si="10"/>
        <v>0.11329999999999885</v>
      </c>
      <c r="G19" s="60"/>
      <c r="H19" s="60"/>
      <c r="I19" s="60"/>
      <c r="J19" s="60"/>
      <c r="K19" s="60"/>
      <c r="L19" s="1"/>
      <c r="M19" s="444" t="s">
        <v>84</v>
      </c>
      <c r="N19" s="443"/>
      <c r="O19" s="443"/>
      <c r="P19" s="447">
        <f t="shared" ref="P19:P20" si="16">+F19/F56</f>
        <v>5.6876082427649325E-3</v>
      </c>
      <c r="Q19" s="443"/>
      <c r="R19" s="443"/>
      <c r="S19" s="443"/>
      <c r="T19" s="443"/>
      <c r="U19" s="443"/>
    </row>
    <row r="20" spans="2:22" x14ac:dyDescent="0.2">
      <c r="B20" s="1"/>
      <c r="C20" s="15" t="s">
        <v>85</v>
      </c>
      <c r="D20" s="60"/>
      <c r="E20" s="60"/>
      <c r="F20" s="61">
        <f t="shared" si="10"/>
        <v>-1.1500000000000732E-2</v>
      </c>
      <c r="G20" s="60"/>
      <c r="H20" s="60"/>
      <c r="I20" s="60"/>
      <c r="J20" s="60"/>
      <c r="K20" s="60"/>
      <c r="L20" s="1"/>
      <c r="M20" s="444" t="s">
        <v>85</v>
      </c>
      <c r="N20" s="443"/>
      <c r="O20" s="443"/>
      <c r="P20" s="447">
        <f t="shared" si="16"/>
        <v>-2.4170835259995655E-3</v>
      </c>
      <c r="Q20" s="443"/>
      <c r="R20" s="443"/>
      <c r="S20" s="443"/>
      <c r="T20" s="443"/>
      <c r="U20" s="443"/>
    </row>
    <row r="21" spans="2:22" x14ac:dyDescent="0.2">
      <c r="B21" s="1"/>
      <c r="C21" s="1"/>
      <c r="D21" s="60"/>
      <c r="E21" s="60"/>
      <c r="F21" s="61"/>
      <c r="G21" s="60"/>
      <c r="H21" s="60"/>
      <c r="I21" s="60"/>
      <c r="J21" s="60"/>
      <c r="K21" s="60"/>
      <c r="L21" s="1"/>
    </row>
    <row r="22" spans="2:22" x14ac:dyDescent="0.2">
      <c r="B22" s="1"/>
      <c r="C22" s="1"/>
      <c r="D22" s="1"/>
      <c r="E22" s="1"/>
      <c r="F22" s="1"/>
      <c r="G22" s="1"/>
      <c r="H22" s="1"/>
      <c r="I22" s="1"/>
      <c r="J22" s="1"/>
      <c r="K22" s="1"/>
      <c r="L22" s="1"/>
    </row>
    <row r="23" spans="2:22" x14ac:dyDescent="0.2">
      <c r="B23" s="1"/>
      <c r="C23" s="1"/>
      <c r="D23" s="1"/>
      <c r="E23" s="1"/>
      <c r="F23" s="1"/>
      <c r="G23" s="1"/>
      <c r="H23" s="1"/>
      <c r="I23" s="1"/>
      <c r="J23" s="1"/>
      <c r="K23" s="1"/>
      <c r="L23" s="1"/>
    </row>
    <row r="24" spans="2:22" x14ac:dyDescent="0.2">
      <c r="B24" s="1"/>
      <c r="C24" s="4" t="s">
        <v>202</v>
      </c>
      <c r="D24" s="1"/>
      <c r="E24" s="1"/>
      <c r="F24" s="1"/>
      <c r="G24" s="1"/>
      <c r="H24" s="1"/>
      <c r="I24" s="1"/>
      <c r="J24" s="1"/>
      <c r="K24" s="1"/>
      <c r="L24" s="1"/>
    </row>
    <row r="25" spans="2:22" x14ac:dyDescent="0.2">
      <c r="B25" s="1"/>
      <c r="C25" s="5" t="s">
        <v>273</v>
      </c>
      <c r="D25" s="1"/>
      <c r="E25" s="1"/>
      <c r="F25" s="1"/>
      <c r="G25" s="1"/>
      <c r="H25" s="1"/>
      <c r="I25" s="1"/>
      <c r="J25" s="1"/>
      <c r="K25" s="1"/>
      <c r="L25" s="1"/>
    </row>
    <row r="26" spans="2:22" x14ac:dyDescent="0.2">
      <c r="B26" s="1"/>
      <c r="C26" s="7"/>
      <c r="D26" s="1"/>
      <c r="E26" s="1"/>
      <c r="F26" s="1"/>
      <c r="G26" s="1"/>
      <c r="H26" s="1"/>
      <c r="I26" s="1"/>
      <c r="J26" s="1"/>
      <c r="K26" s="1"/>
      <c r="L26" s="1"/>
    </row>
    <row r="27" spans="2:22" x14ac:dyDescent="0.2">
      <c r="B27" s="1"/>
      <c r="C27" s="1"/>
      <c r="D27" s="9" t="s">
        <v>5</v>
      </c>
      <c r="E27" s="9"/>
      <c r="F27" s="9" t="s">
        <v>36</v>
      </c>
      <c r="G27" s="9"/>
      <c r="H27" s="1"/>
      <c r="I27" s="4" t="s">
        <v>31</v>
      </c>
      <c r="J27" s="9" t="s">
        <v>5</v>
      </c>
      <c r="K27" s="9" t="s">
        <v>36</v>
      </c>
      <c r="L27" s="1"/>
      <c r="M27" s="1"/>
      <c r="N27" s="9" t="s">
        <v>5</v>
      </c>
      <c r="O27" s="9"/>
      <c r="P27" s="9" t="s">
        <v>36</v>
      </c>
      <c r="Q27" s="9"/>
      <c r="R27" s="1"/>
      <c r="S27" s="4" t="s">
        <v>31</v>
      </c>
      <c r="T27" s="9" t="s">
        <v>5</v>
      </c>
      <c r="U27" s="9" t="s">
        <v>36</v>
      </c>
      <c r="V27" s="1"/>
    </row>
    <row r="28" spans="2:22" x14ac:dyDescent="0.2">
      <c r="B28" s="1"/>
      <c r="C28" s="1"/>
      <c r="D28" s="1"/>
      <c r="E28" s="1"/>
      <c r="F28" s="1"/>
      <c r="G28" s="29"/>
      <c r="H28" s="1"/>
      <c r="I28" s="1"/>
      <c r="J28" s="1"/>
      <c r="K28" s="1"/>
      <c r="L28" s="1"/>
      <c r="M28" s="1"/>
      <c r="N28" s="1"/>
      <c r="O28" s="1"/>
      <c r="P28" s="1"/>
      <c r="Q28" s="29"/>
      <c r="R28" s="1"/>
      <c r="S28" s="1"/>
      <c r="T28" s="1"/>
      <c r="U28" s="1"/>
      <c r="V28" s="1"/>
    </row>
    <row r="29" spans="2:22" x14ac:dyDescent="0.2">
      <c r="B29" s="1"/>
      <c r="C29" s="10" t="s">
        <v>23</v>
      </c>
      <c r="D29" s="61">
        <f t="shared" ref="D29" si="17">+D66-D103</f>
        <v>1.9999999999997797E-3</v>
      </c>
      <c r="E29" s="61"/>
      <c r="F29" s="61"/>
      <c r="G29" s="32"/>
      <c r="H29" s="1"/>
      <c r="I29" s="19" t="s">
        <v>28</v>
      </c>
      <c r="J29" s="1"/>
      <c r="K29" s="1"/>
      <c r="L29" s="1"/>
      <c r="M29" s="10" t="s">
        <v>23</v>
      </c>
      <c r="N29" s="447">
        <f t="shared" ref="N29" si="18">+D29/D66</f>
        <v>3.0586651985070346E-4</v>
      </c>
      <c r="O29" s="447"/>
      <c r="P29" s="447"/>
      <c r="Q29" s="32"/>
      <c r="R29" s="1"/>
      <c r="S29" s="19" t="s">
        <v>28</v>
      </c>
      <c r="T29" s="1"/>
      <c r="U29" s="1"/>
      <c r="V29" s="1"/>
    </row>
    <row r="30" spans="2:22" x14ac:dyDescent="0.2">
      <c r="B30" s="1"/>
      <c r="C30" s="15" t="s">
        <v>84</v>
      </c>
      <c r="D30" s="61"/>
      <c r="E30" s="61"/>
      <c r="F30" s="61">
        <f t="shared" ref="F30" si="19">+F67-F104</f>
        <v>-2.4000000000006239E-3</v>
      </c>
      <c r="G30" s="33"/>
      <c r="H30" s="1"/>
      <c r="I30" s="12" t="s">
        <v>47</v>
      </c>
      <c r="J30" s="61">
        <f t="shared" ref="J30:K30" si="20">+J67-J104</f>
        <v>0.12220000000000031</v>
      </c>
      <c r="K30" s="61">
        <f t="shared" si="20"/>
        <v>0.12220000000000031</v>
      </c>
      <c r="L30" s="1"/>
      <c r="M30" s="15" t="s">
        <v>84</v>
      </c>
      <c r="N30" s="447"/>
      <c r="O30" s="447"/>
      <c r="P30" s="447">
        <f t="shared" ref="P30" si="21">+F30/F67</f>
        <v>-3.0053721026342389E-4</v>
      </c>
      <c r="Q30" s="33"/>
      <c r="R30" s="1"/>
      <c r="S30" s="12" t="s">
        <v>47</v>
      </c>
      <c r="T30" s="447">
        <f t="shared" ref="T30:T31" si="22">+J30/J67</f>
        <v>1.8152378971761359E-2</v>
      </c>
      <c r="U30" s="447">
        <f t="shared" ref="U30:U31" si="23">+K30/K67</f>
        <v>1.8152378971761359E-2</v>
      </c>
      <c r="V30" s="1"/>
    </row>
    <row r="31" spans="2:22" x14ac:dyDescent="0.2">
      <c r="B31" s="1"/>
      <c r="C31" s="15" t="s">
        <v>85</v>
      </c>
      <c r="D31" s="61"/>
      <c r="E31" s="61"/>
      <c r="F31" s="61">
        <f t="shared" ref="F31" si="24">+F68-F105</f>
        <v>-2.0000000000006679E-3</v>
      </c>
      <c r="G31" s="33"/>
      <c r="H31" s="1"/>
      <c r="I31" s="12" t="s">
        <v>48</v>
      </c>
      <c r="J31" s="61">
        <f t="shared" ref="J31:K31" si="25">+J68-J105</f>
        <v>0.12220000000000031</v>
      </c>
      <c r="K31" s="61">
        <f t="shared" si="25"/>
        <v>0.12220000000000031</v>
      </c>
      <c r="L31" s="1"/>
      <c r="M31" s="15" t="s">
        <v>85</v>
      </c>
      <c r="N31" s="447"/>
      <c r="O31" s="447"/>
      <c r="P31" s="447">
        <f t="shared" ref="P31" si="26">+F31/F68</f>
        <v>-4.494887065963969E-4</v>
      </c>
      <c r="Q31" s="33"/>
      <c r="R31" s="1"/>
      <c r="S31" s="12" t="s">
        <v>48</v>
      </c>
      <c r="T31" s="447">
        <f t="shared" si="22"/>
        <v>1.8152378971761359E-2</v>
      </c>
      <c r="U31" s="447">
        <f t="shared" si="23"/>
        <v>1.8152378971761359E-2</v>
      </c>
      <c r="V31" s="1"/>
    </row>
    <row r="32" spans="2:22" x14ac:dyDescent="0.2">
      <c r="B32" s="1"/>
      <c r="C32" s="1"/>
      <c r="D32" s="61"/>
      <c r="E32" s="61"/>
      <c r="F32" s="61"/>
      <c r="G32" s="33"/>
      <c r="H32" s="1"/>
      <c r="I32" s="12"/>
      <c r="J32" s="46"/>
      <c r="K32" s="46"/>
      <c r="L32" s="1"/>
      <c r="M32" s="1"/>
      <c r="N32" s="447"/>
      <c r="O32" s="447"/>
      <c r="P32" s="447"/>
      <c r="Q32" s="33"/>
      <c r="R32" s="1"/>
      <c r="S32" s="12"/>
      <c r="T32" s="46"/>
      <c r="U32" s="46"/>
      <c r="V32" s="1"/>
    </row>
    <row r="33" spans="1:22" x14ac:dyDescent="0.2">
      <c r="B33" s="1"/>
      <c r="C33" s="10" t="s">
        <v>24</v>
      </c>
      <c r="D33" s="61">
        <f t="shared" ref="D33" si="27">+D70-D107</f>
        <v>-3.8000000000000256E-3</v>
      </c>
      <c r="E33" s="61"/>
      <c r="F33" s="61"/>
      <c r="G33" s="33"/>
      <c r="H33" s="1"/>
      <c r="I33" s="19" t="s">
        <v>29</v>
      </c>
      <c r="J33" s="20"/>
      <c r="K33" s="20"/>
      <c r="L33" s="1"/>
      <c r="M33" s="10" t="s">
        <v>24</v>
      </c>
      <c r="N33" s="447">
        <f t="shared" ref="N33" si="28">+D33/D70</f>
        <v>-5.7895939666336945E-4</v>
      </c>
      <c r="O33" s="447"/>
      <c r="P33" s="447"/>
      <c r="Q33" s="33"/>
      <c r="R33" s="1"/>
      <c r="S33" s="19" t="s">
        <v>29</v>
      </c>
      <c r="T33" s="20"/>
      <c r="U33" s="20"/>
      <c r="V33" s="1"/>
    </row>
    <row r="34" spans="1:22" x14ac:dyDescent="0.2">
      <c r="B34" s="1"/>
      <c r="C34" s="15" t="s">
        <v>84</v>
      </c>
      <c r="D34" s="61"/>
      <c r="E34" s="61"/>
      <c r="F34" s="61">
        <f t="shared" ref="F34" si="29">+F71-F108</f>
        <v>-1.9999999999953388E-4</v>
      </c>
      <c r="G34" s="33"/>
      <c r="H34" s="1"/>
      <c r="I34" s="12" t="s">
        <v>49</v>
      </c>
      <c r="J34" s="61">
        <f t="shared" ref="J34:K34" si="30">+J71-J108</f>
        <v>0</v>
      </c>
      <c r="K34" s="61">
        <f t="shared" si="30"/>
        <v>0</v>
      </c>
      <c r="L34" s="1"/>
      <c r="M34" s="15" t="s">
        <v>84</v>
      </c>
      <c r="N34" s="447"/>
      <c r="O34" s="447"/>
      <c r="P34" s="447">
        <f t="shared" ref="P34" si="31">+F34/F71</f>
        <v>-2.5561392073352745E-5</v>
      </c>
      <c r="Q34" s="33"/>
      <c r="R34" s="1"/>
      <c r="S34" s="12" t="s">
        <v>49</v>
      </c>
      <c r="T34" s="447">
        <f t="shared" ref="T34" si="32">+J34/J71</f>
        <v>0</v>
      </c>
      <c r="U34" s="447">
        <f t="shared" ref="U34" si="33">+K34/K71</f>
        <v>0</v>
      </c>
      <c r="V34" s="1"/>
    </row>
    <row r="35" spans="1:22" x14ac:dyDescent="0.2">
      <c r="B35" s="1"/>
      <c r="C35" s="15" t="s">
        <v>85</v>
      </c>
      <c r="D35" s="61"/>
      <c r="E35" s="61"/>
      <c r="F35" s="61">
        <f t="shared" ref="F35" si="34">+F72-F109</f>
        <v>-1.7000000000004789E-3</v>
      </c>
      <c r="G35" s="33"/>
      <c r="H35" s="1"/>
      <c r="I35" s="1"/>
      <c r="J35" s="1"/>
      <c r="K35" s="1"/>
      <c r="L35" s="1"/>
      <c r="M35" s="15" t="s">
        <v>85</v>
      </c>
      <c r="N35" s="447"/>
      <c r="O35" s="447"/>
      <c r="P35" s="447">
        <f t="shared" ref="P35" si="35">+F35/F72</f>
        <v>-3.5730799949566588E-4</v>
      </c>
      <c r="Q35" s="33"/>
      <c r="R35" s="1"/>
      <c r="S35" s="1"/>
      <c r="T35" s="1"/>
      <c r="U35" s="1"/>
      <c r="V35" s="1"/>
    </row>
    <row r="36" spans="1:22" x14ac:dyDescent="0.2">
      <c r="B36" s="1"/>
      <c r="C36" s="1"/>
      <c r="D36" s="1"/>
      <c r="E36" s="1"/>
      <c r="F36" s="1"/>
      <c r="G36" s="1"/>
      <c r="H36" s="1"/>
      <c r="I36" s="1"/>
      <c r="J36" s="1"/>
      <c r="K36" s="1"/>
      <c r="L36" s="1"/>
    </row>
    <row r="38" spans="1:22" x14ac:dyDescent="0.2">
      <c r="A38" s="439" t="s">
        <v>571</v>
      </c>
    </row>
    <row r="40" spans="1:22" x14ac:dyDescent="0.2">
      <c r="B40" s="60" t="s">
        <v>279</v>
      </c>
      <c r="C40" s="41" t="s">
        <v>570</v>
      </c>
      <c r="D40" s="440"/>
      <c r="E40" s="1"/>
      <c r="F40" s="440"/>
      <c r="G40" s="1"/>
      <c r="H40" s="1"/>
      <c r="I40" s="1"/>
      <c r="J40" s="1"/>
      <c r="K40" s="1"/>
      <c r="L40" s="1"/>
    </row>
    <row r="41" spans="1:22" x14ac:dyDescent="0.2">
      <c r="B41" s="1"/>
      <c r="C41" s="5" t="s">
        <v>225</v>
      </c>
      <c r="D41" s="1"/>
      <c r="E41" s="1"/>
      <c r="F41" s="1"/>
      <c r="G41" s="1"/>
      <c r="H41" s="1"/>
      <c r="I41" s="1"/>
      <c r="J41" s="1"/>
      <c r="K41" s="1"/>
      <c r="L41" s="1"/>
    </row>
    <row r="42" spans="1:22" x14ac:dyDescent="0.2">
      <c r="B42" s="1"/>
      <c r="C42" s="1"/>
      <c r="D42" s="1"/>
      <c r="E42" s="1"/>
      <c r="F42" s="1"/>
      <c r="G42" s="1"/>
      <c r="H42" s="1"/>
      <c r="I42" s="1"/>
      <c r="J42" s="1"/>
      <c r="K42" s="1"/>
      <c r="L42" s="1"/>
    </row>
    <row r="43" spans="1:22" x14ac:dyDescent="0.2">
      <c r="B43" s="1"/>
      <c r="C43" s="4" t="s">
        <v>201</v>
      </c>
      <c r="D43" s="1"/>
      <c r="E43" s="1"/>
      <c r="F43" s="1"/>
      <c r="G43" s="1"/>
      <c r="H43" s="1"/>
      <c r="I43" s="1"/>
      <c r="J43" s="1"/>
      <c r="K43" s="1"/>
      <c r="L43" s="1"/>
    </row>
    <row r="44" spans="1:22" x14ac:dyDescent="0.2">
      <c r="B44" s="1"/>
      <c r="C44" s="5" t="s">
        <v>272</v>
      </c>
      <c r="D44" s="1"/>
      <c r="E44" s="1"/>
      <c r="F44" s="1"/>
      <c r="G44" s="1"/>
      <c r="H44" s="1"/>
      <c r="I44" s="1"/>
      <c r="J44" s="1"/>
      <c r="K44" s="1"/>
      <c r="L44" s="1"/>
    </row>
    <row r="45" spans="1:22" x14ac:dyDescent="0.2">
      <c r="B45" s="1"/>
      <c r="C45" s="4"/>
      <c r="D45" s="1"/>
      <c r="E45" s="1"/>
      <c r="F45" s="1"/>
      <c r="G45" s="1"/>
      <c r="H45" s="1"/>
      <c r="I45" s="1"/>
      <c r="J45" s="1"/>
      <c r="K45" s="1"/>
      <c r="L45" s="1"/>
    </row>
    <row r="46" spans="1:22" x14ac:dyDescent="0.2">
      <c r="B46" s="1"/>
      <c r="C46" s="1"/>
      <c r="D46" s="9" t="s">
        <v>0</v>
      </c>
      <c r="E46" s="9" t="s">
        <v>1</v>
      </c>
      <c r="F46" s="9" t="s">
        <v>2</v>
      </c>
      <c r="G46" s="9" t="s">
        <v>3</v>
      </c>
      <c r="H46" s="9" t="s">
        <v>4</v>
      </c>
      <c r="I46" s="9" t="s">
        <v>6</v>
      </c>
      <c r="J46" s="9" t="s">
        <v>37</v>
      </c>
      <c r="K46" s="9" t="s">
        <v>38</v>
      </c>
      <c r="L46" s="1"/>
    </row>
    <row r="47" spans="1:22" x14ac:dyDescent="0.2">
      <c r="B47" s="1"/>
      <c r="C47" s="1"/>
      <c r="D47" s="60"/>
      <c r="E47" s="60"/>
      <c r="F47" s="60"/>
      <c r="G47" s="61"/>
      <c r="H47" s="61"/>
      <c r="I47" s="61"/>
      <c r="J47" s="61"/>
      <c r="K47" s="61"/>
      <c r="L47" s="1"/>
    </row>
    <row r="48" spans="1:22" x14ac:dyDescent="0.2">
      <c r="B48" s="1"/>
      <c r="C48" s="10" t="s">
        <v>23</v>
      </c>
      <c r="D48" s="60"/>
      <c r="E48" s="60"/>
      <c r="F48" s="60"/>
      <c r="G48" s="61">
        <v>5.3331</v>
      </c>
      <c r="H48" s="61">
        <v>5.3437000000000001</v>
      </c>
      <c r="I48" s="61">
        <v>9.4846000000000004</v>
      </c>
      <c r="J48" s="61">
        <v>4.7370000000000001</v>
      </c>
      <c r="K48" s="61">
        <v>4.7370000000000001</v>
      </c>
      <c r="L48" s="1"/>
    </row>
    <row r="49" spans="2:12" x14ac:dyDescent="0.2">
      <c r="B49" s="1"/>
      <c r="C49" s="15" t="s">
        <v>84</v>
      </c>
      <c r="D49" s="60"/>
      <c r="E49" s="60"/>
      <c r="F49" s="61">
        <v>21.3643</v>
      </c>
      <c r="G49" s="1"/>
      <c r="H49" s="61"/>
      <c r="I49" s="61"/>
      <c r="J49" s="61"/>
      <c r="K49" s="60"/>
      <c r="L49" s="1"/>
    </row>
    <row r="50" spans="2:12" x14ac:dyDescent="0.2">
      <c r="B50" s="1"/>
      <c r="C50" s="15" t="s">
        <v>85</v>
      </c>
      <c r="D50" s="60"/>
      <c r="E50" s="60"/>
      <c r="F50" s="61">
        <v>4.4494999999999996</v>
      </c>
      <c r="G50" s="60"/>
      <c r="H50" s="60"/>
      <c r="I50" s="60"/>
      <c r="J50" s="60"/>
      <c r="K50" s="60"/>
      <c r="L50" s="1"/>
    </row>
    <row r="51" spans="2:12" x14ac:dyDescent="0.2">
      <c r="B51" s="1"/>
      <c r="C51" s="438"/>
      <c r="D51" s="60"/>
      <c r="E51" s="60"/>
      <c r="F51" s="60"/>
      <c r="G51" s="60"/>
      <c r="H51" s="60"/>
      <c r="I51" s="60"/>
      <c r="J51" s="60"/>
      <c r="K51" s="60"/>
      <c r="L51" s="1"/>
    </row>
    <row r="52" spans="2:12" x14ac:dyDescent="0.2">
      <c r="B52" s="1"/>
      <c r="C52" s="71" t="s">
        <v>166</v>
      </c>
      <c r="D52" s="61">
        <v>11.3985</v>
      </c>
      <c r="E52" s="61">
        <v>8.3455999999999992</v>
      </c>
      <c r="F52" s="60"/>
      <c r="G52" s="60"/>
      <c r="H52" s="60"/>
      <c r="I52" s="60"/>
      <c r="J52" s="60"/>
      <c r="K52" s="60"/>
      <c r="L52" s="1"/>
    </row>
    <row r="53" spans="2:12" x14ac:dyDescent="0.2">
      <c r="B53" s="1"/>
      <c r="C53" s="71" t="s">
        <v>167</v>
      </c>
      <c r="D53" s="61">
        <v>12.3093</v>
      </c>
      <c r="E53" s="61">
        <v>9.5634999999999994</v>
      </c>
      <c r="F53" s="60"/>
      <c r="G53" s="60"/>
      <c r="H53" s="60"/>
      <c r="I53" s="60"/>
      <c r="J53" s="60"/>
      <c r="K53" s="60"/>
      <c r="L53" s="1"/>
    </row>
    <row r="54" spans="2:12" x14ac:dyDescent="0.2">
      <c r="B54" s="1"/>
      <c r="C54" s="1"/>
      <c r="D54" s="61"/>
      <c r="E54" s="61"/>
      <c r="F54" s="60"/>
      <c r="G54" s="60"/>
      <c r="H54" s="60"/>
      <c r="I54" s="60"/>
      <c r="J54" s="60"/>
      <c r="K54" s="60"/>
      <c r="L54" s="1"/>
    </row>
    <row r="55" spans="2:12" x14ac:dyDescent="0.2">
      <c r="B55" s="1"/>
      <c r="C55" s="10" t="s">
        <v>24</v>
      </c>
      <c r="D55" s="61">
        <v>11.2156</v>
      </c>
      <c r="E55" s="61">
        <v>8.7048000000000005</v>
      </c>
      <c r="F55" s="60"/>
      <c r="G55" s="61">
        <v>5.4612999999999996</v>
      </c>
      <c r="H55" s="61">
        <v>5.4808000000000003</v>
      </c>
      <c r="I55" s="61">
        <v>9.1443999999999992</v>
      </c>
      <c r="J55" s="61">
        <v>5.1584000000000003</v>
      </c>
      <c r="K55" s="61">
        <v>5.1584000000000003</v>
      </c>
      <c r="L55" s="1"/>
    </row>
    <row r="56" spans="2:12" x14ac:dyDescent="0.2">
      <c r="B56" s="1"/>
      <c r="C56" s="15" t="s">
        <v>84</v>
      </c>
      <c r="D56" s="60"/>
      <c r="E56" s="60"/>
      <c r="F56" s="61">
        <v>19.920500000000001</v>
      </c>
      <c r="G56" s="60"/>
      <c r="H56" s="60"/>
      <c r="I56" s="60"/>
      <c r="J56" s="60"/>
      <c r="K56" s="60"/>
      <c r="L56" s="1"/>
    </row>
    <row r="57" spans="2:12" x14ac:dyDescent="0.2">
      <c r="B57" s="1"/>
      <c r="C57" s="15" t="s">
        <v>85</v>
      </c>
      <c r="D57" s="60"/>
      <c r="E57" s="60"/>
      <c r="F57" s="61">
        <v>4.7577999999999996</v>
      </c>
      <c r="G57" s="60"/>
      <c r="H57" s="60"/>
      <c r="I57" s="60"/>
      <c r="J57" s="60"/>
      <c r="K57" s="60"/>
      <c r="L57" s="1"/>
    </row>
    <row r="58" spans="2:12" x14ac:dyDescent="0.2">
      <c r="B58" s="1"/>
      <c r="C58" s="1"/>
      <c r="D58" s="60"/>
      <c r="E58" s="60"/>
      <c r="F58" s="61"/>
      <c r="G58" s="60"/>
      <c r="H58" s="60"/>
      <c r="I58" s="60"/>
      <c r="J58" s="60"/>
      <c r="K58" s="60"/>
      <c r="L58" s="1"/>
    </row>
    <row r="59" spans="2:12" x14ac:dyDescent="0.2">
      <c r="B59" s="1"/>
      <c r="C59" s="1"/>
      <c r="D59" s="1"/>
      <c r="E59" s="1"/>
      <c r="F59" s="1"/>
      <c r="G59" s="1"/>
      <c r="H59" s="1"/>
      <c r="I59" s="1"/>
      <c r="J59" s="1"/>
      <c r="K59" s="1"/>
      <c r="L59" s="1"/>
    </row>
    <row r="60" spans="2:12" x14ac:dyDescent="0.2">
      <c r="B60" s="1"/>
      <c r="C60" s="1"/>
      <c r="D60" s="1"/>
      <c r="E60" s="1"/>
      <c r="F60" s="1"/>
      <c r="G60" s="1"/>
      <c r="H60" s="1"/>
      <c r="I60" s="1"/>
      <c r="J60" s="1"/>
      <c r="K60" s="1"/>
      <c r="L60" s="1"/>
    </row>
    <row r="61" spans="2:12" x14ac:dyDescent="0.2">
      <c r="B61" s="1"/>
      <c r="C61" s="4" t="s">
        <v>202</v>
      </c>
      <c r="D61" s="1"/>
      <c r="E61" s="1"/>
      <c r="F61" s="1"/>
      <c r="G61" s="1"/>
      <c r="H61" s="1"/>
      <c r="I61" s="1"/>
      <c r="J61" s="1"/>
      <c r="K61" s="1"/>
      <c r="L61" s="1"/>
    </row>
    <row r="62" spans="2:12" x14ac:dyDescent="0.2">
      <c r="B62" s="1"/>
      <c r="C62" s="5" t="s">
        <v>273</v>
      </c>
      <c r="D62" s="1"/>
      <c r="E62" s="1"/>
      <c r="F62" s="1"/>
      <c r="G62" s="1"/>
      <c r="H62" s="1"/>
      <c r="I62" s="1"/>
      <c r="J62" s="1"/>
      <c r="K62" s="1"/>
      <c r="L62" s="1"/>
    </row>
    <row r="63" spans="2:12" x14ac:dyDescent="0.2">
      <c r="B63" s="1"/>
      <c r="C63" s="7"/>
      <c r="D63" s="1"/>
      <c r="E63" s="1"/>
      <c r="F63" s="1"/>
      <c r="G63" s="1"/>
      <c r="H63" s="1"/>
      <c r="I63" s="1"/>
      <c r="J63" s="1"/>
      <c r="K63" s="1"/>
      <c r="L63" s="1"/>
    </row>
    <row r="64" spans="2:12" x14ac:dyDescent="0.2">
      <c r="B64" s="1"/>
      <c r="C64" s="1"/>
      <c r="D64" s="9" t="s">
        <v>5</v>
      </c>
      <c r="E64" s="9"/>
      <c r="F64" s="9" t="s">
        <v>36</v>
      </c>
      <c r="G64" s="9"/>
      <c r="H64" s="1"/>
      <c r="I64" s="4" t="s">
        <v>31</v>
      </c>
      <c r="J64" s="9" t="s">
        <v>5</v>
      </c>
      <c r="K64" s="9" t="s">
        <v>36</v>
      </c>
      <c r="L64" s="1"/>
    </row>
    <row r="65" spans="1:12" x14ac:dyDescent="0.2">
      <c r="B65" s="1"/>
      <c r="C65" s="1"/>
      <c r="D65" s="1"/>
      <c r="E65" s="1"/>
      <c r="F65" s="1"/>
      <c r="G65" s="29"/>
      <c r="H65" s="1"/>
      <c r="I65" s="1"/>
      <c r="J65" s="1"/>
      <c r="K65" s="1"/>
      <c r="L65" s="1"/>
    </row>
    <row r="66" spans="1:12" x14ac:dyDescent="0.2">
      <c r="B66" s="1"/>
      <c r="C66" s="10" t="s">
        <v>23</v>
      </c>
      <c r="D66" s="61">
        <v>6.5388000000000002</v>
      </c>
      <c r="E66" s="61"/>
      <c r="F66" s="61"/>
      <c r="G66" s="32"/>
      <c r="H66" s="1"/>
      <c r="I66" s="19" t="s">
        <v>28</v>
      </c>
      <c r="J66" s="1"/>
      <c r="K66" s="1"/>
      <c r="L66" s="1"/>
    </row>
    <row r="67" spans="1:12" x14ac:dyDescent="0.2">
      <c r="B67" s="1"/>
      <c r="C67" s="15" t="s">
        <v>84</v>
      </c>
      <c r="D67" s="61"/>
      <c r="E67" s="61"/>
      <c r="F67" s="61">
        <v>7.9856999999999996</v>
      </c>
      <c r="G67" s="33"/>
      <c r="H67" s="1"/>
      <c r="I67" s="12" t="s">
        <v>47</v>
      </c>
      <c r="J67" s="67">
        <v>6.7319000000000004</v>
      </c>
      <c r="K67" s="67">
        <v>6.7319000000000004</v>
      </c>
      <c r="L67" s="1"/>
    </row>
    <row r="68" spans="1:12" x14ac:dyDescent="0.2">
      <c r="B68" s="1"/>
      <c r="C68" s="15" t="s">
        <v>85</v>
      </c>
      <c r="D68" s="61"/>
      <c r="E68" s="61"/>
      <c r="F68" s="61">
        <v>4.4494999999999996</v>
      </c>
      <c r="G68" s="33"/>
      <c r="H68" s="1"/>
      <c r="I68" s="12" t="s">
        <v>48</v>
      </c>
      <c r="J68" s="67">
        <v>6.7319000000000004</v>
      </c>
      <c r="K68" s="67">
        <v>6.7319000000000004</v>
      </c>
      <c r="L68" s="1"/>
    </row>
    <row r="69" spans="1:12" x14ac:dyDescent="0.2">
      <c r="B69" s="1"/>
      <c r="C69" s="1"/>
      <c r="D69" s="61"/>
      <c r="E69" s="61"/>
      <c r="F69" s="61"/>
      <c r="G69" s="33"/>
      <c r="H69" s="1"/>
      <c r="I69" s="12"/>
      <c r="J69" s="46"/>
      <c r="K69" s="46"/>
      <c r="L69" s="1"/>
    </row>
    <row r="70" spans="1:12" x14ac:dyDescent="0.2">
      <c r="B70" s="1"/>
      <c r="C70" s="10" t="s">
        <v>24</v>
      </c>
      <c r="D70" s="61">
        <v>6.5635000000000003</v>
      </c>
      <c r="E70" s="61"/>
      <c r="F70" s="61"/>
      <c r="G70" s="33"/>
      <c r="H70" s="1"/>
      <c r="I70" s="19" t="s">
        <v>29</v>
      </c>
      <c r="J70" s="20"/>
      <c r="K70" s="20"/>
      <c r="L70" s="1"/>
    </row>
    <row r="71" spans="1:12" x14ac:dyDescent="0.2">
      <c r="B71" s="1"/>
      <c r="C71" s="15" t="s">
        <v>84</v>
      </c>
      <c r="D71" s="61"/>
      <c r="E71" s="61"/>
      <c r="F71" s="61">
        <v>7.8243</v>
      </c>
      <c r="G71" s="33"/>
      <c r="H71" s="1"/>
      <c r="I71" s="12" t="s">
        <v>49</v>
      </c>
      <c r="J71" s="67">
        <v>5.8613999999999997</v>
      </c>
      <c r="K71" s="67">
        <v>5.8613999999999997</v>
      </c>
      <c r="L71" s="1"/>
    </row>
    <row r="72" spans="1:12" x14ac:dyDescent="0.2">
      <c r="B72" s="1"/>
      <c r="C72" s="15" t="s">
        <v>85</v>
      </c>
      <c r="D72" s="61"/>
      <c r="E72" s="61"/>
      <c r="F72" s="61">
        <v>4.7577999999999996</v>
      </c>
      <c r="G72" s="33"/>
      <c r="H72" s="1"/>
      <c r="I72" s="1"/>
      <c r="J72" s="1"/>
      <c r="K72" s="1"/>
      <c r="L72" s="1"/>
    </row>
    <row r="73" spans="1:12" x14ac:dyDescent="0.2">
      <c r="B73" s="1"/>
      <c r="C73" s="1"/>
      <c r="D73" s="1"/>
      <c r="E73" s="1"/>
      <c r="F73" s="1"/>
      <c r="G73" s="1"/>
      <c r="H73" s="1"/>
      <c r="I73" s="1"/>
      <c r="J73" s="1"/>
      <c r="K73" s="1"/>
      <c r="L73" s="1"/>
    </row>
    <row r="75" spans="1:12" x14ac:dyDescent="0.2">
      <c r="A75" s="439" t="s">
        <v>572</v>
      </c>
    </row>
    <row r="77" spans="1:12" x14ac:dyDescent="0.2">
      <c r="B77" s="60" t="s">
        <v>279</v>
      </c>
      <c r="C77" s="41" t="s">
        <v>570</v>
      </c>
      <c r="D77" s="440"/>
      <c r="E77" s="1"/>
      <c r="F77" s="440"/>
      <c r="G77" s="1"/>
      <c r="H77" s="1"/>
      <c r="I77" s="1"/>
      <c r="J77" s="1"/>
      <c r="K77" s="1"/>
      <c r="L77" s="1"/>
    </row>
    <row r="78" spans="1:12" x14ac:dyDescent="0.2">
      <c r="B78" s="1"/>
      <c r="C78" s="5" t="s">
        <v>225</v>
      </c>
      <c r="D78" s="1"/>
      <c r="E78" s="1"/>
      <c r="F78" s="1"/>
      <c r="G78" s="1"/>
      <c r="H78" s="1"/>
      <c r="I78" s="1"/>
      <c r="J78" s="1"/>
      <c r="K78" s="1"/>
      <c r="L78" s="1"/>
    </row>
    <row r="79" spans="1:12" x14ac:dyDescent="0.2">
      <c r="B79" s="1"/>
      <c r="C79" s="1"/>
      <c r="D79" s="1"/>
      <c r="E79" s="1"/>
      <c r="F79" s="1"/>
      <c r="G79" s="1"/>
      <c r="H79" s="1"/>
      <c r="I79" s="1"/>
      <c r="J79" s="1"/>
      <c r="K79" s="1"/>
      <c r="L79" s="1"/>
    </row>
    <row r="80" spans="1:12" x14ac:dyDescent="0.2">
      <c r="B80" s="1"/>
      <c r="C80" s="4" t="s">
        <v>201</v>
      </c>
      <c r="D80" s="1"/>
      <c r="E80" s="1"/>
      <c r="F80" s="1"/>
      <c r="G80" s="1"/>
      <c r="H80" s="1"/>
      <c r="I80" s="1"/>
      <c r="J80" s="1"/>
      <c r="K80" s="1"/>
      <c r="L80" s="1"/>
    </row>
    <row r="81" spans="2:12" x14ac:dyDescent="0.2">
      <c r="B81" s="1"/>
      <c r="C81" s="5" t="s">
        <v>272</v>
      </c>
      <c r="D81" s="1"/>
      <c r="E81" s="1"/>
      <c r="F81" s="1"/>
      <c r="G81" s="1"/>
      <c r="H81" s="1"/>
      <c r="I81" s="1"/>
      <c r="J81" s="1"/>
      <c r="K81" s="1"/>
      <c r="L81" s="1"/>
    </row>
    <row r="82" spans="2:12" x14ac:dyDescent="0.2">
      <c r="B82" s="1"/>
      <c r="C82" s="4"/>
      <c r="D82" s="1"/>
      <c r="E82" s="1"/>
      <c r="F82" s="1"/>
      <c r="G82" s="1"/>
      <c r="H82" s="1"/>
      <c r="I82" s="1"/>
      <c r="J82" s="1"/>
      <c r="K82" s="1"/>
      <c r="L82" s="1"/>
    </row>
    <row r="83" spans="2:12" x14ac:dyDescent="0.2">
      <c r="B83" s="1"/>
      <c r="C83" s="1"/>
      <c r="D83" s="9" t="s">
        <v>0</v>
      </c>
      <c r="E83" s="9" t="s">
        <v>1</v>
      </c>
      <c r="F83" s="9" t="s">
        <v>2</v>
      </c>
      <c r="G83" s="9" t="s">
        <v>3</v>
      </c>
      <c r="H83" s="9" t="s">
        <v>4</v>
      </c>
      <c r="I83" s="9" t="s">
        <v>6</v>
      </c>
      <c r="J83" s="9" t="s">
        <v>37</v>
      </c>
      <c r="K83" s="9" t="s">
        <v>38</v>
      </c>
      <c r="L83" s="1"/>
    </row>
    <row r="84" spans="2:12" x14ac:dyDescent="0.2">
      <c r="B84" s="1"/>
      <c r="C84" s="1"/>
      <c r="D84" s="60"/>
      <c r="E84" s="60"/>
      <c r="F84" s="60"/>
      <c r="G84" s="61"/>
      <c r="H84" s="61"/>
      <c r="I84" s="61"/>
      <c r="J84" s="61"/>
      <c r="K84" s="61"/>
      <c r="L84" s="1"/>
    </row>
    <row r="85" spans="2:12" x14ac:dyDescent="0.2">
      <c r="B85" s="1"/>
      <c r="C85" s="10" t="s">
        <v>23</v>
      </c>
      <c r="D85" s="60"/>
      <c r="E85" s="60"/>
      <c r="F85" s="60"/>
      <c r="G85" s="61">
        <v>5.3311000000000002</v>
      </c>
      <c r="H85" s="61">
        <v>5.3524000000000003</v>
      </c>
      <c r="I85" s="61">
        <v>9.4434000000000005</v>
      </c>
      <c r="J85" s="61">
        <v>4.7375999999999996</v>
      </c>
      <c r="K85" s="61">
        <v>4.7375999999999996</v>
      </c>
      <c r="L85" s="1"/>
    </row>
    <row r="86" spans="2:12" x14ac:dyDescent="0.2">
      <c r="B86" s="1"/>
      <c r="C86" s="15" t="s">
        <v>84</v>
      </c>
      <c r="D86" s="60"/>
      <c r="E86" s="60"/>
      <c r="F86" s="61">
        <v>21.229199999999999</v>
      </c>
      <c r="G86" s="1"/>
      <c r="H86" s="61"/>
      <c r="I86" s="61"/>
      <c r="J86" s="61"/>
      <c r="K86" s="60"/>
      <c r="L86" s="1"/>
    </row>
    <row r="87" spans="2:12" x14ac:dyDescent="0.2">
      <c r="B87" s="1"/>
      <c r="C87" s="15" t="s">
        <v>85</v>
      </c>
      <c r="D87" s="60"/>
      <c r="E87" s="60"/>
      <c r="F87" s="61">
        <v>4.4515000000000002</v>
      </c>
      <c r="G87" s="60"/>
      <c r="H87" s="60"/>
      <c r="I87" s="60"/>
      <c r="J87" s="60"/>
      <c r="K87" s="60"/>
      <c r="L87" s="1"/>
    </row>
    <row r="88" spans="2:12" x14ac:dyDescent="0.2">
      <c r="B88" s="1"/>
      <c r="C88" s="438"/>
      <c r="D88" s="60"/>
      <c r="E88" s="60"/>
      <c r="F88" s="60"/>
      <c r="G88" s="60"/>
      <c r="H88" s="60"/>
      <c r="I88" s="60"/>
      <c r="J88" s="60"/>
      <c r="K88" s="60"/>
      <c r="L88" s="1"/>
    </row>
    <row r="89" spans="2:12" x14ac:dyDescent="0.2">
      <c r="B89" s="1"/>
      <c r="C89" s="71" t="s">
        <v>166</v>
      </c>
      <c r="D89" s="61">
        <v>11.3477</v>
      </c>
      <c r="E89" s="61">
        <v>8.3183000000000007</v>
      </c>
      <c r="F89" s="60"/>
      <c r="G89" s="60"/>
      <c r="H89" s="60"/>
      <c r="I89" s="60"/>
      <c r="J89" s="60"/>
      <c r="K89" s="60"/>
      <c r="L89" s="1"/>
    </row>
    <row r="90" spans="2:12" x14ac:dyDescent="0.2">
      <c r="B90" s="1"/>
      <c r="C90" s="71" t="s">
        <v>167</v>
      </c>
      <c r="D90" s="61">
        <v>12.2583</v>
      </c>
      <c r="E90" s="61">
        <v>9.5358999999999998</v>
      </c>
      <c r="F90" s="60"/>
      <c r="G90" s="60"/>
      <c r="H90" s="60"/>
      <c r="I90" s="60"/>
      <c r="J90" s="60"/>
      <c r="K90" s="60"/>
      <c r="L90" s="1"/>
    </row>
    <row r="91" spans="2:12" x14ac:dyDescent="0.2">
      <c r="B91" s="1"/>
      <c r="C91" s="1"/>
      <c r="D91" s="61"/>
      <c r="E91" s="61"/>
      <c r="F91" s="60"/>
      <c r="G91" s="60"/>
      <c r="H91" s="60"/>
      <c r="I91" s="60"/>
      <c r="J91" s="60"/>
      <c r="K91" s="60"/>
      <c r="L91" s="1"/>
    </row>
    <row r="92" spans="2:12" x14ac:dyDescent="0.2">
      <c r="B92" s="1"/>
      <c r="C92" s="10" t="s">
        <v>24</v>
      </c>
      <c r="D92" s="61">
        <v>11.164</v>
      </c>
      <c r="E92" s="61">
        <v>8.6820000000000004</v>
      </c>
      <c r="F92" s="60"/>
      <c r="G92" s="61">
        <v>5.4701000000000004</v>
      </c>
      <c r="H92" s="61">
        <v>5.4896000000000003</v>
      </c>
      <c r="I92" s="61">
        <v>9.1201000000000008</v>
      </c>
      <c r="J92" s="61">
        <v>5.1585999999999999</v>
      </c>
      <c r="K92" s="61">
        <v>5.1585999999999999</v>
      </c>
      <c r="L92" s="1"/>
    </row>
    <row r="93" spans="2:12" x14ac:dyDescent="0.2">
      <c r="B93" s="1"/>
      <c r="C93" s="15" t="s">
        <v>84</v>
      </c>
      <c r="D93" s="60"/>
      <c r="E93" s="60"/>
      <c r="F93" s="61">
        <v>19.807200000000002</v>
      </c>
      <c r="G93" s="60"/>
      <c r="H93" s="60"/>
      <c r="I93" s="60"/>
      <c r="J93" s="60"/>
      <c r="K93" s="60"/>
      <c r="L93" s="1"/>
    </row>
    <row r="94" spans="2:12" x14ac:dyDescent="0.2">
      <c r="B94" s="1"/>
      <c r="C94" s="15" t="s">
        <v>85</v>
      </c>
      <c r="D94" s="60"/>
      <c r="E94" s="60"/>
      <c r="F94" s="61">
        <v>4.7693000000000003</v>
      </c>
      <c r="G94" s="60"/>
      <c r="H94" s="60"/>
      <c r="I94" s="60"/>
      <c r="J94" s="60"/>
      <c r="K94" s="60"/>
      <c r="L94" s="1"/>
    </row>
    <row r="95" spans="2:12" x14ac:dyDescent="0.2">
      <c r="B95" s="1"/>
      <c r="C95" s="1"/>
      <c r="D95" s="60"/>
      <c r="E95" s="60"/>
      <c r="F95" s="61"/>
      <c r="G95" s="60"/>
      <c r="H95" s="60"/>
      <c r="I95" s="60"/>
      <c r="J95" s="60"/>
      <c r="K95" s="60"/>
      <c r="L95" s="1"/>
    </row>
    <row r="96" spans="2:12" x14ac:dyDescent="0.2">
      <c r="B96" s="1"/>
      <c r="C96" s="1"/>
      <c r="D96" s="1"/>
      <c r="E96" s="1"/>
      <c r="F96" s="1"/>
      <c r="G96" s="1"/>
      <c r="H96" s="1"/>
      <c r="I96" s="1"/>
      <c r="J96" s="1"/>
      <c r="K96" s="1"/>
      <c r="L96" s="1"/>
    </row>
    <row r="97" spans="2:12" x14ac:dyDescent="0.2">
      <c r="B97" s="1"/>
      <c r="C97" s="1"/>
      <c r="D97" s="1"/>
      <c r="E97" s="1"/>
      <c r="F97" s="1"/>
      <c r="G97" s="1"/>
      <c r="H97" s="1"/>
      <c r="I97" s="1"/>
      <c r="J97" s="1"/>
      <c r="K97" s="1"/>
      <c r="L97" s="1"/>
    </row>
    <row r="98" spans="2:12" x14ac:dyDescent="0.2">
      <c r="B98" s="1"/>
      <c r="C98" s="4" t="s">
        <v>202</v>
      </c>
      <c r="D98" s="1"/>
      <c r="E98" s="1"/>
      <c r="F98" s="1"/>
      <c r="G98" s="1"/>
      <c r="H98" s="1"/>
      <c r="I98" s="1"/>
      <c r="J98" s="1"/>
      <c r="K98" s="1"/>
      <c r="L98" s="1"/>
    </row>
    <row r="99" spans="2:12" x14ac:dyDescent="0.2">
      <c r="B99" s="1"/>
      <c r="C99" s="5" t="s">
        <v>273</v>
      </c>
      <c r="D99" s="1"/>
      <c r="E99" s="1"/>
      <c r="F99" s="1"/>
      <c r="G99" s="1"/>
      <c r="H99" s="1"/>
      <c r="I99" s="1"/>
      <c r="J99" s="1"/>
      <c r="K99" s="1"/>
      <c r="L99" s="1"/>
    </row>
    <row r="100" spans="2:12" x14ac:dyDescent="0.2">
      <c r="B100" s="1"/>
      <c r="C100" s="73"/>
      <c r="D100" s="1"/>
      <c r="E100" s="1"/>
      <c r="F100" s="1"/>
      <c r="G100" s="1"/>
      <c r="H100" s="1"/>
      <c r="I100" s="1"/>
      <c r="J100" s="1"/>
      <c r="K100" s="1"/>
      <c r="L100" s="1"/>
    </row>
    <row r="101" spans="2:12" x14ac:dyDescent="0.2">
      <c r="B101" s="1"/>
      <c r="C101" s="1"/>
      <c r="D101" s="9" t="s">
        <v>5</v>
      </c>
      <c r="E101" s="9"/>
      <c r="F101" s="9" t="s">
        <v>36</v>
      </c>
      <c r="G101" s="9"/>
      <c r="H101" s="1"/>
      <c r="I101" s="4" t="s">
        <v>31</v>
      </c>
      <c r="J101" s="9" t="s">
        <v>5</v>
      </c>
      <c r="K101" s="9" t="s">
        <v>36</v>
      </c>
      <c r="L101" s="1"/>
    </row>
    <row r="102" spans="2:12" x14ac:dyDescent="0.2">
      <c r="B102" s="1"/>
      <c r="C102" s="1"/>
      <c r="D102" s="1"/>
      <c r="E102" s="1"/>
      <c r="F102" s="1"/>
      <c r="G102" s="29"/>
      <c r="H102" s="1"/>
      <c r="I102" s="1"/>
      <c r="J102" s="1"/>
      <c r="K102" s="1"/>
      <c r="L102" s="1"/>
    </row>
    <row r="103" spans="2:12" x14ac:dyDescent="0.2">
      <c r="B103" s="1"/>
      <c r="C103" s="10" t="s">
        <v>23</v>
      </c>
      <c r="D103" s="61">
        <v>6.5368000000000004</v>
      </c>
      <c r="E103" s="61"/>
      <c r="F103" s="61"/>
      <c r="G103" s="32"/>
      <c r="H103" s="1"/>
      <c r="I103" s="19" t="s">
        <v>28</v>
      </c>
      <c r="J103" s="1"/>
      <c r="K103" s="1"/>
      <c r="L103" s="1"/>
    </row>
    <row r="104" spans="2:12" x14ac:dyDescent="0.2">
      <c r="B104" s="1"/>
      <c r="C104" s="15" t="s">
        <v>84</v>
      </c>
      <c r="D104" s="61"/>
      <c r="E104" s="61"/>
      <c r="F104" s="61">
        <v>7.9881000000000002</v>
      </c>
      <c r="G104" s="33"/>
      <c r="H104" s="1"/>
      <c r="I104" s="12" t="s">
        <v>47</v>
      </c>
      <c r="J104" s="67">
        <v>6.6097000000000001</v>
      </c>
      <c r="K104" s="67">
        <v>6.6097000000000001</v>
      </c>
      <c r="L104" s="1"/>
    </row>
    <row r="105" spans="2:12" x14ac:dyDescent="0.2">
      <c r="B105" s="1"/>
      <c r="C105" s="15" t="s">
        <v>85</v>
      </c>
      <c r="D105" s="61"/>
      <c r="E105" s="61"/>
      <c r="F105" s="61">
        <v>4.4515000000000002</v>
      </c>
      <c r="G105" s="33"/>
      <c r="H105" s="1"/>
      <c r="I105" s="12" t="s">
        <v>48</v>
      </c>
      <c r="J105" s="67">
        <v>6.6097000000000001</v>
      </c>
      <c r="K105" s="67">
        <v>6.6097000000000001</v>
      </c>
      <c r="L105" s="1"/>
    </row>
    <row r="106" spans="2:12" x14ac:dyDescent="0.2">
      <c r="B106" s="1"/>
      <c r="C106" s="1"/>
      <c r="D106" s="61"/>
      <c r="E106" s="61"/>
      <c r="F106" s="61"/>
      <c r="G106" s="33"/>
      <c r="H106" s="1"/>
      <c r="I106" s="12"/>
      <c r="J106" s="441"/>
      <c r="K106" s="441"/>
      <c r="L106" s="1"/>
    </row>
    <row r="107" spans="2:12" x14ac:dyDescent="0.2">
      <c r="B107" s="1"/>
      <c r="C107" s="10" t="s">
        <v>24</v>
      </c>
      <c r="D107" s="61">
        <v>6.5673000000000004</v>
      </c>
      <c r="E107" s="61"/>
      <c r="F107" s="61"/>
      <c r="G107" s="33"/>
      <c r="H107" s="1"/>
      <c r="I107" s="19" t="s">
        <v>29</v>
      </c>
      <c r="J107" s="20"/>
      <c r="K107" s="20"/>
      <c r="L107" s="1"/>
    </row>
    <row r="108" spans="2:12" x14ac:dyDescent="0.2">
      <c r="B108" s="1"/>
      <c r="C108" s="15" t="s">
        <v>84</v>
      </c>
      <c r="D108" s="61"/>
      <c r="E108" s="61"/>
      <c r="F108" s="61">
        <v>7.8244999999999996</v>
      </c>
      <c r="G108" s="33"/>
      <c r="H108" s="1"/>
      <c r="I108" s="12" t="s">
        <v>49</v>
      </c>
      <c r="J108" s="67">
        <v>5.8613999999999997</v>
      </c>
      <c r="K108" s="67">
        <v>5.8613999999999997</v>
      </c>
      <c r="L108" s="1"/>
    </row>
    <row r="109" spans="2:12" x14ac:dyDescent="0.2">
      <c r="B109" s="1"/>
      <c r="C109" s="15" t="s">
        <v>85</v>
      </c>
      <c r="D109" s="61"/>
      <c r="E109" s="61"/>
      <c r="F109" s="61">
        <v>4.7595000000000001</v>
      </c>
      <c r="G109" s="33"/>
      <c r="H109" s="1"/>
      <c r="I109" s="1"/>
      <c r="J109" s="1"/>
      <c r="K109" s="1"/>
      <c r="L109" s="1"/>
    </row>
  </sheetData>
  <customSheetViews>
    <customSheetView guid="{782F5CFE-DE26-4D5A-B82E-30A424B0A39B}">
      <selection activeCell="M23" sqref="M23"/>
      <pageMargins left="0.7" right="0.7" top="0.75" bottom="0.75" header="0.3" footer="0.3"/>
    </customSheetView>
    <customSheetView guid="{88B031DE-0423-45A5-B384-E560A52FDD07}">
      <selection activeCell="M23" sqref="M23"/>
      <pageMargins left="0.7" right="0.7" top="0.75" bottom="0.75" header="0.3" footer="0.3"/>
    </customSheetView>
    <customSheetView guid="{D5524E47-947F-4D9F-AE8B-3F0380261994}">
      <selection activeCell="M23" sqref="M23"/>
      <pageMargins left="0.7" right="0.7" top="0.75" bottom="0.75" header="0.3" footer="0.3"/>
    </customSheetView>
    <customSheetView guid="{9BF7FAF1-D686-4A6B-A2BE-0DAD43841920}">
      <selection activeCell="M23" sqref="M23"/>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8">
    <tabColor rgb="FFFF0000"/>
    <pageSetUpPr fitToPage="1"/>
  </sheetPr>
  <dimension ref="A2:M93"/>
  <sheetViews>
    <sheetView workbookViewId="0"/>
  </sheetViews>
  <sheetFormatPr defaultColWidth="9.140625" defaultRowHeight="12.75" outlineLevelRow="1" x14ac:dyDescent="0.2"/>
  <cols>
    <col min="1" max="1" width="7.7109375" style="186" customWidth="1"/>
    <col min="2" max="2" width="42.140625" style="186" customWidth="1"/>
    <col min="3" max="3" width="16.42578125" style="186" customWidth="1"/>
    <col min="4" max="4" width="12.140625" style="186" customWidth="1"/>
    <col min="5" max="5" width="12.85546875" style="186" customWidth="1"/>
    <col min="6" max="6" width="11.85546875" style="186" customWidth="1"/>
    <col min="7" max="7" width="12" style="186" customWidth="1"/>
    <col min="8" max="8" width="12.7109375" style="186" customWidth="1"/>
    <col min="9" max="10" width="12.28515625" style="186" bestFit="1" customWidth="1"/>
    <col min="11" max="11" width="10.7109375" style="186" customWidth="1"/>
    <col min="12" max="12" width="11.28515625" style="186" customWidth="1"/>
    <col min="13" max="16384" width="9.140625" style="186"/>
  </cols>
  <sheetData>
    <row r="2" spans="2:13" x14ac:dyDescent="0.2">
      <c r="B2" s="4" t="s">
        <v>588</v>
      </c>
    </row>
    <row r="3" spans="2:13" x14ac:dyDescent="0.2">
      <c r="B3" s="181" t="s">
        <v>589</v>
      </c>
    </row>
    <row r="4" spans="2:13" x14ac:dyDescent="0.2">
      <c r="B4" s="185"/>
    </row>
    <row r="5" spans="2:13" x14ac:dyDescent="0.2">
      <c r="B5" s="248" t="s">
        <v>242</v>
      </c>
      <c r="C5" s="249">
        <f>bid_factors!U149</f>
        <v>104709.15</v>
      </c>
      <c r="D5" s="250" t="s">
        <v>243</v>
      </c>
      <c r="E5" s="4" t="s">
        <v>590</v>
      </c>
      <c r="F5" s="1"/>
      <c r="G5" s="1"/>
      <c r="H5" s="1"/>
      <c r="I5" s="1"/>
      <c r="J5" s="1"/>
    </row>
    <row r="6" spans="2:13" x14ac:dyDescent="0.2">
      <c r="B6" s="248"/>
      <c r="C6" s="251">
        <f>C58</f>
        <v>87374.07</v>
      </c>
      <c r="D6" s="250" t="s">
        <v>243</v>
      </c>
      <c r="E6" s="458" t="s">
        <v>591</v>
      </c>
      <c r="F6" s="1"/>
      <c r="G6" s="1"/>
      <c r="H6" s="459">
        <f>C52</f>
        <v>55722.38</v>
      </c>
      <c r="I6" s="459">
        <f t="shared" ref="I6:J6" si="0">D52</f>
        <v>101197</v>
      </c>
      <c r="J6" s="459">
        <f t="shared" si="0"/>
        <v>104709.15</v>
      </c>
    </row>
    <row r="7" spans="2:13" x14ac:dyDescent="0.2">
      <c r="B7" s="248"/>
      <c r="C7" s="253">
        <f>$D$58</f>
        <v>103510.89</v>
      </c>
      <c r="D7" s="250" t="s">
        <v>243</v>
      </c>
      <c r="E7" s="458" t="s">
        <v>592</v>
      </c>
      <c r="F7" s="1"/>
      <c r="G7" s="1"/>
      <c r="H7" s="459">
        <f>D52</f>
        <v>101197</v>
      </c>
      <c r="I7" s="459">
        <f t="shared" ref="I7:J7" si="1">E52</f>
        <v>104709.15</v>
      </c>
      <c r="J7" s="459">
        <f t="shared" si="1"/>
        <v>104709.15</v>
      </c>
    </row>
    <row r="8" spans="2:13" x14ac:dyDescent="0.2">
      <c r="B8" s="248"/>
      <c r="C8" s="251"/>
      <c r="D8" s="250"/>
      <c r="E8" s="458"/>
      <c r="F8" s="1"/>
      <c r="G8" s="1"/>
      <c r="H8" s="1"/>
      <c r="I8" s="1"/>
      <c r="J8" s="1"/>
    </row>
    <row r="9" spans="2:13" x14ac:dyDescent="0.2">
      <c r="B9" s="248"/>
      <c r="C9" s="254">
        <f>C6/12*5+C7/12*7</f>
        <v>96787.214999999997</v>
      </c>
      <c r="D9" s="250" t="s">
        <v>243</v>
      </c>
      <c r="E9" s="458" t="s">
        <v>593</v>
      </c>
      <c r="F9" s="1"/>
      <c r="G9" s="1"/>
      <c r="H9" s="1"/>
      <c r="I9" s="1"/>
      <c r="J9" s="1"/>
    </row>
    <row r="10" spans="2:13" x14ac:dyDescent="0.2">
      <c r="B10" s="248" t="s">
        <v>491</v>
      </c>
      <c r="C10" s="249">
        <f>+C5-C9</f>
        <v>7921.9349999999977</v>
      </c>
      <c r="D10" s="250" t="s">
        <v>243</v>
      </c>
    </row>
    <row r="11" spans="2:13" x14ac:dyDescent="0.2">
      <c r="B11" s="248"/>
      <c r="C11" s="251"/>
      <c r="D11" s="250"/>
    </row>
    <row r="12" spans="2:13" x14ac:dyDescent="0.2">
      <c r="B12" s="248" t="s">
        <v>491</v>
      </c>
      <c r="C12" s="251">
        <f>+C10/12</f>
        <v>660.16124999999977</v>
      </c>
      <c r="D12" s="250" t="s">
        <v>241</v>
      </c>
    </row>
    <row r="13" spans="2:13" x14ac:dyDescent="0.2">
      <c r="B13" s="248"/>
      <c r="C13" s="251"/>
      <c r="D13" s="250"/>
    </row>
    <row r="14" spans="2:13" x14ac:dyDescent="0.2">
      <c r="C14" s="255" t="s">
        <v>0</v>
      </c>
      <c r="D14" s="255" t="s">
        <v>1</v>
      </c>
      <c r="E14" s="255" t="s">
        <v>2</v>
      </c>
      <c r="F14" s="255" t="s">
        <v>3</v>
      </c>
      <c r="G14" s="255" t="s">
        <v>4</v>
      </c>
      <c r="H14" s="255" t="s">
        <v>6</v>
      </c>
      <c r="I14" s="255" t="s">
        <v>37</v>
      </c>
      <c r="J14" s="255" t="s">
        <v>38</v>
      </c>
      <c r="M14" s="255"/>
    </row>
    <row r="16" spans="2:13" x14ac:dyDescent="0.2">
      <c r="B16" s="186" t="s">
        <v>26</v>
      </c>
      <c r="C16" s="256">
        <v>3756.8837317052739</v>
      </c>
      <c r="D16" s="256">
        <v>25.704983744970598</v>
      </c>
      <c r="E16" s="256">
        <v>72.253025447219827</v>
      </c>
      <c r="F16" s="256">
        <v>0</v>
      </c>
      <c r="G16" s="256">
        <v>0</v>
      </c>
      <c r="H16" s="256">
        <v>2.9811611795270516</v>
      </c>
      <c r="I16" s="256">
        <v>0</v>
      </c>
      <c r="J16" s="256">
        <v>0</v>
      </c>
    </row>
    <row r="17" spans="1:12" x14ac:dyDescent="0.2">
      <c r="B17" s="186" t="s">
        <v>244</v>
      </c>
      <c r="C17" s="257">
        <v>12371327.102173397</v>
      </c>
      <c r="D17" s="257">
        <v>159712.67188190503</v>
      </c>
      <c r="E17" s="257">
        <v>220782.75588328217</v>
      </c>
      <c r="F17" s="257">
        <v>1426</v>
      </c>
      <c r="G17" s="257">
        <v>30</v>
      </c>
      <c r="H17" s="257">
        <v>16697.06281847967</v>
      </c>
      <c r="I17" s="257">
        <v>160628</v>
      </c>
      <c r="J17" s="257">
        <v>287511</v>
      </c>
      <c r="K17" s="258"/>
      <c r="L17" s="258"/>
    </row>
    <row r="19" spans="1:12" x14ac:dyDescent="0.2">
      <c r="B19" s="186" t="s">
        <v>245</v>
      </c>
    </row>
    <row r="20" spans="1:12" x14ac:dyDescent="0.2">
      <c r="B20" s="259" t="s">
        <v>246</v>
      </c>
      <c r="C20" s="260">
        <f>+$C$10*C16/C17</f>
        <v>2.4057070417205324</v>
      </c>
      <c r="D20" s="260">
        <f t="shared" ref="D20:J20" si="2">+$C$10*D16/D17</f>
        <v>1.2749972059467163</v>
      </c>
      <c r="E20" s="260">
        <f t="shared" si="2"/>
        <v>2.59252027567232</v>
      </c>
      <c r="F20" s="260">
        <f t="shared" si="2"/>
        <v>0</v>
      </c>
      <c r="G20" s="260">
        <f t="shared" si="2"/>
        <v>0</v>
      </c>
      <c r="H20" s="260">
        <f t="shared" si="2"/>
        <v>1.414414340143628</v>
      </c>
      <c r="I20" s="260">
        <f t="shared" si="2"/>
        <v>0</v>
      </c>
      <c r="J20" s="260">
        <f t="shared" si="2"/>
        <v>0</v>
      </c>
    </row>
    <row r="21" spans="1:12" x14ac:dyDescent="0.2">
      <c r="B21" s="259" t="s">
        <v>492</v>
      </c>
      <c r="C21" s="261">
        <f t="shared" ref="C21:J21" si="3">ROUND(+C20/1000,6)</f>
        <v>2.4060000000000002E-3</v>
      </c>
      <c r="D21" s="261">
        <f t="shared" si="3"/>
        <v>1.2750000000000001E-3</v>
      </c>
      <c r="E21" s="261">
        <f t="shared" si="3"/>
        <v>2.5929999999999998E-3</v>
      </c>
      <c r="F21" s="261">
        <f t="shared" si="3"/>
        <v>0</v>
      </c>
      <c r="G21" s="261">
        <f t="shared" si="3"/>
        <v>0</v>
      </c>
      <c r="H21" s="261">
        <f t="shared" si="3"/>
        <v>1.4139999999999999E-3</v>
      </c>
      <c r="I21" s="261">
        <f t="shared" si="3"/>
        <v>0</v>
      </c>
      <c r="J21" s="261">
        <f t="shared" si="3"/>
        <v>0</v>
      </c>
    </row>
    <row r="22" spans="1:12" x14ac:dyDescent="0.2">
      <c r="C22" s="247"/>
      <c r="D22" s="247"/>
      <c r="E22" s="247"/>
      <c r="F22" s="247"/>
      <c r="G22" s="247"/>
      <c r="H22" s="247"/>
      <c r="I22" s="247"/>
      <c r="J22" s="247"/>
    </row>
    <row r="23" spans="1:12" x14ac:dyDescent="0.2">
      <c r="C23" s="262" t="s">
        <v>307</v>
      </c>
      <c r="D23" s="262" t="s">
        <v>307</v>
      </c>
    </row>
    <row r="24" spans="1:12" hidden="1" outlineLevel="1" x14ac:dyDescent="0.2">
      <c r="C24" s="255" t="s">
        <v>5</v>
      </c>
      <c r="D24" s="255" t="s">
        <v>36</v>
      </c>
    </row>
    <row r="25" spans="1:12" hidden="1" outlineLevel="1" x14ac:dyDescent="0.2">
      <c r="B25" s="186" t="s">
        <v>247</v>
      </c>
    </row>
    <row r="26" spans="1:12" hidden="1" outlineLevel="1" x14ac:dyDescent="0.2">
      <c r="B26" s="259" t="s">
        <v>248</v>
      </c>
      <c r="C26" s="263">
        <f>ROUND(+$C$12/1000,4)*0</f>
        <v>0</v>
      </c>
      <c r="D26" s="263">
        <f>ROUND(+$C$12/1000,4)*0</f>
        <v>0</v>
      </c>
      <c r="F26" s="250" t="s">
        <v>249</v>
      </c>
    </row>
    <row r="27" spans="1:12" hidden="1" outlineLevel="1" x14ac:dyDescent="0.2"/>
    <row r="28" spans="1:12" hidden="1" outlineLevel="1" x14ac:dyDescent="0.2"/>
    <row r="29" spans="1:12" hidden="1" outlineLevel="1" x14ac:dyDescent="0.2"/>
    <row r="30" spans="1:12" collapsed="1" x14ac:dyDescent="0.2">
      <c r="A30" s="264" t="s">
        <v>250</v>
      </c>
    </row>
    <row r="32" spans="1:12" x14ac:dyDescent="0.2">
      <c r="A32" s="264">
        <v>1</v>
      </c>
      <c r="B32" s="186" t="s">
        <v>493</v>
      </c>
      <c r="C32" s="256">
        <v>6633.6</v>
      </c>
      <c r="D32" s="186" t="s">
        <v>251</v>
      </c>
      <c r="H32" s="250" t="s">
        <v>494</v>
      </c>
    </row>
    <row r="33" spans="1:8" x14ac:dyDescent="0.2">
      <c r="A33" s="264">
        <v>2</v>
      </c>
      <c r="B33" s="186" t="s">
        <v>495</v>
      </c>
      <c r="C33" s="257">
        <v>24216290</v>
      </c>
      <c r="D33" s="186" t="s">
        <v>252</v>
      </c>
      <c r="H33" s="250" t="s">
        <v>496</v>
      </c>
    </row>
    <row r="34" spans="1:8" x14ac:dyDescent="0.2">
      <c r="A34" s="264">
        <v>3</v>
      </c>
      <c r="B34" s="186" t="s">
        <v>497</v>
      </c>
      <c r="C34" s="265">
        <f>C33*$C$93</f>
        <v>25990883.947489999</v>
      </c>
      <c r="D34" s="186" t="s">
        <v>252</v>
      </c>
      <c r="E34" s="186" t="s">
        <v>253</v>
      </c>
      <c r="H34" s="250" t="s">
        <v>302</v>
      </c>
    </row>
    <row r="35" spans="1:8" x14ac:dyDescent="0.2">
      <c r="A35" s="264"/>
    </row>
    <row r="36" spans="1:8" x14ac:dyDescent="0.2">
      <c r="A36" s="264">
        <v>4</v>
      </c>
      <c r="B36" s="186" t="s">
        <v>254</v>
      </c>
      <c r="C36" s="266">
        <f>+C10*C32</f>
        <v>52550948.015999988</v>
      </c>
      <c r="E36" s="186" t="s">
        <v>253</v>
      </c>
      <c r="H36" s="250" t="s">
        <v>498</v>
      </c>
    </row>
    <row r="37" spans="1:8" x14ac:dyDescent="0.2">
      <c r="A37" s="264">
        <v>5</v>
      </c>
      <c r="B37" s="186" t="s">
        <v>255</v>
      </c>
      <c r="C37" s="260">
        <f>+C36/C34</f>
        <v>2.0218992213643028</v>
      </c>
      <c r="D37" s="250" t="s">
        <v>256</v>
      </c>
      <c r="E37" s="186" t="s">
        <v>253</v>
      </c>
      <c r="H37" s="250" t="s">
        <v>257</v>
      </c>
    </row>
    <row r="38" spans="1:8" x14ac:dyDescent="0.2">
      <c r="A38" s="264">
        <v>6</v>
      </c>
      <c r="B38" s="186" t="s">
        <v>255</v>
      </c>
      <c r="C38" s="254">
        <f>+ROUND(C37,2)</f>
        <v>2.02</v>
      </c>
      <c r="D38" s="250" t="s">
        <v>256</v>
      </c>
      <c r="E38" s="186" t="s">
        <v>258</v>
      </c>
      <c r="H38" s="250" t="s">
        <v>259</v>
      </c>
    </row>
    <row r="39" spans="1:8" x14ac:dyDescent="0.2">
      <c r="A39" s="264"/>
    </row>
    <row r="40" spans="1:8" x14ac:dyDescent="0.2">
      <c r="A40" s="264"/>
    </row>
    <row r="41" spans="1:8" x14ac:dyDescent="0.2">
      <c r="A41" s="264">
        <v>7</v>
      </c>
      <c r="B41" s="186" t="s">
        <v>260</v>
      </c>
      <c r="C41" s="266">
        <f>+C38*C34</f>
        <v>52501585.573929802</v>
      </c>
      <c r="E41" s="186" t="s">
        <v>253</v>
      </c>
      <c r="H41" s="250" t="s">
        <v>261</v>
      </c>
    </row>
    <row r="42" spans="1:8" x14ac:dyDescent="0.2">
      <c r="A42" s="264">
        <v>8</v>
      </c>
      <c r="B42" s="186" t="s">
        <v>262</v>
      </c>
      <c r="C42" s="267">
        <f>+C41-C36</f>
        <v>-49362.442070186138</v>
      </c>
      <c r="E42" s="186" t="s">
        <v>253</v>
      </c>
      <c r="H42" s="250" t="s">
        <v>263</v>
      </c>
    </row>
    <row r="43" spans="1:8" outlineLevel="1" x14ac:dyDescent="0.2"/>
    <row r="44" spans="1:8" outlineLevel="1" x14ac:dyDescent="0.2"/>
    <row r="45" spans="1:8" outlineLevel="1" x14ac:dyDescent="0.2"/>
    <row r="46" spans="1:8" outlineLevel="1" x14ac:dyDescent="0.2">
      <c r="B46" s="268" t="s">
        <v>499</v>
      </c>
    </row>
    <row r="47" spans="1:8" outlineLevel="1" x14ac:dyDescent="0.2">
      <c r="B47" s="269" t="s">
        <v>500</v>
      </c>
      <c r="C47" s="256">
        <v>9594.9</v>
      </c>
      <c r="D47" s="250" t="s">
        <v>594</v>
      </c>
    </row>
    <row r="48" spans="1:8" outlineLevel="1" x14ac:dyDescent="0.2">
      <c r="B48" s="269" t="s">
        <v>501</v>
      </c>
      <c r="C48" s="256">
        <v>9800.2999999999993</v>
      </c>
      <c r="D48" s="69" t="s">
        <v>594</v>
      </c>
    </row>
    <row r="49" spans="1:6" outlineLevel="1" x14ac:dyDescent="0.2">
      <c r="B49" s="269"/>
      <c r="C49" s="256"/>
    </row>
    <row r="50" spans="1:6" outlineLevel="1" x14ac:dyDescent="0.2">
      <c r="B50" s="268" t="s">
        <v>502</v>
      </c>
    </row>
    <row r="51" spans="1:6" ht="51" outlineLevel="1" x14ac:dyDescent="0.2">
      <c r="C51" s="187" t="s">
        <v>335</v>
      </c>
      <c r="D51" s="187" t="s">
        <v>447</v>
      </c>
      <c r="E51" s="187" t="s">
        <v>582</v>
      </c>
      <c r="F51" s="187" t="s">
        <v>583</v>
      </c>
    </row>
    <row r="52" spans="1:6" outlineLevel="1" x14ac:dyDescent="0.2">
      <c r="B52" s="186" t="s">
        <v>503</v>
      </c>
      <c r="C52" s="256">
        <v>55722.38</v>
      </c>
      <c r="D52" s="270">
        <f>bid_factors!U147</f>
        <v>101197</v>
      </c>
      <c r="E52" s="270">
        <f>bid_factors!U148</f>
        <v>104709.15</v>
      </c>
      <c r="F52" s="270">
        <f>C5</f>
        <v>104709.15</v>
      </c>
    </row>
    <row r="53" spans="1:6" outlineLevel="1" x14ac:dyDescent="0.2">
      <c r="B53" s="186" t="s">
        <v>314</v>
      </c>
      <c r="C53" s="196">
        <f>F53</f>
        <v>28</v>
      </c>
      <c r="D53" s="196">
        <v>29</v>
      </c>
      <c r="E53" s="196">
        <v>28</v>
      </c>
      <c r="F53" s="196">
        <v>28</v>
      </c>
    </row>
    <row r="54" spans="1:6" outlineLevel="1" x14ac:dyDescent="0.2">
      <c r="B54" s="186" t="s">
        <v>465</v>
      </c>
      <c r="C54" s="196">
        <v>85</v>
      </c>
      <c r="D54" s="196">
        <v>85</v>
      </c>
      <c r="E54" s="196">
        <v>85</v>
      </c>
      <c r="F54" s="196">
        <f>C54</f>
        <v>85</v>
      </c>
    </row>
    <row r="55" spans="1:6" outlineLevel="1" x14ac:dyDescent="0.2">
      <c r="B55" s="186" t="s">
        <v>504</v>
      </c>
      <c r="C55" s="271">
        <f>C53/C54</f>
        <v>0.32941176470588235</v>
      </c>
      <c r="D55" s="271">
        <f>D53/D54</f>
        <v>0.3411764705882353</v>
      </c>
      <c r="E55" s="271">
        <f>E53/E54</f>
        <v>0.32941176470588235</v>
      </c>
      <c r="F55" s="271">
        <f>F53/F54</f>
        <v>0.32941176470588235</v>
      </c>
    </row>
    <row r="56" spans="1:6" outlineLevel="1" x14ac:dyDescent="0.2"/>
    <row r="57" spans="1:6" outlineLevel="1" x14ac:dyDescent="0.2">
      <c r="B57" s="272"/>
    </row>
    <row r="58" spans="1:6" outlineLevel="1" x14ac:dyDescent="0.2">
      <c r="B58" s="252" t="s">
        <v>505</v>
      </c>
      <c r="C58" s="273">
        <f>ROUND(SUMPRODUCT($C$52:$E$52,$C$55:$E$55),2)</f>
        <v>87374.07</v>
      </c>
      <c r="D58" s="274">
        <f>ROUND(SUMPRODUCT($D$52:$F$52,$D$55:$F$55),2)</f>
        <v>103510.89</v>
      </c>
    </row>
    <row r="59" spans="1:6" outlineLevel="1" x14ac:dyDescent="0.2"/>
    <row r="60" spans="1:6" outlineLevel="1" x14ac:dyDescent="0.2">
      <c r="C60" s="254"/>
      <c r="D60" s="254"/>
      <c r="E60" s="254"/>
    </row>
    <row r="61" spans="1:6" outlineLevel="1" x14ac:dyDescent="0.2">
      <c r="A61" s="275"/>
      <c r="B61" s="275"/>
      <c r="C61" s="275"/>
      <c r="D61" s="275"/>
      <c r="E61" s="275"/>
      <c r="F61" s="275"/>
    </row>
    <row r="62" spans="1:6" ht="51" outlineLevel="1" x14ac:dyDescent="0.2">
      <c r="C62" s="187" t="str">
        <f t="shared" ref="C62:F63" si="4">C51</f>
        <v>remaining portion of 36 month bid - 2014 auction</v>
      </c>
      <c r="D62" s="187" t="str">
        <f t="shared" si="4"/>
        <v>remaining portion of 36 month bid - 2015 auction</v>
      </c>
      <c r="E62" s="187" t="str">
        <f t="shared" si="4"/>
        <v>remaining portion of 36 month bid - 2016 auction</v>
      </c>
      <c r="F62" s="187" t="str">
        <f t="shared" si="4"/>
        <v>36 month bid - 2017 auction</v>
      </c>
    </row>
    <row r="63" spans="1:6" outlineLevel="1" x14ac:dyDescent="0.2">
      <c r="B63" s="186" t="s">
        <v>506</v>
      </c>
      <c r="C63" s="276">
        <f t="shared" si="4"/>
        <v>55722.38</v>
      </c>
      <c r="D63" s="276">
        <f t="shared" si="4"/>
        <v>101197</v>
      </c>
      <c r="E63" s="276">
        <f t="shared" si="4"/>
        <v>104709.15</v>
      </c>
      <c r="F63" s="276">
        <f t="shared" si="4"/>
        <v>104709.15</v>
      </c>
    </row>
    <row r="64" spans="1:6" outlineLevel="1" x14ac:dyDescent="0.2">
      <c r="B64" s="186" t="s">
        <v>507</v>
      </c>
      <c r="C64" s="276">
        <f>$F$63-C63</f>
        <v>48986.77</v>
      </c>
      <c r="D64" s="276">
        <f>$F$63-D63</f>
        <v>3512.1499999999942</v>
      </c>
      <c r="E64" s="276">
        <f>$F$63-E63</f>
        <v>0</v>
      </c>
      <c r="F64" s="276">
        <f>$F$63-F63</f>
        <v>0</v>
      </c>
    </row>
    <row r="65" spans="2:9" outlineLevel="1" x14ac:dyDescent="0.2">
      <c r="B65" s="186" t="s">
        <v>508</v>
      </c>
      <c r="C65" s="277">
        <f>C64/12</f>
        <v>4082.2308333333331</v>
      </c>
      <c r="D65" s="277">
        <f>D64/12</f>
        <v>292.67916666666616</v>
      </c>
      <c r="E65" s="277">
        <f>E64/12</f>
        <v>0</v>
      </c>
      <c r="F65" s="277">
        <f>F64/12</f>
        <v>0</v>
      </c>
    </row>
    <row r="66" spans="2:9" outlineLevel="1" x14ac:dyDescent="0.2">
      <c r="B66" s="186" t="s">
        <v>509</v>
      </c>
      <c r="C66" s="278">
        <f>C55</f>
        <v>0.32941176470588235</v>
      </c>
      <c r="D66" s="278">
        <f>D55</f>
        <v>0.3411764705882353</v>
      </c>
      <c r="E66" s="278">
        <f>E55</f>
        <v>0.32941176470588235</v>
      </c>
      <c r="F66" s="278">
        <f>F55</f>
        <v>0.32941176470588235</v>
      </c>
    </row>
    <row r="67" spans="2:9" outlineLevel="1" x14ac:dyDescent="0.2">
      <c r="B67" s="279" t="s">
        <v>510</v>
      </c>
      <c r="C67" s="280">
        <f>C65*C66</f>
        <v>1344.7348627450979</v>
      </c>
      <c r="D67" s="280">
        <f>D65*D66</f>
        <v>99.855245098039049</v>
      </c>
      <c r="E67" s="280">
        <f>E65*E66</f>
        <v>0</v>
      </c>
      <c r="F67" s="280">
        <f>F65*F66</f>
        <v>0</v>
      </c>
    </row>
    <row r="68" spans="2:9" outlineLevel="1" x14ac:dyDescent="0.2"/>
    <row r="69" spans="2:9" outlineLevel="1" x14ac:dyDescent="0.2">
      <c r="B69" s="268" t="s">
        <v>511</v>
      </c>
      <c r="C69" s="281"/>
      <c r="D69" s="281"/>
      <c r="E69" s="281"/>
      <c r="F69" s="282"/>
      <c r="I69" s="254"/>
    </row>
    <row r="70" spans="2:9" outlineLevel="1" x14ac:dyDescent="0.2">
      <c r="B70" s="283">
        <v>42370</v>
      </c>
      <c r="C70" s="254">
        <f t="shared" ref="C70:F81" si="5">C$67</f>
        <v>1344.7348627450979</v>
      </c>
      <c r="D70" s="254">
        <f>D$67</f>
        <v>99.855245098039049</v>
      </c>
      <c r="E70" s="254">
        <f t="shared" si="5"/>
        <v>0</v>
      </c>
      <c r="F70" s="254"/>
      <c r="G70" s="254">
        <f t="shared" ref="G70:G81" si="6">SUM(C70:F70)</f>
        <v>1444.5901078431368</v>
      </c>
      <c r="I70" s="254"/>
    </row>
    <row r="71" spans="2:9" outlineLevel="1" x14ac:dyDescent="0.2">
      <c r="B71" s="283">
        <v>42401</v>
      </c>
      <c r="C71" s="254">
        <f t="shared" si="5"/>
        <v>1344.7348627450979</v>
      </c>
      <c r="D71" s="254">
        <f t="shared" si="5"/>
        <v>99.855245098039049</v>
      </c>
      <c r="E71" s="254">
        <f t="shared" si="5"/>
        <v>0</v>
      </c>
      <c r="F71" s="254"/>
      <c r="G71" s="254">
        <f t="shared" si="6"/>
        <v>1444.5901078431368</v>
      </c>
    </row>
    <row r="72" spans="2:9" outlineLevel="1" x14ac:dyDescent="0.2">
      <c r="B72" s="283">
        <v>42430</v>
      </c>
      <c r="C72" s="254">
        <f t="shared" si="5"/>
        <v>1344.7348627450979</v>
      </c>
      <c r="D72" s="254">
        <f t="shared" si="5"/>
        <v>99.855245098039049</v>
      </c>
      <c r="E72" s="254">
        <f t="shared" si="5"/>
        <v>0</v>
      </c>
      <c r="F72" s="254"/>
      <c r="G72" s="254">
        <f t="shared" si="6"/>
        <v>1444.5901078431368</v>
      </c>
    </row>
    <row r="73" spans="2:9" outlineLevel="1" x14ac:dyDescent="0.2">
      <c r="B73" s="283">
        <v>42461</v>
      </c>
      <c r="C73" s="254">
        <f t="shared" si="5"/>
        <v>1344.7348627450979</v>
      </c>
      <c r="D73" s="254">
        <f t="shared" si="5"/>
        <v>99.855245098039049</v>
      </c>
      <c r="E73" s="254">
        <f t="shared" si="5"/>
        <v>0</v>
      </c>
      <c r="F73" s="254"/>
      <c r="G73" s="254">
        <f t="shared" si="6"/>
        <v>1444.5901078431368</v>
      </c>
    </row>
    <row r="74" spans="2:9" outlineLevel="1" x14ac:dyDescent="0.2">
      <c r="B74" s="283">
        <v>42491</v>
      </c>
      <c r="C74" s="254">
        <f t="shared" si="5"/>
        <v>1344.7348627450979</v>
      </c>
      <c r="D74" s="254">
        <f t="shared" si="5"/>
        <v>99.855245098039049</v>
      </c>
      <c r="E74" s="254">
        <f t="shared" si="5"/>
        <v>0</v>
      </c>
      <c r="F74" s="254"/>
      <c r="G74" s="254">
        <f t="shared" si="6"/>
        <v>1444.5901078431368</v>
      </c>
      <c r="I74" s="254"/>
    </row>
    <row r="75" spans="2:9" outlineLevel="1" x14ac:dyDescent="0.2">
      <c r="B75" s="283">
        <v>42522</v>
      </c>
      <c r="C75" s="254"/>
      <c r="D75" s="254">
        <f t="shared" si="5"/>
        <v>99.855245098039049</v>
      </c>
      <c r="E75" s="254">
        <f t="shared" si="5"/>
        <v>0</v>
      </c>
      <c r="F75" s="254">
        <f t="shared" si="5"/>
        <v>0</v>
      </c>
      <c r="G75" s="254">
        <f t="shared" si="6"/>
        <v>99.855245098039049</v>
      </c>
    </row>
    <row r="76" spans="2:9" outlineLevel="1" x14ac:dyDescent="0.2">
      <c r="B76" s="283">
        <v>42552</v>
      </c>
      <c r="C76" s="254"/>
      <c r="D76" s="254">
        <f t="shared" si="5"/>
        <v>99.855245098039049</v>
      </c>
      <c r="E76" s="254">
        <f t="shared" si="5"/>
        <v>0</v>
      </c>
      <c r="F76" s="254">
        <f t="shared" si="5"/>
        <v>0</v>
      </c>
      <c r="G76" s="254">
        <f t="shared" si="6"/>
        <v>99.855245098039049</v>
      </c>
    </row>
    <row r="77" spans="2:9" outlineLevel="1" x14ac:dyDescent="0.2">
      <c r="B77" s="283">
        <v>42583</v>
      </c>
      <c r="C77" s="254"/>
      <c r="D77" s="254">
        <f t="shared" si="5"/>
        <v>99.855245098039049</v>
      </c>
      <c r="E77" s="254">
        <f t="shared" si="5"/>
        <v>0</v>
      </c>
      <c r="F77" s="254">
        <f t="shared" si="5"/>
        <v>0</v>
      </c>
      <c r="G77" s="254">
        <f t="shared" si="6"/>
        <v>99.855245098039049</v>
      </c>
    </row>
    <row r="78" spans="2:9" outlineLevel="1" x14ac:dyDescent="0.2">
      <c r="B78" s="283">
        <v>42614</v>
      </c>
      <c r="C78" s="254"/>
      <c r="D78" s="254">
        <f t="shared" si="5"/>
        <v>99.855245098039049</v>
      </c>
      <c r="E78" s="254">
        <f t="shared" si="5"/>
        <v>0</v>
      </c>
      <c r="F78" s="254">
        <f t="shared" si="5"/>
        <v>0</v>
      </c>
      <c r="G78" s="254">
        <f t="shared" si="6"/>
        <v>99.855245098039049</v>
      </c>
    </row>
    <row r="79" spans="2:9" outlineLevel="1" x14ac:dyDescent="0.2">
      <c r="B79" s="283">
        <v>42644</v>
      </c>
      <c r="C79" s="254"/>
      <c r="D79" s="254">
        <f t="shared" si="5"/>
        <v>99.855245098039049</v>
      </c>
      <c r="E79" s="254">
        <f t="shared" si="5"/>
        <v>0</v>
      </c>
      <c r="F79" s="254">
        <f t="shared" si="5"/>
        <v>0</v>
      </c>
      <c r="G79" s="254">
        <f t="shared" si="6"/>
        <v>99.855245098039049</v>
      </c>
    </row>
    <row r="80" spans="2:9" outlineLevel="1" x14ac:dyDescent="0.2">
      <c r="B80" s="283">
        <v>42675</v>
      </c>
      <c r="C80" s="254"/>
      <c r="D80" s="254">
        <f t="shared" si="5"/>
        <v>99.855245098039049</v>
      </c>
      <c r="E80" s="254">
        <f t="shared" si="5"/>
        <v>0</v>
      </c>
      <c r="F80" s="254">
        <f t="shared" si="5"/>
        <v>0</v>
      </c>
      <c r="G80" s="254">
        <f t="shared" si="6"/>
        <v>99.855245098039049</v>
      </c>
    </row>
    <row r="81" spans="2:7" outlineLevel="1" x14ac:dyDescent="0.2">
      <c r="B81" s="283">
        <v>42705</v>
      </c>
      <c r="C81" s="284"/>
      <c r="D81" s="284">
        <f t="shared" si="5"/>
        <v>99.855245098039049</v>
      </c>
      <c r="E81" s="284">
        <f t="shared" si="5"/>
        <v>0</v>
      </c>
      <c r="F81" s="284">
        <f t="shared" si="5"/>
        <v>0</v>
      </c>
      <c r="G81" s="254">
        <f t="shared" si="6"/>
        <v>99.855245098039049</v>
      </c>
    </row>
    <row r="82" spans="2:7" outlineLevel="1" x14ac:dyDescent="0.2">
      <c r="B82" s="255" t="s">
        <v>19</v>
      </c>
      <c r="C82" s="254">
        <f>SUM(C70:C81)</f>
        <v>6723.6743137254889</v>
      </c>
      <c r="D82" s="254">
        <f>SUM(D70:D81)</f>
        <v>1198.2629411764685</v>
      </c>
      <c r="E82" s="254">
        <f>SUM(E70:E81)</f>
        <v>0</v>
      </c>
      <c r="F82" s="254">
        <f>SUM(F70:F81)</f>
        <v>0</v>
      </c>
      <c r="G82" s="285">
        <f>SUM(C82:F82)</f>
        <v>7921.9372549019572</v>
      </c>
    </row>
    <row r="83" spans="2:7" outlineLevel="1" x14ac:dyDescent="0.2">
      <c r="B83" s="255"/>
      <c r="C83" s="254"/>
      <c r="D83" s="254"/>
      <c r="E83" s="254"/>
      <c r="F83" s="254"/>
      <c r="G83" s="282"/>
    </row>
    <row r="84" spans="2:7" outlineLevel="1" x14ac:dyDescent="0.2">
      <c r="B84" s="255"/>
      <c r="C84" s="254"/>
      <c r="D84" s="254"/>
      <c r="E84" s="254"/>
      <c r="F84" s="254"/>
      <c r="G84" s="282"/>
    </row>
    <row r="85" spans="2:7" x14ac:dyDescent="0.2">
      <c r="B85" s="255" t="s">
        <v>512</v>
      </c>
      <c r="C85" s="254"/>
      <c r="D85" s="254"/>
      <c r="E85" s="254"/>
      <c r="F85" s="254"/>
      <c r="G85" s="282"/>
    </row>
    <row r="86" spans="2:7" x14ac:dyDescent="0.2">
      <c r="B86" s="286" t="s">
        <v>322</v>
      </c>
      <c r="C86" s="286" t="s">
        <v>323</v>
      </c>
      <c r="D86" s="286" t="s">
        <v>321</v>
      </c>
      <c r="E86" s="254"/>
      <c r="F86" s="254"/>
      <c r="G86" s="282"/>
    </row>
    <row r="87" spans="2:7" x14ac:dyDescent="0.2">
      <c r="B87" s="186" t="s">
        <v>319</v>
      </c>
      <c r="C87" s="287">
        <v>7.5377E-2</v>
      </c>
      <c r="D87" s="186" t="s">
        <v>324</v>
      </c>
      <c r="E87" s="254"/>
      <c r="F87" s="254"/>
      <c r="G87" s="282"/>
    </row>
    <row r="88" spans="2:7" x14ac:dyDescent="0.2">
      <c r="B88" s="186" t="s">
        <v>320</v>
      </c>
      <c r="C88" s="288">
        <v>5.4999999999999997E-3</v>
      </c>
      <c r="D88" s="186" t="s">
        <v>325</v>
      </c>
      <c r="E88" s="254"/>
      <c r="F88" s="254"/>
      <c r="G88" s="282"/>
    </row>
    <row r="89" spans="2:7" x14ac:dyDescent="0.2">
      <c r="B89" s="286" t="s">
        <v>327</v>
      </c>
      <c r="C89" s="293">
        <v>1.3077405856887299E-2</v>
      </c>
      <c r="D89" s="286" t="s">
        <v>326</v>
      </c>
      <c r="E89" s="254"/>
      <c r="F89" s="254"/>
      <c r="G89" s="282"/>
    </row>
    <row r="90" spans="2:7" x14ac:dyDescent="0.2">
      <c r="B90" s="255"/>
      <c r="C90" s="254"/>
      <c r="D90" s="254"/>
      <c r="E90" s="254"/>
      <c r="F90" s="254"/>
      <c r="G90" s="282"/>
    </row>
    <row r="91" spans="2:7" x14ac:dyDescent="0.2">
      <c r="B91" s="289" t="s">
        <v>303</v>
      </c>
      <c r="C91" s="254"/>
      <c r="D91" s="254"/>
      <c r="E91" s="254"/>
      <c r="F91" s="254"/>
      <c r="G91" s="282"/>
    </row>
    <row r="92" spans="2:7" x14ac:dyDescent="0.2">
      <c r="B92" s="283" t="s">
        <v>287</v>
      </c>
      <c r="C92" s="290">
        <f>1-((1-$C$87)/((1-$C$89)/(1-$C$88)))</f>
        <v>6.8277918696976525E-2</v>
      </c>
      <c r="D92" s="254"/>
      <c r="E92" s="254"/>
      <c r="F92" s="254"/>
      <c r="G92" s="282"/>
    </row>
    <row r="93" spans="2:7" x14ac:dyDescent="0.2">
      <c r="B93" s="186" t="s">
        <v>288</v>
      </c>
      <c r="C93" s="291">
        <f>ROUND(1/(1-C92),6)</f>
        <v>1.0732809999999999</v>
      </c>
    </row>
  </sheetData>
  <customSheetViews>
    <customSheetView guid="{782F5CFE-DE26-4D5A-B82E-30A424B0A39B}" fitToPage="1" hiddenRows="1" topLeftCell="A45">
      <selection activeCell="H22" sqref="H22"/>
      <pageMargins left="0.75" right="0.75" top="1" bottom="1" header="0.5" footer="0.5"/>
      <pageSetup scale="71" orientation="landscape" r:id="rId1"/>
      <headerFooter alignWithMargins="0"/>
    </customSheetView>
    <customSheetView guid="{88B031DE-0423-45A5-B384-E560A52FDD07}" fitToPage="1" hiddenRows="1" topLeftCell="A45">
      <selection activeCell="H22" sqref="H22"/>
      <pageMargins left="0.75" right="0.75" top="1" bottom="1" header="0.5" footer="0.5"/>
      <pageSetup scale="71" orientation="landscape" r:id="rId2"/>
      <headerFooter alignWithMargins="0"/>
    </customSheetView>
    <customSheetView guid="{D5524E47-947F-4D9F-AE8B-3F0380261994}" fitToPage="1" hiddenRows="1" topLeftCell="A45">
      <selection activeCell="H22" sqref="H22"/>
      <pageMargins left="0.75" right="0.75" top="1" bottom="1" header="0.5" footer="0.5"/>
      <pageSetup scale="71" orientation="landscape" r:id="rId3"/>
      <headerFooter alignWithMargins="0"/>
    </customSheetView>
    <customSheetView guid="{9BF7FAF1-D686-4A6B-A2BE-0DAD43841920}" fitToPage="1" hiddenRows="1" topLeftCell="A45">
      <selection activeCell="H22" sqref="H22"/>
      <pageMargins left="0.75" right="0.75" top="1" bottom="1" header="0.5" footer="0.5"/>
      <pageSetup scale="71" orientation="landscape" r:id="rId4"/>
      <headerFooter alignWithMargins="0"/>
    </customSheetView>
  </customSheetViews>
  <pageMargins left="0.75" right="0.75" top="1" bottom="1" header="0.5" footer="0.5"/>
  <pageSetup scale="70" orientation="landscape" r:id="rId5"/>
  <headerFooter alignWithMargins="0"/>
  <legacy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B4:C15"/>
  <sheetViews>
    <sheetView workbookViewId="0"/>
  </sheetViews>
  <sheetFormatPr defaultRowHeight="12.75" x14ac:dyDescent="0.2"/>
  <sheetData>
    <row r="4" spans="2:3" x14ac:dyDescent="0.2">
      <c r="B4">
        <v>1</v>
      </c>
      <c r="C4">
        <f ca="1">RANDBETWEEN(1,61)</f>
        <v>51</v>
      </c>
    </row>
    <row r="5" spans="2:3" x14ac:dyDescent="0.2">
      <c r="B5">
        <v>2</v>
      </c>
      <c r="C5">
        <f t="shared" ref="C5:C15" ca="1" si="0">RANDBETWEEN(1,61)</f>
        <v>24</v>
      </c>
    </row>
    <row r="6" spans="2:3" x14ac:dyDescent="0.2">
      <c r="B6">
        <v>3</v>
      </c>
      <c r="C6">
        <f t="shared" ca="1" si="0"/>
        <v>53</v>
      </c>
    </row>
    <row r="7" spans="2:3" x14ac:dyDescent="0.2">
      <c r="B7">
        <v>4</v>
      </c>
      <c r="C7">
        <f t="shared" ca="1" si="0"/>
        <v>47</v>
      </c>
    </row>
    <row r="8" spans="2:3" x14ac:dyDescent="0.2">
      <c r="B8">
        <v>5</v>
      </c>
      <c r="C8">
        <f t="shared" ca="1" si="0"/>
        <v>16</v>
      </c>
    </row>
    <row r="9" spans="2:3" x14ac:dyDescent="0.2">
      <c r="B9">
        <v>6</v>
      </c>
      <c r="C9">
        <f t="shared" ca="1" si="0"/>
        <v>9</v>
      </c>
    </row>
    <row r="10" spans="2:3" x14ac:dyDescent="0.2">
      <c r="B10">
        <v>7</v>
      </c>
      <c r="C10">
        <f t="shared" ca="1" si="0"/>
        <v>23</v>
      </c>
    </row>
    <row r="11" spans="2:3" x14ac:dyDescent="0.2">
      <c r="B11">
        <v>8</v>
      </c>
      <c r="C11">
        <f t="shared" ca="1" si="0"/>
        <v>19</v>
      </c>
    </row>
    <row r="12" spans="2:3" x14ac:dyDescent="0.2">
      <c r="B12">
        <v>9</v>
      </c>
      <c r="C12">
        <f t="shared" ca="1" si="0"/>
        <v>56</v>
      </c>
    </row>
    <row r="13" spans="2:3" x14ac:dyDescent="0.2">
      <c r="B13">
        <v>10</v>
      </c>
      <c r="C13">
        <f t="shared" ca="1" si="0"/>
        <v>25</v>
      </c>
    </row>
    <row r="14" spans="2:3" x14ac:dyDescent="0.2">
      <c r="B14">
        <v>11</v>
      </c>
      <c r="C14">
        <f t="shared" ca="1" si="0"/>
        <v>17</v>
      </c>
    </row>
    <row r="15" spans="2:3" x14ac:dyDescent="0.2">
      <c r="B15">
        <v>12</v>
      </c>
      <c r="C15">
        <f t="shared" ca="1" si="0"/>
        <v>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6">
    <pageSetUpPr fitToPage="1"/>
  </sheetPr>
  <dimension ref="A1:AC218"/>
  <sheetViews>
    <sheetView workbookViewId="0"/>
  </sheetViews>
  <sheetFormatPr defaultRowHeight="12.75" outlineLevelRow="1" outlineLevelCol="1" x14ac:dyDescent="0.2"/>
  <cols>
    <col min="1" max="1" width="11.28515625" customWidth="1"/>
    <col min="2" max="2" width="58.85546875" customWidth="1"/>
    <col min="3" max="3" width="11.5703125" customWidth="1"/>
    <col min="4" max="4" width="12.140625" customWidth="1"/>
    <col min="5" max="5" width="12.5703125" customWidth="1"/>
    <col min="6" max="6" width="16.28515625" bestFit="1" customWidth="1"/>
    <col min="7" max="7" width="11.5703125" bestFit="1" customWidth="1"/>
    <col min="8" max="8" width="10.7109375" bestFit="1" customWidth="1"/>
    <col min="9" max="9" width="13.85546875" customWidth="1"/>
    <col min="10" max="10" width="10.28515625" bestFit="1" customWidth="1"/>
    <col min="11" max="11" width="12.7109375" customWidth="1"/>
    <col min="17" max="20" width="9.140625" customWidth="1" outlineLevel="1"/>
    <col min="21" max="21" width="12.5703125" customWidth="1" outlineLevel="1"/>
    <col min="22" max="27" width="9.140625" customWidth="1" outlineLevel="1"/>
    <col min="28" max="28" width="12.5703125" customWidth="1" outlineLevel="1"/>
    <col min="29" max="29" width="9.140625" customWidth="1" outlineLevel="1"/>
  </cols>
  <sheetData>
    <row r="1" spans="1:24" x14ac:dyDescent="0.2">
      <c r="A1" s="181" t="s">
        <v>547</v>
      </c>
      <c r="C1" s="684" t="s">
        <v>546</v>
      </c>
      <c r="D1" s="685"/>
      <c r="E1" s="686"/>
    </row>
    <row r="3" spans="1:24" ht="28.5" customHeight="1" x14ac:dyDescent="0.2"/>
    <row r="4" spans="1:24" ht="38.25" x14ac:dyDescent="0.2">
      <c r="A4" s="305" t="s">
        <v>540</v>
      </c>
      <c r="B4" s="305" t="s">
        <v>534</v>
      </c>
      <c r="C4" s="306" t="s">
        <v>0</v>
      </c>
      <c r="D4" s="306" t="s">
        <v>5</v>
      </c>
      <c r="E4" s="306" t="s">
        <v>36</v>
      </c>
      <c r="F4" s="306" t="s">
        <v>536</v>
      </c>
      <c r="G4" s="306" t="s">
        <v>535</v>
      </c>
      <c r="H4" s="306" t="s">
        <v>537</v>
      </c>
      <c r="I4" s="306" t="s">
        <v>539</v>
      </c>
      <c r="J4" s="306" t="s">
        <v>541</v>
      </c>
      <c r="K4" s="306" t="s">
        <v>542</v>
      </c>
    </row>
    <row r="5" spans="1:24" x14ac:dyDescent="0.2">
      <c r="A5" s="76">
        <v>1</v>
      </c>
      <c r="B5" s="303" t="e">
        <f>+#REF!</f>
        <v>#REF!</v>
      </c>
      <c r="C5" s="297"/>
      <c r="D5" s="297"/>
      <c r="E5" s="297"/>
      <c r="F5" s="307"/>
      <c r="G5" s="307"/>
      <c r="H5" s="308"/>
      <c r="I5" s="297"/>
      <c r="J5" s="302"/>
      <c r="K5" s="302"/>
    </row>
    <row r="6" spans="1:24" x14ac:dyDescent="0.2">
      <c r="A6" s="76">
        <v>2</v>
      </c>
      <c r="B6" s="303" t="e">
        <f>+#REF!</f>
        <v>#REF!</v>
      </c>
      <c r="C6" s="461" t="e">
        <f>+#REF!</f>
        <v>#REF!</v>
      </c>
      <c r="D6" s="461" t="e">
        <f>+#REF!</f>
        <v>#REF!</v>
      </c>
      <c r="E6" s="461" t="e">
        <f>+#REF!</f>
        <v>#REF!</v>
      </c>
      <c r="F6" s="462" t="e">
        <f>+#REF!</f>
        <v>#REF!</v>
      </c>
      <c r="G6" s="462" t="e">
        <f>+#REF!</f>
        <v>#REF!</v>
      </c>
      <c r="H6" s="461" t="e">
        <f t="shared" ref="H6:H24" si="0">+F6/G6-1</f>
        <v>#REF!</v>
      </c>
      <c r="I6" s="463" t="e">
        <f>+#REF!</f>
        <v>#REF!</v>
      </c>
      <c r="J6" s="93"/>
      <c r="K6" s="93"/>
      <c r="L6" s="295"/>
    </row>
    <row r="7" spans="1:24" x14ac:dyDescent="0.2">
      <c r="A7" s="76">
        <v>3</v>
      </c>
      <c r="B7" s="429" t="e">
        <f>+#REF!</f>
        <v>#REF!</v>
      </c>
      <c r="C7" s="461" t="e">
        <f>+#REF!</f>
        <v>#REF!</v>
      </c>
      <c r="D7" s="461" t="e">
        <f>+#REF!</f>
        <v>#REF!</v>
      </c>
      <c r="E7" s="461" t="e">
        <f>+#REF!</f>
        <v>#REF!</v>
      </c>
      <c r="F7" s="462" t="e">
        <f>+#REF!</f>
        <v>#REF!</v>
      </c>
      <c r="G7" s="462" t="e">
        <f>+#REF!</f>
        <v>#REF!</v>
      </c>
      <c r="H7" s="461" t="e">
        <f t="shared" si="0"/>
        <v>#REF!</v>
      </c>
      <c r="I7" s="463" t="e">
        <f>+#REF!</f>
        <v>#REF!</v>
      </c>
      <c r="J7" s="463" t="e">
        <f>+G7-G6</f>
        <v>#REF!</v>
      </c>
      <c r="K7" s="463" t="e">
        <f>+I7-I6</f>
        <v>#REF!</v>
      </c>
      <c r="L7" s="311"/>
    </row>
    <row r="8" spans="1:24" x14ac:dyDescent="0.2">
      <c r="A8" s="76">
        <v>4</v>
      </c>
      <c r="B8" s="429" t="e">
        <f>+#REF!</f>
        <v>#REF!</v>
      </c>
      <c r="C8" s="461" t="e">
        <f>+#REF!</f>
        <v>#REF!</v>
      </c>
      <c r="D8" s="461" t="e">
        <f>+#REF!</f>
        <v>#REF!</v>
      </c>
      <c r="E8" s="461" t="e">
        <f>+#REF!</f>
        <v>#REF!</v>
      </c>
      <c r="F8" s="462" t="e">
        <f>+#REF!</f>
        <v>#REF!</v>
      </c>
      <c r="G8" s="462" t="e">
        <f>+#REF!</f>
        <v>#REF!</v>
      </c>
      <c r="H8" s="461" t="e">
        <f t="shared" si="0"/>
        <v>#REF!</v>
      </c>
      <c r="I8" s="463" t="e">
        <f>+#REF!</f>
        <v>#REF!</v>
      </c>
      <c r="J8" s="463" t="e">
        <f t="shared" ref="J8:J19" si="1">+G8-G7</f>
        <v>#REF!</v>
      </c>
      <c r="K8" s="463" t="e">
        <f t="shared" ref="K8:K19" si="2">+I8-I7</f>
        <v>#REF!</v>
      </c>
      <c r="L8" s="311"/>
    </row>
    <row r="9" spans="1:24" x14ac:dyDescent="0.2">
      <c r="A9" s="76">
        <v>5</v>
      </c>
      <c r="B9" s="429" t="e">
        <f>+#REF!</f>
        <v>#REF!</v>
      </c>
      <c r="C9" s="461" t="e">
        <f>+#REF!</f>
        <v>#REF!</v>
      </c>
      <c r="D9" s="461" t="e">
        <f>+#REF!</f>
        <v>#REF!</v>
      </c>
      <c r="E9" s="461" t="e">
        <f>+#REF!</f>
        <v>#REF!</v>
      </c>
      <c r="F9" s="462" t="e">
        <f>+#REF!</f>
        <v>#REF!</v>
      </c>
      <c r="G9" s="462" t="e">
        <f>+#REF!</f>
        <v>#REF!</v>
      </c>
      <c r="H9" s="461" t="e">
        <f t="shared" si="0"/>
        <v>#REF!</v>
      </c>
      <c r="I9" s="463" t="e">
        <f>+#REF!</f>
        <v>#REF!</v>
      </c>
      <c r="J9" s="463" t="e">
        <f t="shared" si="1"/>
        <v>#REF!</v>
      </c>
      <c r="K9" s="463" t="e">
        <f t="shared" si="2"/>
        <v>#REF!</v>
      </c>
      <c r="L9" s="311"/>
    </row>
    <row r="10" spans="1:24" x14ac:dyDescent="0.2">
      <c r="A10" s="76">
        <v>6</v>
      </c>
      <c r="B10" s="429" t="e">
        <f>+#REF!</f>
        <v>#REF!</v>
      </c>
      <c r="C10" s="461" t="e">
        <f>+#REF!</f>
        <v>#REF!</v>
      </c>
      <c r="D10" s="461" t="e">
        <f>+#REF!</f>
        <v>#REF!</v>
      </c>
      <c r="E10" s="461" t="e">
        <f>+#REF!</f>
        <v>#REF!</v>
      </c>
      <c r="F10" s="462" t="e">
        <f>+#REF!</f>
        <v>#REF!</v>
      </c>
      <c r="G10" s="462" t="e">
        <f>+#REF!</f>
        <v>#REF!</v>
      </c>
      <c r="H10" s="461" t="e">
        <f t="shared" si="0"/>
        <v>#REF!</v>
      </c>
      <c r="I10" s="463" t="e">
        <f>+#REF!</f>
        <v>#REF!</v>
      </c>
      <c r="J10" s="463" t="e">
        <f t="shared" si="1"/>
        <v>#REF!</v>
      </c>
      <c r="K10" s="463" t="e">
        <f t="shared" si="2"/>
        <v>#REF!</v>
      </c>
      <c r="L10" s="311"/>
    </row>
    <row r="11" spans="1:24" x14ac:dyDescent="0.2">
      <c r="A11" s="76">
        <v>7</v>
      </c>
      <c r="B11" s="429" t="e">
        <f>+#REF!</f>
        <v>#REF!</v>
      </c>
      <c r="C11" s="461" t="e">
        <f>+#REF!</f>
        <v>#REF!</v>
      </c>
      <c r="D11" s="461" t="e">
        <f>+#REF!</f>
        <v>#REF!</v>
      </c>
      <c r="E11" s="461" t="e">
        <f>+#REF!</f>
        <v>#REF!</v>
      </c>
      <c r="F11" s="462" t="e">
        <f>+#REF!</f>
        <v>#REF!</v>
      </c>
      <c r="G11" s="462" t="e">
        <f>+#REF!</f>
        <v>#REF!</v>
      </c>
      <c r="H11" s="461" t="e">
        <f t="shared" si="0"/>
        <v>#REF!</v>
      </c>
      <c r="I11" s="463" t="e">
        <f>+#REF!</f>
        <v>#REF!</v>
      </c>
      <c r="J11" s="463" t="e">
        <f t="shared" si="1"/>
        <v>#REF!</v>
      </c>
      <c r="K11" s="463" t="e">
        <f t="shared" si="2"/>
        <v>#REF!</v>
      </c>
      <c r="L11" s="311"/>
    </row>
    <row r="12" spans="1:24" x14ac:dyDescent="0.2">
      <c r="A12" s="76">
        <v>8</v>
      </c>
      <c r="B12" s="429" t="e">
        <f>+#REF!</f>
        <v>#REF!</v>
      </c>
      <c r="C12" s="461" t="e">
        <f>+#REF!</f>
        <v>#REF!</v>
      </c>
      <c r="D12" s="461" t="e">
        <f>+#REF!</f>
        <v>#REF!</v>
      </c>
      <c r="E12" s="461" t="e">
        <f>+#REF!</f>
        <v>#REF!</v>
      </c>
      <c r="F12" s="462" t="e">
        <f>+#REF!</f>
        <v>#REF!</v>
      </c>
      <c r="G12" s="462" t="e">
        <f>+#REF!</f>
        <v>#REF!</v>
      </c>
      <c r="H12" s="461" t="e">
        <f t="shared" si="0"/>
        <v>#REF!</v>
      </c>
      <c r="I12" s="463" t="e">
        <f>+#REF!</f>
        <v>#REF!</v>
      </c>
      <c r="J12" s="463" t="e">
        <f t="shared" si="1"/>
        <v>#REF!</v>
      </c>
      <c r="K12" s="463" t="e">
        <f t="shared" si="2"/>
        <v>#REF!</v>
      </c>
      <c r="L12" s="311"/>
    </row>
    <row r="13" spans="1:24" x14ac:dyDescent="0.2">
      <c r="A13" s="76">
        <v>9</v>
      </c>
      <c r="B13" s="429" t="e">
        <f>+#REF!</f>
        <v>#REF!</v>
      </c>
      <c r="C13" s="461" t="e">
        <f>+#REF!</f>
        <v>#REF!</v>
      </c>
      <c r="D13" s="461" t="e">
        <f>+#REF!</f>
        <v>#REF!</v>
      </c>
      <c r="E13" s="461" t="e">
        <f>+#REF!</f>
        <v>#REF!</v>
      </c>
      <c r="F13" s="462" t="e">
        <f>+#REF!</f>
        <v>#REF!</v>
      </c>
      <c r="G13" s="462" t="e">
        <f>+#REF!</f>
        <v>#REF!</v>
      </c>
      <c r="H13" s="461" t="e">
        <f t="shared" si="0"/>
        <v>#REF!</v>
      </c>
      <c r="I13" s="463" t="e">
        <f>+#REF!</f>
        <v>#REF!</v>
      </c>
      <c r="J13" s="463" t="e">
        <f t="shared" si="1"/>
        <v>#REF!</v>
      </c>
      <c r="K13" s="463" t="e">
        <f t="shared" si="2"/>
        <v>#REF!</v>
      </c>
      <c r="L13" s="311"/>
    </row>
    <row r="14" spans="1:24" x14ac:dyDescent="0.2">
      <c r="A14" s="76">
        <v>10</v>
      </c>
      <c r="B14" s="429" t="e">
        <f>+#REF!</f>
        <v>#REF!</v>
      </c>
      <c r="C14" s="461" t="e">
        <f>+#REF!</f>
        <v>#REF!</v>
      </c>
      <c r="D14" s="461" t="e">
        <f>+#REF!</f>
        <v>#REF!</v>
      </c>
      <c r="E14" s="461" t="e">
        <f>+#REF!</f>
        <v>#REF!</v>
      </c>
      <c r="F14" s="462" t="e">
        <f>+#REF!</f>
        <v>#REF!</v>
      </c>
      <c r="G14" s="462" t="e">
        <f>+#REF!</f>
        <v>#REF!</v>
      </c>
      <c r="H14" s="461" t="e">
        <f t="shared" si="0"/>
        <v>#REF!</v>
      </c>
      <c r="I14" s="463" t="e">
        <f>+#REF!</f>
        <v>#REF!</v>
      </c>
      <c r="J14" s="463" t="e">
        <f t="shared" si="1"/>
        <v>#REF!</v>
      </c>
      <c r="K14" s="463" t="e">
        <f t="shared" si="2"/>
        <v>#REF!</v>
      </c>
      <c r="L14" s="311"/>
    </row>
    <row r="15" spans="1:24" x14ac:dyDescent="0.2">
      <c r="A15" s="76">
        <v>11</v>
      </c>
      <c r="B15" s="429" t="e">
        <f>+#REF!</f>
        <v>#REF!</v>
      </c>
      <c r="C15" s="461" t="e">
        <f>+#REF!</f>
        <v>#REF!</v>
      </c>
      <c r="D15" s="461" t="e">
        <f>+#REF!</f>
        <v>#REF!</v>
      </c>
      <c r="E15" s="461" t="e">
        <f>+#REF!</f>
        <v>#REF!</v>
      </c>
      <c r="F15" s="462" t="e">
        <f>+#REF!</f>
        <v>#REF!</v>
      </c>
      <c r="G15" s="462" t="e">
        <f>+#REF!</f>
        <v>#REF!</v>
      </c>
      <c r="H15" s="461" t="e">
        <f t="shared" si="0"/>
        <v>#REF!</v>
      </c>
      <c r="I15" s="463" t="e">
        <f>+#REF!</f>
        <v>#REF!</v>
      </c>
      <c r="J15" s="463" t="e">
        <f t="shared" si="1"/>
        <v>#REF!</v>
      </c>
      <c r="K15" s="463" t="e">
        <f t="shared" si="2"/>
        <v>#REF!</v>
      </c>
      <c r="L15" s="311"/>
    </row>
    <row r="16" spans="1:24" x14ac:dyDescent="0.2">
      <c r="A16" s="76">
        <v>12</v>
      </c>
      <c r="B16" s="429" t="e">
        <f>+#REF!</f>
        <v>#REF!</v>
      </c>
      <c r="C16" s="461" t="e">
        <f>+#REF!</f>
        <v>#REF!</v>
      </c>
      <c r="D16" s="461" t="e">
        <f>+#REF!</f>
        <v>#REF!</v>
      </c>
      <c r="E16" s="461" t="e">
        <f>+#REF!</f>
        <v>#REF!</v>
      </c>
      <c r="F16" s="462" t="e">
        <f>+#REF!</f>
        <v>#REF!</v>
      </c>
      <c r="G16" s="462" t="e">
        <f>+#REF!</f>
        <v>#REF!</v>
      </c>
      <c r="H16" s="461" t="e">
        <f t="shared" si="0"/>
        <v>#REF!</v>
      </c>
      <c r="I16" s="463" t="e">
        <f>+#REF!</f>
        <v>#REF!</v>
      </c>
      <c r="J16" s="463" t="e">
        <f t="shared" si="1"/>
        <v>#REF!</v>
      </c>
      <c r="K16" s="463" t="e">
        <f t="shared" si="2"/>
        <v>#REF!</v>
      </c>
      <c r="L16" s="311"/>
      <c r="Q16" s="181" t="s">
        <v>539</v>
      </c>
      <c r="X16" s="181" t="s">
        <v>539</v>
      </c>
    </row>
    <row r="17" spans="1:28" ht="13.5" thickBot="1" x14ac:dyDescent="0.25">
      <c r="A17" s="76">
        <v>13</v>
      </c>
      <c r="B17" s="429" t="e">
        <f>+#REF!</f>
        <v>#REF!</v>
      </c>
      <c r="C17" s="461" t="e">
        <f>+#REF!</f>
        <v>#REF!</v>
      </c>
      <c r="D17" s="461" t="e">
        <f>+#REF!</f>
        <v>#REF!</v>
      </c>
      <c r="E17" s="461" t="e">
        <f>+#REF!</f>
        <v>#REF!</v>
      </c>
      <c r="F17" s="462" t="e">
        <f>+#REF!</f>
        <v>#REF!</v>
      </c>
      <c r="G17" s="462" t="e">
        <f>+#REF!</f>
        <v>#REF!</v>
      </c>
      <c r="H17" s="461" t="e">
        <f t="shared" si="0"/>
        <v>#REF!</v>
      </c>
      <c r="I17" s="463" t="e">
        <f>+#REF!</f>
        <v>#REF!</v>
      </c>
      <c r="J17" s="463" t="e">
        <f t="shared" si="1"/>
        <v>#REF!</v>
      </c>
      <c r="K17" s="463" t="e">
        <f t="shared" si="2"/>
        <v>#REF!</v>
      </c>
      <c r="L17" s="311"/>
    </row>
    <row r="18" spans="1:28" ht="13.5" thickBot="1" x14ac:dyDescent="0.25">
      <c r="A18" s="76">
        <v>14</v>
      </c>
      <c r="B18" s="429" t="e">
        <f>+#REF!</f>
        <v>#REF!</v>
      </c>
      <c r="C18" s="461" t="e">
        <f>+#REF!</f>
        <v>#REF!</v>
      </c>
      <c r="D18" s="461" t="e">
        <f>+#REF!</f>
        <v>#REF!</v>
      </c>
      <c r="E18" s="461" t="e">
        <f>+#REF!</f>
        <v>#REF!</v>
      </c>
      <c r="F18" s="462" t="e">
        <f>+#REF!</f>
        <v>#REF!</v>
      </c>
      <c r="G18" s="462" t="e">
        <f>+#REF!</f>
        <v>#REF!</v>
      </c>
      <c r="H18" s="461" t="e">
        <f t="shared" si="0"/>
        <v>#REF!</v>
      </c>
      <c r="I18" s="463" t="e">
        <f>+#REF!</f>
        <v>#REF!</v>
      </c>
      <c r="J18" s="463" t="e">
        <f t="shared" si="1"/>
        <v>#REF!</v>
      </c>
      <c r="K18" s="463" t="e">
        <f t="shared" si="2"/>
        <v>#REF!</v>
      </c>
      <c r="L18" s="311"/>
      <c r="Q18" s="467" t="s">
        <v>597</v>
      </c>
      <c r="R18" s="468"/>
      <c r="S18" s="468"/>
      <c r="T18" s="468"/>
      <c r="U18" s="469" t="e">
        <f>+G23</f>
        <v>#REF!</v>
      </c>
    </row>
    <row r="19" spans="1:28" x14ac:dyDescent="0.2">
      <c r="A19" s="76">
        <v>15</v>
      </c>
      <c r="B19" s="429" t="e">
        <f>+#REF!</f>
        <v>#REF!</v>
      </c>
      <c r="C19" s="461" t="e">
        <f>+#REF!</f>
        <v>#REF!</v>
      </c>
      <c r="D19" s="461" t="e">
        <f>+#REF!</f>
        <v>#REF!</v>
      </c>
      <c r="E19" s="461" t="e">
        <f>+#REF!</f>
        <v>#REF!</v>
      </c>
      <c r="F19" s="462" t="e">
        <f>+#REF!</f>
        <v>#REF!</v>
      </c>
      <c r="G19" s="462" t="e">
        <f>+#REF!</f>
        <v>#REF!</v>
      </c>
      <c r="H19" s="461" t="e">
        <f t="shared" si="0"/>
        <v>#REF!</v>
      </c>
      <c r="I19" s="463" t="e">
        <f>+#REF!</f>
        <v>#REF!</v>
      </c>
      <c r="J19" s="463" t="e">
        <f t="shared" si="1"/>
        <v>#REF!</v>
      </c>
      <c r="K19" s="463" t="e">
        <f t="shared" si="2"/>
        <v>#REF!</v>
      </c>
      <c r="L19" s="295"/>
      <c r="Q19" s="470" t="s">
        <v>598</v>
      </c>
      <c r="R19" s="370"/>
      <c r="S19" s="370"/>
      <c r="T19" s="370"/>
      <c r="U19" s="478" t="e">
        <f>+G22-G21</f>
        <v>#REF!</v>
      </c>
      <c r="X19" s="467" t="s">
        <v>597</v>
      </c>
      <c r="Y19" s="468"/>
      <c r="Z19" s="468"/>
      <c r="AA19" s="468"/>
      <c r="AB19" s="469">
        <v>87.659893184675695</v>
      </c>
    </row>
    <row r="20" spans="1:28" x14ac:dyDescent="0.2">
      <c r="A20" s="76">
        <v>16</v>
      </c>
      <c r="B20" s="429" t="e">
        <f>+#REF!</f>
        <v>#REF!</v>
      </c>
      <c r="C20" s="461" t="e">
        <f>+#REF!</f>
        <v>#REF!</v>
      </c>
      <c r="D20" s="461" t="e">
        <f>+#REF!</f>
        <v>#REF!</v>
      </c>
      <c r="E20" s="461" t="e">
        <f>+#REF!</f>
        <v>#REF!</v>
      </c>
      <c r="F20" s="462" t="e">
        <f>+#REF!</f>
        <v>#REF!</v>
      </c>
      <c r="G20" s="462" t="e">
        <f>+#REF!</f>
        <v>#REF!</v>
      </c>
      <c r="H20" s="461" t="e">
        <f t="shared" si="0"/>
        <v>#REF!</v>
      </c>
      <c r="I20" s="463" t="e">
        <f>+#REF!</f>
        <v>#REF!</v>
      </c>
      <c r="J20" s="463" t="e">
        <f t="shared" ref="J20:J23" si="3">+G20-G19</f>
        <v>#REF!</v>
      </c>
      <c r="K20" s="463" t="e">
        <f t="shared" ref="K20:K23" si="4">+I20-I19</f>
        <v>#REF!</v>
      </c>
      <c r="L20" s="295"/>
      <c r="Q20" s="470" t="s">
        <v>599</v>
      </c>
      <c r="R20" s="370"/>
      <c r="S20" s="370"/>
      <c r="T20" s="370"/>
      <c r="U20" s="471" t="e">
        <f>+U18-U19</f>
        <v>#REF!</v>
      </c>
      <c r="X20" s="470" t="s">
        <v>598</v>
      </c>
      <c r="Y20" s="370"/>
      <c r="Z20" s="370"/>
      <c r="AA20" s="370"/>
      <c r="AB20" s="478">
        <v>1.1200000000000001</v>
      </c>
    </row>
    <row r="21" spans="1:28" x14ac:dyDescent="0.2">
      <c r="A21" s="76">
        <v>17</v>
      </c>
      <c r="B21" s="429" t="e">
        <f>+#REF!</f>
        <v>#REF!</v>
      </c>
      <c r="C21" s="461" t="e">
        <f>+#REF!</f>
        <v>#REF!</v>
      </c>
      <c r="D21" s="461" t="e">
        <f>+#REF!</f>
        <v>#REF!</v>
      </c>
      <c r="E21" s="461" t="e">
        <f>+#REF!</f>
        <v>#REF!</v>
      </c>
      <c r="F21" s="462" t="e">
        <f>+#REF!</f>
        <v>#REF!</v>
      </c>
      <c r="G21" s="462" t="e">
        <f>+#REF!</f>
        <v>#REF!</v>
      </c>
      <c r="H21" s="461" t="e">
        <f t="shared" si="0"/>
        <v>#REF!</v>
      </c>
      <c r="I21" s="463" t="e">
        <f>+#REF!</f>
        <v>#REF!</v>
      </c>
      <c r="J21" s="463" t="e">
        <f t="shared" si="3"/>
        <v>#REF!</v>
      </c>
      <c r="K21" s="463" t="e">
        <f t="shared" si="4"/>
        <v>#REF!</v>
      </c>
      <c r="L21" s="295"/>
      <c r="Q21" s="470" t="s">
        <v>600</v>
      </c>
      <c r="R21" s="370"/>
      <c r="S21" s="370"/>
      <c r="T21" s="370"/>
      <c r="U21" s="472"/>
      <c r="X21" s="470" t="s">
        <v>599</v>
      </c>
      <c r="Y21" s="370"/>
      <c r="Z21" s="370"/>
      <c r="AA21" s="370"/>
      <c r="AB21" s="471">
        <f>+AB19-AB20</f>
        <v>86.539893184675691</v>
      </c>
    </row>
    <row r="22" spans="1:28" x14ac:dyDescent="0.2">
      <c r="A22" s="76">
        <v>18</v>
      </c>
      <c r="B22" s="429" t="e">
        <f>+#REF!</f>
        <v>#REF!</v>
      </c>
      <c r="C22" s="461" t="e">
        <f>+#REF!</f>
        <v>#REF!</v>
      </c>
      <c r="D22" s="461" t="e">
        <f>+#REF!</f>
        <v>#REF!</v>
      </c>
      <c r="E22" s="461" t="e">
        <f>+#REF!</f>
        <v>#REF!</v>
      </c>
      <c r="F22" s="462" t="e">
        <f>+#REF!</f>
        <v>#REF!</v>
      </c>
      <c r="G22" s="462" t="e">
        <f>+#REF!</f>
        <v>#REF!</v>
      </c>
      <c r="H22" s="461" t="e">
        <f t="shared" si="0"/>
        <v>#REF!</v>
      </c>
      <c r="I22" s="463" t="e">
        <f>+#REF!</f>
        <v>#REF!</v>
      </c>
      <c r="J22" s="463" t="e">
        <f t="shared" si="3"/>
        <v>#REF!</v>
      </c>
      <c r="K22" s="463" t="e">
        <f t="shared" si="4"/>
        <v>#REF!</v>
      </c>
      <c r="L22" s="295"/>
      <c r="Q22" s="470" t="s">
        <v>601</v>
      </c>
      <c r="R22" s="370"/>
      <c r="S22" s="370"/>
      <c r="T22" s="370"/>
      <c r="U22" s="472"/>
      <c r="X22" s="470" t="s">
        <v>600</v>
      </c>
      <c r="Y22" s="370"/>
      <c r="Z22" s="370"/>
      <c r="AA22" s="370"/>
      <c r="AB22" s="472"/>
    </row>
    <row r="23" spans="1:28" x14ac:dyDescent="0.2">
      <c r="A23" s="76">
        <v>19</v>
      </c>
      <c r="B23" s="429" t="e">
        <f>+#REF!</f>
        <v>#REF!</v>
      </c>
      <c r="C23" s="461" t="e">
        <f>+#REF!</f>
        <v>#REF!</v>
      </c>
      <c r="D23" s="461" t="e">
        <f>+#REF!</f>
        <v>#REF!</v>
      </c>
      <c r="E23" s="461" t="e">
        <f>+#REF!</f>
        <v>#REF!</v>
      </c>
      <c r="F23" s="462" t="e">
        <f>+#REF!</f>
        <v>#REF!</v>
      </c>
      <c r="G23" s="462" t="e">
        <f>+#REF!</f>
        <v>#REF!</v>
      </c>
      <c r="H23" s="461" t="e">
        <f t="shared" si="0"/>
        <v>#REF!</v>
      </c>
      <c r="I23" s="463" t="e">
        <f>+#REF!</f>
        <v>#REF!</v>
      </c>
      <c r="J23" s="463" t="e">
        <f t="shared" si="3"/>
        <v>#REF!</v>
      </c>
      <c r="K23" s="463" t="e">
        <f t="shared" si="4"/>
        <v>#REF!</v>
      </c>
      <c r="L23" s="295"/>
      <c r="Q23" s="470" t="s">
        <v>606</v>
      </c>
      <c r="R23" s="370"/>
      <c r="S23" s="370"/>
      <c r="T23" s="466">
        <v>90.039000000000001</v>
      </c>
      <c r="U23" s="472"/>
      <c r="X23" s="470" t="s">
        <v>601</v>
      </c>
      <c r="Y23" s="370"/>
      <c r="Z23" s="370"/>
      <c r="AA23" s="370"/>
      <c r="AB23" s="472"/>
    </row>
    <row r="24" spans="1:28" x14ac:dyDescent="0.2">
      <c r="A24" s="76">
        <v>20</v>
      </c>
      <c r="B24" s="429" t="e">
        <f>+#REF!</f>
        <v>#REF!</v>
      </c>
      <c r="C24" s="461" t="e">
        <f>+#REF!</f>
        <v>#REF!</v>
      </c>
      <c r="D24" s="461" t="e">
        <f>+#REF!</f>
        <v>#REF!</v>
      </c>
      <c r="E24" s="461" t="e">
        <f>+#REF!</f>
        <v>#REF!</v>
      </c>
      <c r="F24" s="462" t="e">
        <f>+#REF!</f>
        <v>#REF!</v>
      </c>
      <c r="G24" s="462" t="e">
        <f>+#REF!</f>
        <v>#REF!</v>
      </c>
      <c r="H24" s="461" t="e">
        <f t="shared" si="0"/>
        <v>#REF!</v>
      </c>
      <c r="I24" s="463" t="e">
        <f>+#REF!</f>
        <v>#REF!</v>
      </c>
      <c r="J24" s="463" t="e">
        <f t="shared" ref="J24" si="5">+G24-G23</f>
        <v>#REF!</v>
      </c>
      <c r="K24" s="463" t="e">
        <f t="shared" ref="K24" si="6">+I24-I23</f>
        <v>#REF!</v>
      </c>
      <c r="L24" s="295"/>
      <c r="Q24" s="470" t="s">
        <v>602</v>
      </c>
      <c r="R24" s="370"/>
      <c r="S24" s="370"/>
      <c r="T24" s="479" t="e">
        <f>+U18</f>
        <v>#REF!</v>
      </c>
      <c r="U24" s="478" t="e">
        <f>+T23-T24</f>
        <v>#REF!</v>
      </c>
      <c r="X24" s="470" t="s">
        <v>624</v>
      </c>
      <c r="Y24" s="370"/>
      <c r="Z24" s="370"/>
      <c r="AA24" s="370">
        <v>90.04</v>
      </c>
      <c r="AB24" s="472"/>
    </row>
    <row r="25" spans="1:28" x14ac:dyDescent="0.2">
      <c r="A25" s="460">
        <v>21</v>
      </c>
      <c r="B25" s="429" t="e">
        <f>+#REF!</f>
        <v>#REF!</v>
      </c>
      <c r="C25" s="461" t="e">
        <f>+#REF!</f>
        <v>#REF!</v>
      </c>
      <c r="D25" s="461" t="e">
        <f>+#REF!</f>
        <v>#REF!</v>
      </c>
      <c r="E25" s="461" t="e">
        <f>+#REF!</f>
        <v>#REF!</v>
      </c>
      <c r="F25" s="462" t="e">
        <f>+#REF!</f>
        <v>#REF!</v>
      </c>
      <c r="G25" s="462" t="e">
        <f>+#REF!</f>
        <v>#REF!</v>
      </c>
      <c r="H25" s="461" t="e">
        <f t="shared" ref="H25" si="7">+F25/G25-1</f>
        <v>#REF!</v>
      </c>
      <c r="I25" s="463" t="e">
        <f>+#REF!</f>
        <v>#REF!</v>
      </c>
      <c r="J25" s="463" t="e">
        <f t="shared" ref="J25" si="8">+G25-G24</f>
        <v>#REF!</v>
      </c>
      <c r="K25" s="463" t="e">
        <f t="shared" ref="K25" si="9">+I25-I24</f>
        <v>#REF!</v>
      </c>
      <c r="L25" s="295"/>
      <c r="Q25" s="470" t="s">
        <v>607</v>
      </c>
      <c r="R25" s="370"/>
      <c r="S25" s="370"/>
      <c r="T25" s="370"/>
      <c r="U25" s="471" t="e">
        <f>+U24+U20</f>
        <v>#REF!</v>
      </c>
      <c r="X25" s="470" t="s">
        <v>602</v>
      </c>
      <c r="Y25" s="370"/>
      <c r="Z25" s="370"/>
      <c r="AA25" s="479">
        <f>+AB19</f>
        <v>87.659893184675695</v>
      </c>
      <c r="AB25" s="490">
        <f>+AA24-AA25</f>
        <v>2.3801068153243108</v>
      </c>
    </row>
    <row r="26" spans="1:28" x14ac:dyDescent="0.2">
      <c r="A26" s="460">
        <v>22</v>
      </c>
      <c r="B26" s="495" t="s">
        <v>628</v>
      </c>
      <c r="C26" s="496" t="e">
        <f>+#REF!</f>
        <v>#REF!</v>
      </c>
      <c r="D26" s="496" t="e">
        <f>+#REF!</f>
        <v>#REF!</v>
      </c>
      <c r="E26" s="496" t="e">
        <f>+#REF!</f>
        <v>#REF!</v>
      </c>
      <c r="F26" s="462" t="e">
        <f>+#REF!</f>
        <v>#REF!</v>
      </c>
      <c r="G26" s="462" t="e">
        <f>+#REF!</f>
        <v>#REF!</v>
      </c>
      <c r="H26" s="461" t="e">
        <f t="shared" ref="H26" si="10">+F26/G26-1</f>
        <v>#REF!</v>
      </c>
      <c r="I26" s="463" t="e">
        <f>+#REF!</f>
        <v>#REF!</v>
      </c>
      <c r="J26" s="463" t="e">
        <f t="shared" ref="J26" si="11">+G26-G25</f>
        <v>#REF!</v>
      </c>
      <c r="K26" s="463" t="e">
        <f t="shared" ref="K26" si="12">+I26-I25</f>
        <v>#REF!</v>
      </c>
      <c r="L26" s="295"/>
      <c r="Q26" s="470"/>
      <c r="R26" s="370"/>
      <c r="S26" s="370"/>
      <c r="T26" s="370"/>
      <c r="U26" s="471"/>
      <c r="X26" s="470"/>
      <c r="Y26" s="370"/>
      <c r="Z26" s="370"/>
      <c r="AA26" s="497"/>
      <c r="AB26" s="472"/>
    </row>
    <row r="27" spans="1:28" ht="18" x14ac:dyDescent="0.25">
      <c r="A27" s="415">
        <v>16</v>
      </c>
      <c r="B27" s="416" t="s">
        <v>556</v>
      </c>
      <c r="C27" s="417" t="e">
        <f>SUM(C6:C26)</f>
        <v>#REF!</v>
      </c>
      <c r="D27" s="417" t="e">
        <f t="shared" ref="D27:E27" si="13">SUM(D6:D26)</f>
        <v>#REF!</v>
      </c>
      <c r="E27" s="417" t="e">
        <f t="shared" si="13"/>
        <v>#REF!</v>
      </c>
      <c r="F27" s="418" t="e">
        <f>+F26</f>
        <v>#REF!</v>
      </c>
      <c r="G27" s="418" t="e">
        <f>+G26</f>
        <v>#REF!</v>
      </c>
      <c r="H27" s="415"/>
      <c r="I27" s="415"/>
      <c r="J27" s="415"/>
      <c r="K27" s="415"/>
      <c r="Q27" s="473"/>
      <c r="R27" s="370"/>
      <c r="S27" s="370"/>
      <c r="T27" s="370"/>
      <c r="U27" s="471"/>
      <c r="X27" s="470" t="s">
        <v>625</v>
      </c>
      <c r="Y27" s="370"/>
      <c r="Z27" s="370"/>
      <c r="AA27" s="370"/>
      <c r="AB27" s="471">
        <f>+AB25+AB21</f>
        <v>88.92</v>
      </c>
    </row>
    <row r="28" spans="1:28" ht="18" outlineLevel="1" x14ac:dyDescent="0.25">
      <c r="A28" s="302"/>
      <c r="B28" s="314" t="s">
        <v>595</v>
      </c>
      <c r="C28" s="316"/>
      <c r="D28" s="316"/>
      <c r="E28" s="316"/>
      <c r="F28" s="318"/>
      <c r="G28" s="318"/>
      <c r="H28" s="302"/>
      <c r="I28" s="302"/>
      <c r="J28" s="302"/>
      <c r="K28" s="302"/>
      <c r="Q28" s="473"/>
      <c r="R28" s="370"/>
      <c r="S28" s="370"/>
      <c r="T28" s="370"/>
      <c r="U28" s="472"/>
      <c r="X28" s="473"/>
      <c r="Y28" s="370"/>
      <c r="Z28" s="370"/>
      <c r="AA28" s="370"/>
      <c r="AB28" s="472"/>
    </row>
    <row r="29" spans="1:28" ht="18" x14ac:dyDescent="0.25">
      <c r="A29" s="302"/>
      <c r="B29" s="304" t="s">
        <v>564</v>
      </c>
      <c r="C29" s="480" t="e">
        <f>+C24</f>
        <v>#REF!</v>
      </c>
      <c r="D29" s="480" t="e">
        <f>+D24</f>
        <v>#REF!</v>
      </c>
      <c r="E29" s="480" t="e">
        <f>+E24</f>
        <v>#REF!</v>
      </c>
      <c r="F29" s="481" t="e">
        <f>+F27</f>
        <v>#REF!</v>
      </c>
      <c r="G29" s="481" t="e">
        <f>+G27</f>
        <v>#REF!</v>
      </c>
      <c r="H29" s="302"/>
      <c r="I29" s="302"/>
      <c r="J29" s="302"/>
      <c r="K29" s="302"/>
      <c r="Q29" s="470" t="s">
        <v>603</v>
      </c>
      <c r="R29" s="370"/>
      <c r="S29" s="370"/>
      <c r="T29" s="370">
        <v>96.38</v>
      </c>
      <c r="U29" s="472"/>
      <c r="X29" s="470" t="s">
        <v>616</v>
      </c>
      <c r="Y29" s="370"/>
      <c r="Z29" s="370"/>
      <c r="AA29" s="370"/>
      <c r="AB29" s="472"/>
    </row>
    <row r="30" spans="1:28" ht="18" hidden="1" outlineLevel="1" x14ac:dyDescent="0.25">
      <c r="A30" s="302"/>
      <c r="B30" s="302"/>
      <c r="C30" s="317" t="e">
        <f>SUM(C28:C29)</f>
        <v>#REF!</v>
      </c>
      <c r="D30" s="317" t="e">
        <f>SUM(D28:D29)</f>
        <v>#REF!</v>
      </c>
      <c r="E30" s="317" t="e">
        <f>SUM(E28:E29)</f>
        <v>#REF!</v>
      </c>
      <c r="F30" s="304"/>
      <c r="G30" s="304"/>
      <c r="H30" s="304"/>
      <c r="I30" s="302"/>
      <c r="J30" s="302"/>
      <c r="K30" s="302"/>
      <c r="Q30" s="473"/>
      <c r="R30" s="370"/>
      <c r="S30" s="370"/>
      <c r="T30" s="370"/>
      <c r="U30" s="472"/>
      <c r="X30" s="470" t="s">
        <v>603</v>
      </c>
      <c r="Y30" s="370"/>
      <c r="Z30" s="370"/>
      <c r="AA30" s="466">
        <v>96.38</v>
      </c>
      <c r="AB30" s="472"/>
    </row>
    <row r="31" spans="1:28" ht="18" hidden="1" outlineLevel="1" x14ac:dyDescent="0.25">
      <c r="A31" s="302"/>
      <c r="B31" s="314"/>
      <c r="C31" s="317"/>
      <c r="D31" s="317"/>
      <c r="E31" s="317"/>
      <c r="F31" s="304"/>
      <c r="G31" s="304"/>
      <c r="H31" s="304"/>
      <c r="I31" s="302"/>
      <c r="J31" s="302"/>
      <c r="K31" s="302"/>
      <c r="Q31" s="473"/>
      <c r="R31" s="370"/>
      <c r="S31" s="370"/>
      <c r="T31" s="370"/>
      <c r="U31" s="472"/>
      <c r="X31" s="473"/>
      <c r="Y31" s="370"/>
      <c r="Z31" s="370"/>
      <c r="AA31" s="466"/>
      <c r="AB31" s="472"/>
    </row>
    <row r="32" spans="1:28" ht="18" hidden="1" outlineLevel="1" x14ac:dyDescent="0.25">
      <c r="A32" s="302"/>
      <c r="B32" s="304"/>
      <c r="C32" s="317" t="e">
        <f>+C30+C31</f>
        <v>#REF!</v>
      </c>
      <c r="D32" s="317" t="e">
        <f t="shared" ref="D32:E32" si="14">+D30+D31</f>
        <v>#REF!</v>
      </c>
      <c r="E32" s="317" t="e">
        <f t="shared" si="14"/>
        <v>#REF!</v>
      </c>
      <c r="F32" s="304"/>
      <c r="G32" s="304"/>
      <c r="H32" s="304"/>
      <c r="I32" s="302"/>
      <c r="J32" s="302"/>
      <c r="K32" s="302"/>
      <c r="Q32" s="473"/>
      <c r="R32" s="370"/>
      <c r="S32" s="370"/>
      <c r="T32" s="370"/>
      <c r="U32" s="472"/>
      <c r="X32" s="473"/>
      <c r="Y32" s="370"/>
      <c r="Z32" s="370"/>
      <c r="AA32" s="466"/>
      <c r="AB32" s="472"/>
    </row>
    <row r="33" spans="1:28" hidden="1" outlineLevel="1" x14ac:dyDescent="0.2">
      <c r="A33" s="302"/>
      <c r="B33" s="302"/>
      <c r="C33" s="315" t="e">
        <f>+#REF!-C27</f>
        <v>#REF!</v>
      </c>
      <c r="D33" s="315" t="e">
        <f>+#REF!-D27</f>
        <v>#REF!</v>
      </c>
      <c r="E33" s="315" t="e">
        <f>+#REF!-E27</f>
        <v>#REF!</v>
      </c>
      <c r="F33" s="304"/>
      <c r="G33" s="304"/>
      <c r="H33" s="304"/>
      <c r="I33" s="302"/>
      <c r="J33" s="302"/>
      <c r="K33" s="302"/>
      <c r="Q33" s="473"/>
      <c r="R33" s="370"/>
      <c r="S33" s="370"/>
      <c r="T33" s="370"/>
      <c r="U33" s="472"/>
      <c r="X33" s="473"/>
      <c r="Y33" s="370"/>
      <c r="Z33" s="370"/>
      <c r="AA33" s="466"/>
      <c r="AB33" s="472"/>
    </row>
    <row r="34" spans="1:28" hidden="1" outlineLevel="1" x14ac:dyDescent="0.2">
      <c r="Q34" s="473"/>
      <c r="R34" s="370"/>
      <c r="S34" s="370"/>
      <c r="T34" s="370"/>
      <c r="U34" s="472"/>
      <c r="X34" s="473"/>
      <c r="Y34" s="370"/>
      <c r="Z34" s="370"/>
      <c r="AA34" s="466"/>
      <c r="AB34" s="472"/>
    </row>
    <row r="35" spans="1:28" ht="15.75" customHeight="1" collapsed="1" x14ac:dyDescent="0.2">
      <c r="B35" s="488" t="s">
        <v>615</v>
      </c>
      <c r="C35" s="487" t="e">
        <f>+C27-C23-C7</f>
        <v>#REF!</v>
      </c>
      <c r="D35" s="487" t="e">
        <f t="shared" ref="D35:E35" si="15">+D27-D23-D7</f>
        <v>#REF!</v>
      </c>
      <c r="E35" s="487" t="e">
        <f t="shared" si="15"/>
        <v>#REF!</v>
      </c>
      <c r="Q35" s="470" t="s">
        <v>604</v>
      </c>
      <c r="R35" s="370"/>
      <c r="S35" s="370"/>
      <c r="T35" s="370">
        <v>95.402000000000001</v>
      </c>
      <c r="U35" s="472"/>
      <c r="X35" s="473"/>
      <c r="Y35" s="370"/>
      <c r="Z35" s="370"/>
      <c r="AA35" s="466"/>
      <c r="AB35" s="472"/>
    </row>
    <row r="36" spans="1:28" ht="38.25" x14ac:dyDescent="0.2">
      <c r="A36" s="305" t="s">
        <v>540</v>
      </c>
      <c r="B36" s="305" t="s">
        <v>534</v>
      </c>
      <c r="C36" s="306" t="s">
        <v>0</v>
      </c>
      <c r="D36" s="306" t="s">
        <v>5</v>
      </c>
      <c r="E36" s="306" t="s">
        <v>36</v>
      </c>
      <c r="F36" s="306" t="s">
        <v>536</v>
      </c>
      <c r="G36" s="306" t="s">
        <v>535</v>
      </c>
      <c r="H36" s="306" t="s">
        <v>537</v>
      </c>
      <c r="I36" s="306" t="s">
        <v>539</v>
      </c>
      <c r="J36" s="306" t="s">
        <v>541</v>
      </c>
      <c r="K36" s="306" t="s">
        <v>542</v>
      </c>
      <c r="Q36" s="470" t="s">
        <v>605</v>
      </c>
      <c r="R36" s="370"/>
      <c r="S36" s="370"/>
      <c r="T36" s="370"/>
      <c r="U36" s="477">
        <f>+T29/T35</f>
        <v>1.0102513574138907</v>
      </c>
      <c r="X36" s="470" t="s">
        <v>604</v>
      </c>
      <c r="Y36" s="370"/>
      <c r="Z36" s="370"/>
      <c r="AA36" s="491">
        <f>95.402-1</f>
        <v>94.402000000000001</v>
      </c>
      <c r="AB36" s="472"/>
    </row>
    <row r="37" spans="1:28" x14ac:dyDescent="0.2">
      <c r="A37" s="380"/>
      <c r="B37" s="303" t="s">
        <v>543</v>
      </c>
      <c r="C37" s="319"/>
      <c r="D37" s="319"/>
      <c r="E37" s="319"/>
      <c r="F37" s="307"/>
      <c r="G37" s="307"/>
      <c r="H37" s="308"/>
      <c r="I37" s="307"/>
      <c r="J37" s="319"/>
      <c r="K37" s="319"/>
      <c r="L37" s="72"/>
      <c r="Q37" s="473"/>
      <c r="R37" s="370"/>
      <c r="S37" s="370"/>
      <c r="T37" s="370"/>
      <c r="U37" s="472"/>
      <c r="X37" s="470" t="s">
        <v>605</v>
      </c>
      <c r="Y37" s="370"/>
      <c r="Z37" s="370"/>
      <c r="AA37" s="370"/>
      <c r="AB37" s="492">
        <f>+AA30/AA36</f>
        <v>1.0209529459121629</v>
      </c>
    </row>
    <row r="38" spans="1:28" ht="13.5" thickBot="1" x14ac:dyDescent="0.25">
      <c r="A38" s="380"/>
      <c r="B38" s="303" t="s">
        <v>617</v>
      </c>
      <c r="C38" s="301" t="e">
        <f>+C9</f>
        <v>#REF!</v>
      </c>
      <c r="D38" s="301" t="e">
        <f t="shared" ref="D38:E38" si="16">+D9</f>
        <v>#REF!</v>
      </c>
      <c r="E38" s="301" t="e">
        <f t="shared" si="16"/>
        <v>#REF!</v>
      </c>
      <c r="F38" s="464"/>
      <c r="G38" s="464"/>
      <c r="H38" s="308"/>
      <c r="I38" s="464"/>
      <c r="J38" s="464"/>
      <c r="K38" s="464"/>
      <c r="L38" s="310"/>
      <c r="Q38" s="474" t="s">
        <v>539</v>
      </c>
      <c r="R38" s="475"/>
      <c r="S38" s="475"/>
      <c r="T38" s="475"/>
      <c r="U38" s="476" t="e">
        <f>+U36*U25</f>
        <v>#REF!</v>
      </c>
      <c r="X38" s="473"/>
      <c r="Y38" s="370"/>
      <c r="Z38" s="370"/>
      <c r="AA38" s="370"/>
      <c r="AB38" s="472"/>
    </row>
    <row r="39" spans="1:28" ht="13.5" thickBot="1" x14ac:dyDescent="0.25">
      <c r="A39" s="381"/>
      <c r="B39" s="303" t="s">
        <v>618</v>
      </c>
      <c r="C39" s="301" t="e">
        <f>+C10+C11+C12+C13</f>
        <v>#REF!</v>
      </c>
      <c r="D39" s="301" t="e">
        <f t="shared" ref="D39:E39" si="17">+D10+D11+D12+D13</f>
        <v>#REF!</v>
      </c>
      <c r="E39" s="301" t="e">
        <f t="shared" si="17"/>
        <v>#REF!</v>
      </c>
      <c r="F39" s="464"/>
      <c r="G39" s="464"/>
      <c r="H39" s="308"/>
      <c r="I39" s="464"/>
      <c r="J39" s="464"/>
      <c r="K39" s="464"/>
      <c r="L39" s="310"/>
      <c r="X39" s="474" t="s">
        <v>539</v>
      </c>
      <c r="Y39" s="475"/>
      <c r="Z39" s="475"/>
      <c r="AA39" s="475"/>
      <c r="AB39" s="494">
        <f>+AB37*AB27</f>
        <v>90.783135950509532</v>
      </c>
    </row>
    <row r="40" spans="1:28" x14ac:dyDescent="0.2">
      <c r="A40" s="381"/>
      <c r="B40" s="303" t="s">
        <v>623</v>
      </c>
      <c r="C40" s="301" t="e">
        <f>+C14+C15+C16</f>
        <v>#REF!</v>
      </c>
      <c r="D40" s="301" t="e">
        <f t="shared" ref="D40:E40" si="18">+D14+D15+D16</f>
        <v>#REF!</v>
      </c>
      <c r="E40" s="301" t="e">
        <f t="shared" si="18"/>
        <v>#REF!</v>
      </c>
      <c r="F40" s="464"/>
      <c r="G40" s="464"/>
      <c r="H40" s="308"/>
      <c r="I40" s="464"/>
      <c r="J40" s="464"/>
      <c r="K40" s="464"/>
      <c r="L40" s="310"/>
    </row>
    <row r="41" spans="1:28" x14ac:dyDescent="0.2">
      <c r="A41" s="381"/>
      <c r="B41" s="303" t="s">
        <v>622</v>
      </c>
      <c r="C41" s="301" t="e">
        <f>+C17+C18</f>
        <v>#REF!</v>
      </c>
      <c r="D41" s="301" t="e">
        <f t="shared" ref="D41:E41" si="19">+D17+D18</f>
        <v>#REF!</v>
      </c>
      <c r="E41" s="301" t="e">
        <f t="shared" si="19"/>
        <v>#REF!</v>
      </c>
      <c r="F41" s="464"/>
      <c r="G41" s="464"/>
      <c r="H41" s="308"/>
      <c r="I41" s="464"/>
      <c r="J41" s="464"/>
      <c r="K41" s="464"/>
      <c r="L41" s="310"/>
    </row>
    <row r="42" spans="1:28" x14ac:dyDescent="0.2">
      <c r="A42" s="382"/>
      <c r="B42" s="303" t="s">
        <v>621</v>
      </c>
      <c r="C42" s="301" t="e">
        <f>+C20</f>
        <v>#REF!</v>
      </c>
      <c r="D42" s="301" t="e">
        <f t="shared" ref="D42:E42" si="20">+D20</f>
        <v>#REF!</v>
      </c>
      <c r="E42" s="301" t="e">
        <f t="shared" si="20"/>
        <v>#REF!</v>
      </c>
      <c r="F42" s="307"/>
      <c r="G42" s="307"/>
      <c r="H42" s="308"/>
      <c r="I42" s="464"/>
      <c r="J42" s="464"/>
      <c r="K42" s="464"/>
      <c r="L42" s="310"/>
      <c r="Q42" s="181" t="s">
        <v>614</v>
      </c>
      <c r="AB42" s="493">
        <f>+AB37</f>
        <v>1.0209529459121629</v>
      </c>
    </row>
    <row r="43" spans="1:28" ht="13.5" thickBot="1" x14ac:dyDescent="0.25">
      <c r="A43" s="382"/>
      <c r="B43" s="303" t="s">
        <v>620</v>
      </c>
      <c r="C43" s="301" t="e">
        <f>+C19</f>
        <v>#REF!</v>
      </c>
      <c r="D43" s="301" t="e">
        <f t="shared" ref="D43:E43" si="21">+D19</f>
        <v>#REF!</v>
      </c>
      <c r="E43" s="301" t="e">
        <f t="shared" si="21"/>
        <v>#REF!</v>
      </c>
      <c r="F43" s="465"/>
      <c r="G43" s="465"/>
      <c r="H43" s="308"/>
      <c r="I43" s="464"/>
      <c r="J43" s="464"/>
      <c r="K43" s="464"/>
      <c r="L43" s="310"/>
      <c r="AB43">
        <v>1</v>
      </c>
    </row>
    <row r="44" spans="1:28" x14ac:dyDescent="0.2">
      <c r="A44" s="382"/>
      <c r="B44" s="303" t="s">
        <v>428</v>
      </c>
      <c r="C44" s="301" t="e">
        <f>+C22</f>
        <v>#REF!</v>
      </c>
      <c r="D44" s="301" t="e">
        <f t="shared" ref="D44:E44" si="22">+D22</f>
        <v>#REF!</v>
      </c>
      <c r="E44" s="301" t="e">
        <f t="shared" si="22"/>
        <v>#REF!</v>
      </c>
      <c r="F44" s="465"/>
      <c r="G44" s="465"/>
      <c r="H44" s="308"/>
      <c r="I44" s="464"/>
      <c r="J44" s="464"/>
      <c r="K44" s="464"/>
      <c r="L44" s="310"/>
      <c r="Q44" s="467" t="s">
        <v>612</v>
      </c>
      <c r="R44" s="468"/>
      <c r="S44" s="468"/>
      <c r="T44" s="468"/>
      <c r="U44" s="482">
        <v>-1.34E-2</v>
      </c>
      <c r="AB44" s="493">
        <f>+AB42-AB43</f>
        <v>2.0952945912162901E-2</v>
      </c>
    </row>
    <row r="45" spans="1:28" x14ac:dyDescent="0.2">
      <c r="A45" s="382"/>
      <c r="B45" s="303" t="s">
        <v>596</v>
      </c>
      <c r="C45" s="301" t="e">
        <f>+C7+C21+C23</f>
        <v>#REF!</v>
      </c>
      <c r="D45" s="301" t="e">
        <f t="shared" ref="D45:E45" si="23">+D7+D21+D23</f>
        <v>#REF!</v>
      </c>
      <c r="E45" s="301" t="e">
        <f t="shared" si="23"/>
        <v>#REF!</v>
      </c>
      <c r="F45" s="465"/>
      <c r="G45" s="465"/>
      <c r="H45" s="308"/>
      <c r="I45" s="464"/>
      <c r="J45" s="464"/>
      <c r="K45" s="464"/>
      <c r="L45" s="310"/>
      <c r="Q45" s="470" t="s">
        <v>608</v>
      </c>
      <c r="R45" s="370"/>
      <c r="S45" s="370"/>
      <c r="T45" s="370"/>
      <c r="U45" s="483" t="e">
        <f>-C21</f>
        <v>#REF!</v>
      </c>
    </row>
    <row r="46" spans="1:28" x14ac:dyDescent="0.2">
      <c r="A46" s="382"/>
      <c r="B46" s="303" t="s">
        <v>554</v>
      </c>
      <c r="C46" s="301" t="e">
        <f>+C24+C8+C26</f>
        <v>#REF!</v>
      </c>
      <c r="D46" s="301" t="e">
        <f t="shared" ref="D46:E46" si="24">+D24+D8+D26</f>
        <v>#REF!</v>
      </c>
      <c r="E46" s="301" t="e">
        <f t="shared" si="24"/>
        <v>#REF!</v>
      </c>
      <c r="F46" s="465"/>
      <c r="G46" s="465"/>
      <c r="H46" s="308"/>
      <c r="I46" s="464"/>
      <c r="J46" s="464"/>
      <c r="K46" s="464"/>
      <c r="L46" s="310"/>
      <c r="Q46" s="470" t="s">
        <v>609</v>
      </c>
      <c r="R46" s="370"/>
      <c r="S46" s="370"/>
      <c r="T46" s="370"/>
      <c r="U46" s="484" t="e">
        <f>-C22</f>
        <v>#REF!</v>
      </c>
    </row>
    <row r="47" spans="1:28" x14ac:dyDescent="0.2">
      <c r="A47" s="382"/>
      <c r="B47" s="429" t="s">
        <v>627</v>
      </c>
      <c r="C47" s="301" t="e">
        <f>+C25</f>
        <v>#REF!</v>
      </c>
      <c r="D47" s="301" t="e">
        <f t="shared" ref="D47:E47" si="25">+D25</f>
        <v>#REF!</v>
      </c>
      <c r="E47" s="301" t="e">
        <f t="shared" si="25"/>
        <v>#REF!</v>
      </c>
      <c r="F47" s="426"/>
      <c r="G47" s="426"/>
      <c r="H47" s="427"/>
      <c r="I47" s="428"/>
      <c r="J47" s="428"/>
      <c r="K47" s="428"/>
      <c r="L47" s="310"/>
      <c r="Q47" s="470" t="s">
        <v>610</v>
      </c>
      <c r="R47" s="370"/>
      <c r="S47" s="370"/>
      <c r="T47" s="370"/>
      <c r="U47" s="483" t="e">
        <f>SUM(U44:U46)</f>
        <v>#REF!</v>
      </c>
    </row>
    <row r="48" spans="1:28" ht="18" x14ac:dyDescent="0.25">
      <c r="A48" s="302"/>
      <c r="B48" s="314" t="s">
        <v>538</v>
      </c>
      <c r="C48" s="316" t="e">
        <f>SUM(C38:C47)</f>
        <v>#REF!</v>
      </c>
      <c r="D48" s="316" t="e">
        <f t="shared" ref="D48:E48" si="26">SUM(D38:D47)</f>
        <v>#REF!</v>
      </c>
      <c r="E48" s="316" t="e">
        <f t="shared" si="26"/>
        <v>#REF!</v>
      </c>
      <c r="F48" s="302"/>
      <c r="G48" s="302"/>
      <c r="H48" s="302"/>
      <c r="I48" s="302"/>
      <c r="J48" s="302"/>
      <c r="K48" s="302"/>
      <c r="Q48" s="470" t="s">
        <v>611</v>
      </c>
      <c r="R48" s="370"/>
      <c r="S48" s="370"/>
      <c r="T48" s="370"/>
      <c r="U48" s="484" t="e">
        <f>C6</f>
        <v>#REF!</v>
      </c>
    </row>
    <row r="49" spans="2:21" ht="13.5" hidden="1" outlineLevel="1" thickBot="1" x14ac:dyDescent="0.25">
      <c r="B49" s="296"/>
      <c r="C49" s="315" t="e">
        <f>+C27-C48</f>
        <v>#REF!</v>
      </c>
      <c r="D49" s="315" t="e">
        <f t="shared" ref="D49:E49" si="27">+D27-D48</f>
        <v>#REF!</v>
      </c>
      <c r="E49" s="315" t="e">
        <f t="shared" si="27"/>
        <v>#REF!</v>
      </c>
      <c r="F49" s="302"/>
      <c r="G49" s="302"/>
      <c r="H49" s="302"/>
      <c r="I49" s="302"/>
      <c r="J49" s="302"/>
      <c r="K49" s="302"/>
      <c r="Q49" s="474" t="s">
        <v>613</v>
      </c>
      <c r="R49" s="475"/>
      <c r="S49" s="475"/>
      <c r="T49" s="475"/>
      <c r="U49" s="485" t="e">
        <f>+U47+U48</f>
        <v>#REF!</v>
      </c>
    </row>
    <row r="50" spans="2:21" collapsed="1" x14ac:dyDescent="0.2"/>
    <row r="52" spans="2:21" x14ac:dyDescent="0.2">
      <c r="B52" s="72" t="s">
        <v>0</v>
      </c>
      <c r="C52" s="72" t="s">
        <v>550</v>
      </c>
      <c r="D52" s="72" t="s">
        <v>551</v>
      </c>
      <c r="E52" s="72" t="s">
        <v>552</v>
      </c>
      <c r="F52" s="72" t="s">
        <v>553</v>
      </c>
    </row>
    <row r="53" spans="2:21" x14ac:dyDescent="0.2">
      <c r="B53" s="72" t="s">
        <v>548</v>
      </c>
      <c r="C53" s="371">
        <v>0</v>
      </c>
      <c r="D53" s="372">
        <f>+$C$53</f>
        <v>0</v>
      </c>
    </row>
    <row r="54" spans="2:21" x14ac:dyDescent="0.2">
      <c r="B54" s="72" t="str">
        <f t="shared" ref="B54:B59" si="28">+B38</f>
        <v>Auction Roll Off</v>
      </c>
      <c r="C54" s="373" t="e">
        <f>+$C$38</f>
        <v>#REF!</v>
      </c>
      <c r="D54" s="373"/>
      <c r="E54" s="373">
        <f>SUM(C$53:C53)</f>
        <v>0</v>
      </c>
      <c r="F54" s="373" t="e">
        <f>SUM(C$53:C54)</f>
        <v>#REF!</v>
      </c>
    </row>
    <row r="55" spans="2:21" x14ac:dyDescent="0.2">
      <c r="B55" s="72" t="str">
        <f t="shared" si="28"/>
        <v xml:space="preserve">Energy Usage </v>
      </c>
      <c r="C55" s="373" t="e">
        <f>+$C$39</f>
        <v>#REF!</v>
      </c>
      <c r="D55" s="373"/>
      <c r="E55" s="373" t="e">
        <f>SUM(C$53:C54)</f>
        <v>#REF!</v>
      </c>
      <c r="F55" s="373" t="e">
        <f>SUM(C$53:C55)</f>
        <v>#REF!</v>
      </c>
    </row>
    <row r="56" spans="2:21" x14ac:dyDescent="0.2">
      <c r="B56" s="72" t="str">
        <f t="shared" si="28"/>
        <v xml:space="preserve">Forward Energy </v>
      </c>
      <c r="C56" s="373" t="e">
        <f>+$C$40</f>
        <v>#REF!</v>
      </c>
      <c r="D56" s="373"/>
      <c r="E56" s="373" t="e">
        <f>SUM(C$53:C55)</f>
        <v>#REF!</v>
      </c>
      <c r="F56" s="373" t="e">
        <f>SUM(C$53:C56)</f>
        <v>#REF!</v>
      </c>
    </row>
    <row r="57" spans="2:21" x14ac:dyDescent="0.2">
      <c r="B57" s="72" t="str">
        <f t="shared" si="28"/>
        <v>Cap Oblig</v>
      </c>
      <c r="C57" s="373" t="e">
        <f>+C41</f>
        <v>#REF!</v>
      </c>
      <c r="D57" s="373"/>
      <c r="E57" s="373" t="e">
        <f>SUM(C$53:C56)</f>
        <v>#REF!</v>
      </c>
      <c r="F57" s="373" t="e">
        <f>SUM(C$53:C57)</f>
        <v>#REF!</v>
      </c>
    </row>
    <row r="58" spans="2:21" x14ac:dyDescent="0.2">
      <c r="B58" s="72" t="str">
        <f t="shared" si="28"/>
        <v>Cap Price</v>
      </c>
      <c r="C58" s="373" t="e">
        <f>+$C$42</f>
        <v>#REF!</v>
      </c>
      <c r="D58" s="373"/>
      <c r="E58" s="373" t="e">
        <f>SUM(C$53:C57)</f>
        <v>#REF!</v>
      </c>
      <c r="F58" s="373" t="e">
        <f>SUM(C$53:C58)</f>
        <v>#REF!</v>
      </c>
    </row>
    <row r="59" spans="2:21" x14ac:dyDescent="0.2">
      <c r="B59" s="72" t="str">
        <f t="shared" si="28"/>
        <v>Trans Oblig</v>
      </c>
      <c r="C59" s="373" t="e">
        <f>+$C$43</f>
        <v>#REF!</v>
      </c>
      <c r="D59" s="373"/>
      <c r="E59" s="373" t="e">
        <f>SUM(C$53:C58)</f>
        <v>#REF!</v>
      </c>
      <c r="F59" s="373" t="e">
        <f>SUM(C$53:C59)</f>
        <v>#REF!</v>
      </c>
    </row>
    <row r="60" spans="2:21" x14ac:dyDescent="0.2">
      <c r="B60" s="72" t="s">
        <v>428</v>
      </c>
      <c r="C60" s="373" t="e">
        <f>+C44</f>
        <v>#REF!</v>
      </c>
      <c r="D60" s="373"/>
      <c r="E60" s="373" t="e">
        <f>SUM(C$53:C59)</f>
        <v>#REF!</v>
      </c>
      <c r="F60" s="373" t="e">
        <f>SUM(C$53:C60)</f>
        <v>#REF!</v>
      </c>
    </row>
    <row r="61" spans="2:21" x14ac:dyDescent="0.2">
      <c r="B61" s="72" t="s">
        <v>619</v>
      </c>
      <c r="C61" s="373" t="e">
        <f>+C45</f>
        <v>#REF!</v>
      </c>
      <c r="D61" s="373"/>
      <c r="E61" s="373" t="e">
        <f>SUM(C$53:C60)</f>
        <v>#REF!</v>
      </c>
      <c r="F61" s="373" t="e">
        <f>SUM(C$53:C61)</f>
        <v>#REF!</v>
      </c>
    </row>
    <row r="62" spans="2:21" x14ac:dyDescent="0.2">
      <c r="B62" s="72" t="str">
        <f>+B46</f>
        <v>CP Adder</v>
      </c>
      <c r="C62" s="373" t="e">
        <f>+C46</f>
        <v>#REF!</v>
      </c>
      <c r="D62" s="373"/>
      <c r="E62" s="373" t="e">
        <f>SUM(C$53:C61)</f>
        <v>#REF!</v>
      </c>
      <c r="F62" s="373" t="e">
        <f>SUM(C$53:C62)</f>
        <v>#REF!</v>
      </c>
    </row>
    <row r="63" spans="2:21" x14ac:dyDescent="0.2">
      <c r="B63" s="72" t="s">
        <v>627</v>
      </c>
      <c r="C63" s="373" t="e">
        <f>+C47</f>
        <v>#REF!</v>
      </c>
      <c r="D63" s="373"/>
      <c r="E63" s="373" t="e">
        <f>SUM(C$53:C62)</f>
        <v>#REF!</v>
      </c>
      <c r="F63" s="373" t="e">
        <f>SUM(C$53:C63)</f>
        <v>#REF!</v>
      </c>
    </row>
    <row r="64" spans="2:21" x14ac:dyDescent="0.2">
      <c r="B64" s="72" t="s">
        <v>549</v>
      </c>
      <c r="C64" s="373" t="e">
        <f>+$C$48</f>
        <v>#REF!</v>
      </c>
      <c r="D64" s="373" t="e">
        <f>SUM(C54:C63)</f>
        <v>#REF!</v>
      </c>
      <c r="E64" s="373"/>
      <c r="F64" s="373"/>
      <c r="L64" s="437">
        <v>-2.81E-2</v>
      </c>
      <c r="M64" s="437" t="e">
        <f>+D64-L64</f>
        <v>#REF!</v>
      </c>
    </row>
    <row r="87" spans="2:6" outlineLevel="1" x14ac:dyDescent="0.2">
      <c r="B87" s="72" t="s">
        <v>5</v>
      </c>
      <c r="C87" s="72" t="s">
        <v>550</v>
      </c>
      <c r="D87" s="72" t="s">
        <v>551</v>
      </c>
      <c r="E87" s="72" t="s">
        <v>552</v>
      </c>
      <c r="F87" s="72" t="s">
        <v>553</v>
      </c>
    </row>
    <row r="88" spans="2:6" outlineLevel="1" x14ac:dyDescent="0.2">
      <c r="B88" s="72" t="s">
        <v>548</v>
      </c>
      <c r="C88" s="371">
        <v>0</v>
      </c>
      <c r="D88" s="372">
        <f>+$C$53</f>
        <v>0</v>
      </c>
    </row>
    <row r="89" spans="2:6" outlineLevel="1" x14ac:dyDescent="0.2">
      <c r="B89" s="72" t="str">
        <f t="shared" ref="B89:B98" si="29">+B54</f>
        <v>Auction Roll Off</v>
      </c>
      <c r="C89" s="373" t="e">
        <f>+$D$38</f>
        <v>#REF!</v>
      </c>
      <c r="D89" s="373"/>
      <c r="E89" s="373">
        <f>SUM(C$88:C88)</f>
        <v>0</v>
      </c>
      <c r="F89" s="373" t="e">
        <f>SUM(C$88:C89)</f>
        <v>#REF!</v>
      </c>
    </row>
    <row r="90" spans="2:6" outlineLevel="1" x14ac:dyDescent="0.2">
      <c r="B90" s="72" t="str">
        <f t="shared" si="29"/>
        <v xml:space="preserve">Energy Usage </v>
      </c>
      <c r="C90" s="373" t="e">
        <f>+$D$39</f>
        <v>#REF!</v>
      </c>
      <c r="D90" s="373"/>
      <c r="E90" s="373" t="e">
        <f>SUM(C$88:C89)</f>
        <v>#REF!</v>
      </c>
      <c r="F90" s="373" t="e">
        <f>SUM(C$88:C90)</f>
        <v>#REF!</v>
      </c>
    </row>
    <row r="91" spans="2:6" outlineLevel="1" x14ac:dyDescent="0.2">
      <c r="B91" s="72" t="str">
        <f t="shared" si="29"/>
        <v xml:space="preserve">Forward Energy </v>
      </c>
      <c r="C91" s="373" t="e">
        <f>+$D$40</f>
        <v>#REF!</v>
      </c>
      <c r="D91" s="373"/>
      <c r="E91" s="373" t="e">
        <f>SUM(C$88:C90)</f>
        <v>#REF!</v>
      </c>
      <c r="F91" s="373" t="e">
        <f>SUM(C$88:C91)</f>
        <v>#REF!</v>
      </c>
    </row>
    <row r="92" spans="2:6" outlineLevel="1" x14ac:dyDescent="0.2">
      <c r="B92" s="72" t="str">
        <f t="shared" si="29"/>
        <v>Cap Oblig</v>
      </c>
      <c r="C92" s="373" t="e">
        <f>+$D$41</f>
        <v>#REF!</v>
      </c>
      <c r="D92" s="373"/>
      <c r="E92" s="373" t="e">
        <f>SUM(C$88:C91)</f>
        <v>#REF!</v>
      </c>
      <c r="F92" s="373" t="e">
        <f>SUM(C$88:C92)</f>
        <v>#REF!</v>
      </c>
    </row>
    <row r="93" spans="2:6" outlineLevel="1" x14ac:dyDescent="0.2">
      <c r="B93" s="72" t="str">
        <f t="shared" si="29"/>
        <v>Cap Price</v>
      </c>
      <c r="C93" s="373" t="e">
        <f>+$D$42</f>
        <v>#REF!</v>
      </c>
      <c r="D93" s="373"/>
      <c r="E93" s="373" t="e">
        <f>SUM(C$88:C92)</f>
        <v>#REF!</v>
      </c>
      <c r="F93" s="373" t="e">
        <f>SUM(C$88:C93)</f>
        <v>#REF!</v>
      </c>
    </row>
    <row r="94" spans="2:6" outlineLevel="1" x14ac:dyDescent="0.2">
      <c r="B94" s="72" t="str">
        <f t="shared" si="29"/>
        <v>Trans Oblig</v>
      </c>
      <c r="C94" s="373" t="e">
        <f>+$D$43</f>
        <v>#REF!</v>
      </c>
      <c r="D94" s="373"/>
      <c r="E94" s="373" t="e">
        <f>SUM(C$88:C93)</f>
        <v>#REF!</v>
      </c>
      <c r="F94" s="373" t="e">
        <f>SUM(C$88:C94)</f>
        <v>#REF!</v>
      </c>
    </row>
    <row r="95" spans="2:6" outlineLevel="1" x14ac:dyDescent="0.2">
      <c r="B95" s="72" t="str">
        <f t="shared" si="29"/>
        <v>NITS</v>
      </c>
      <c r="C95" s="373" t="e">
        <f>+D44</f>
        <v>#REF!</v>
      </c>
      <c r="D95" s="373"/>
      <c r="E95" s="373" t="e">
        <f>SUM(C$88:C94)</f>
        <v>#REF!</v>
      </c>
      <c r="F95" s="373" t="e">
        <f>SUM(C$88:C95)</f>
        <v>#REF!</v>
      </c>
    </row>
    <row r="96" spans="2:6" outlineLevel="1" x14ac:dyDescent="0.2">
      <c r="B96" s="72" t="str">
        <f t="shared" si="29"/>
        <v>RPS &amp; Anc</v>
      </c>
      <c r="C96" s="373" t="e">
        <f>+$D$45</f>
        <v>#REF!</v>
      </c>
      <c r="D96" s="373"/>
      <c r="E96" s="373" t="e">
        <f>SUM(C$88:C95)</f>
        <v>#REF!</v>
      </c>
      <c r="F96" s="373" t="e">
        <f>SUM(C$88:C96)</f>
        <v>#REF!</v>
      </c>
    </row>
    <row r="97" spans="2:14" outlineLevel="1" x14ac:dyDescent="0.2">
      <c r="B97" s="72" t="str">
        <f t="shared" si="29"/>
        <v>CP Adder</v>
      </c>
      <c r="C97" s="373" t="e">
        <f>+D46</f>
        <v>#REF!</v>
      </c>
      <c r="D97" s="373"/>
      <c r="E97" s="373" t="e">
        <f>SUM(C$88:C96)</f>
        <v>#REF!</v>
      </c>
      <c r="F97" s="373" t="e">
        <f>SUM(C$88:C97)</f>
        <v>#REF!</v>
      </c>
    </row>
    <row r="98" spans="2:14" outlineLevel="1" x14ac:dyDescent="0.2">
      <c r="B98" s="72" t="str">
        <f t="shared" si="29"/>
        <v>Winning Bid</v>
      </c>
      <c r="C98" s="373" t="e">
        <f>+D47</f>
        <v>#REF!</v>
      </c>
      <c r="D98" s="373"/>
      <c r="E98" s="373" t="e">
        <f>SUM(C$88:C97)</f>
        <v>#REF!</v>
      </c>
      <c r="F98" s="373" t="e">
        <f>SUM(C$88:C98)</f>
        <v>#REF!</v>
      </c>
    </row>
    <row r="99" spans="2:14" outlineLevel="1" x14ac:dyDescent="0.2">
      <c r="B99" s="72" t="s">
        <v>549</v>
      </c>
      <c r="C99" s="373" t="e">
        <f>+$D$48</f>
        <v>#REF!</v>
      </c>
      <c r="D99" s="373" t="e">
        <f>SUM(C88:C98)</f>
        <v>#REF!</v>
      </c>
      <c r="E99" s="373"/>
      <c r="F99" s="373"/>
      <c r="L99" s="437">
        <v>-5.8400000000000001E-2</v>
      </c>
      <c r="M99" s="437" t="e">
        <f>+D99-L99</f>
        <v>#REF!</v>
      </c>
      <c r="N99">
        <v>1.65</v>
      </c>
    </row>
    <row r="100" spans="2:14" outlineLevel="1" x14ac:dyDescent="0.2"/>
    <row r="123" spans="2:6" x14ac:dyDescent="0.2">
      <c r="B123" s="72" t="s">
        <v>36</v>
      </c>
      <c r="C123" s="72" t="s">
        <v>550</v>
      </c>
      <c r="D123" s="72" t="s">
        <v>551</v>
      </c>
      <c r="E123" s="72" t="s">
        <v>552</v>
      </c>
      <c r="F123" s="72" t="s">
        <v>553</v>
      </c>
    </row>
    <row r="124" spans="2:6" x14ac:dyDescent="0.2">
      <c r="B124" s="72" t="s">
        <v>548</v>
      </c>
      <c r="C124" s="371">
        <v>0</v>
      </c>
      <c r="D124" s="372">
        <f>+$C$53</f>
        <v>0</v>
      </c>
    </row>
    <row r="125" spans="2:6" x14ac:dyDescent="0.2">
      <c r="B125" s="72" t="str">
        <f t="shared" ref="B125:B134" si="30">+B89</f>
        <v>Auction Roll Off</v>
      </c>
      <c r="C125" s="373" t="e">
        <f>+$E$38</f>
        <v>#REF!</v>
      </c>
      <c r="D125" s="373"/>
      <c r="E125" s="373">
        <f>SUM(C$123:C124)</f>
        <v>0</v>
      </c>
      <c r="F125" s="373" t="e">
        <f>SUM(C$123:C125)</f>
        <v>#REF!</v>
      </c>
    </row>
    <row r="126" spans="2:6" x14ac:dyDescent="0.2">
      <c r="B126" s="72" t="str">
        <f t="shared" si="30"/>
        <v xml:space="preserve">Energy Usage </v>
      </c>
      <c r="C126" s="373" t="e">
        <f>+$E$39</f>
        <v>#REF!</v>
      </c>
      <c r="D126" s="373"/>
      <c r="E126" s="373" t="e">
        <f>SUM(C$123:C125)</f>
        <v>#REF!</v>
      </c>
      <c r="F126" s="373" t="e">
        <f>SUM(C$123:C126)</f>
        <v>#REF!</v>
      </c>
    </row>
    <row r="127" spans="2:6" x14ac:dyDescent="0.2">
      <c r="B127" s="72" t="str">
        <f t="shared" si="30"/>
        <v xml:space="preserve">Forward Energy </v>
      </c>
      <c r="C127" s="373" t="e">
        <f>+$E$40</f>
        <v>#REF!</v>
      </c>
      <c r="D127" s="373"/>
      <c r="E127" s="373" t="e">
        <f>SUM(C$123:C126)</f>
        <v>#REF!</v>
      </c>
      <c r="F127" s="373" t="e">
        <f>SUM(C$123:C127)</f>
        <v>#REF!</v>
      </c>
    </row>
    <row r="128" spans="2:6" x14ac:dyDescent="0.2">
      <c r="B128" s="72" t="str">
        <f t="shared" si="30"/>
        <v>Cap Oblig</v>
      </c>
      <c r="C128" s="373" t="e">
        <f>+$E$41</f>
        <v>#REF!</v>
      </c>
      <c r="D128" s="373"/>
      <c r="E128" s="373" t="e">
        <f>SUM(C$123:C127)</f>
        <v>#REF!</v>
      </c>
      <c r="F128" s="373" t="e">
        <f>SUM(C$123:C128)</f>
        <v>#REF!</v>
      </c>
    </row>
    <row r="129" spans="2:14" x14ac:dyDescent="0.2">
      <c r="B129" s="72" t="str">
        <f t="shared" si="30"/>
        <v>Cap Price</v>
      </c>
      <c r="C129" s="373" t="e">
        <f>+$E$42</f>
        <v>#REF!</v>
      </c>
      <c r="D129" s="373"/>
      <c r="E129" s="373" t="e">
        <f>SUM(C$123:C128)</f>
        <v>#REF!</v>
      </c>
      <c r="F129" s="373" t="e">
        <f>SUM(C$123:C129)</f>
        <v>#REF!</v>
      </c>
    </row>
    <row r="130" spans="2:14" x14ac:dyDescent="0.2">
      <c r="B130" s="72" t="str">
        <f t="shared" si="30"/>
        <v>Trans Oblig</v>
      </c>
      <c r="C130" s="373" t="e">
        <f>+$E$43</f>
        <v>#REF!</v>
      </c>
      <c r="D130" s="373"/>
      <c r="E130" s="373" t="e">
        <f>SUM(C$123:C129)</f>
        <v>#REF!</v>
      </c>
      <c r="F130" s="373" t="e">
        <f>SUM(C$123:C130)</f>
        <v>#REF!</v>
      </c>
    </row>
    <row r="131" spans="2:14" x14ac:dyDescent="0.2">
      <c r="B131" s="72" t="str">
        <f t="shared" si="30"/>
        <v>NITS</v>
      </c>
      <c r="C131" s="373" t="e">
        <f>+E44</f>
        <v>#REF!</v>
      </c>
      <c r="D131" s="373"/>
      <c r="E131" s="373" t="e">
        <f>SUM(C$123:C130)</f>
        <v>#REF!</v>
      </c>
      <c r="F131" s="373" t="e">
        <f>SUM(C$123:C131)</f>
        <v>#REF!</v>
      </c>
    </row>
    <row r="132" spans="2:14" x14ac:dyDescent="0.2">
      <c r="B132" s="72" t="str">
        <f t="shared" si="30"/>
        <v>RPS &amp; Anc</v>
      </c>
      <c r="C132" s="373" t="e">
        <f>+$E$45</f>
        <v>#REF!</v>
      </c>
      <c r="D132" s="373"/>
      <c r="E132" s="373" t="e">
        <f>SUM(C$123:C131)</f>
        <v>#REF!</v>
      </c>
      <c r="F132" s="373" t="e">
        <f>SUM(C$123:C132)</f>
        <v>#REF!</v>
      </c>
    </row>
    <row r="133" spans="2:14" x14ac:dyDescent="0.2">
      <c r="B133" s="72" t="str">
        <f t="shared" si="30"/>
        <v>CP Adder</v>
      </c>
      <c r="C133" s="373" t="e">
        <f>+E46</f>
        <v>#REF!</v>
      </c>
      <c r="D133" s="373"/>
      <c r="E133" s="373" t="e">
        <f>SUM(C$123:C132)</f>
        <v>#REF!</v>
      </c>
      <c r="F133" s="373" t="e">
        <f>SUM(C$123:C133)</f>
        <v>#REF!</v>
      </c>
    </row>
    <row r="134" spans="2:14" x14ac:dyDescent="0.2">
      <c r="B134" s="72" t="str">
        <f t="shared" si="30"/>
        <v>Winning Bid</v>
      </c>
      <c r="C134" s="373" t="e">
        <f>+E47</f>
        <v>#REF!</v>
      </c>
      <c r="D134" s="373"/>
      <c r="E134" s="373" t="e">
        <f>SUM(C$123:C133)</f>
        <v>#REF!</v>
      </c>
      <c r="F134" s="373" t="e">
        <f>SUM(C$123:C134)</f>
        <v>#REF!</v>
      </c>
    </row>
    <row r="135" spans="2:14" x14ac:dyDescent="0.2">
      <c r="B135" s="72" t="str">
        <f t="shared" ref="B135" si="31">+B99</f>
        <v>Final</v>
      </c>
      <c r="C135" s="373" t="e">
        <f>+$E$48</f>
        <v>#REF!</v>
      </c>
      <c r="D135" s="373" t="e">
        <f>SUM(C124:C134)</f>
        <v>#REF!</v>
      </c>
      <c r="E135" s="373"/>
      <c r="F135" s="373"/>
      <c r="L135" s="437">
        <v>-5.5E-2</v>
      </c>
      <c r="M135" s="437" t="e">
        <f>+D135-L135</f>
        <v>#REF!</v>
      </c>
      <c r="N135">
        <v>1.55</v>
      </c>
    </row>
    <row r="164" spans="2:18" hidden="1" outlineLevel="1" x14ac:dyDescent="0.2">
      <c r="B164" s="55"/>
      <c r="C164" s="55"/>
      <c r="D164" s="55"/>
      <c r="E164" s="55"/>
      <c r="F164" s="55"/>
      <c r="G164" s="55"/>
      <c r="H164" s="55"/>
      <c r="I164" s="55"/>
      <c r="J164" s="55"/>
      <c r="K164" s="55"/>
      <c r="L164" s="55"/>
      <c r="M164" s="55"/>
      <c r="N164" s="55"/>
      <c r="O164" s="55"/>
      <c r="P164" s="55"/>
      <c r="Q164" s="55"/>
      <c r="R164" s="55"/>
    </row>
    <row r="165" spans="2:18" hidden="1" outlineLevel="1" x14ac:dyDescent="0.2">
      <c r="B165" s="55"/>
      <c r="C165" s="55"/>
      <c r="D165" s="55"/>
      <c r="E165" s="55"/>
      <c r="F165" s="55"/>
      <c r="G165" s="55"/>
      <c r="H165" s="55"/>
      <c r="I165" s="55"/>
      <c r="J165" s="55"/>
      <c r="K165" s="55"/>
      <c r="L165" s="55"/>
      <c r="M165" s="55"/>
      <c r="N165" s="55"/>
      <c r="O165" s="55"/>
      <c r="P165" s="55"/>
      <c r="Q165" s="55"/>
      <c r="R165" s="55"/>
    </row>
    <row r="166" spans="2:18" hidden="1" outlineLevel="1" x14ac:dyDescent="0.2">
      <c r="B166" s="55"/>
      <c r="C166" s="55"/>
      <c r="D166" s="55"/>
      <c r="E166" s="55"/>
      <c r="F166" s="55"/>
      <c r="G166" s="55"/>
      <c r="H166" s="55"/>
      <c r="I166" s="55"/>
      <c r="J166" s="55"/>
      <c r="K166" s="55"/>
      <c r="L166" s="55"/>
      <c r="M166" s="55"/>
      <c r="N166" s="55"/>
      <c r="O166" s="55"/>
      <c r="P166" s="55"/>
      <c r="Q166" s="55"/>
      <c r="R166" s="55"/>
    </row>
    <row r="167" spans="2:18" hidden="1" outlineLevel="1" x14ac:dyDescent="0.2">
      <c r="B167" s="55"/>
      <c r="C167" s="55"/>
      <c r="D167" s="55"/>
      <c r="E167" s="55"/>
      <c r="F167" s="55"/>
      <c r="G167" s="55"/>
      <c r="H167" s="55"/>
      <c r="I167" s="55"/>
      <c r="J167" s="55"/>
      <c r="K167" s="55"/>
      <c r="L167" s="55"/>
      <c r="M167" s="55"/>
      <c r="N167" s="55"/>
      <c r="O167" s="55"/>
      <c r="P167" s="55"/>
      <c r="Q167" s="55"/>
      <c r="R167" s="55"/>
    </row>
    <row r="168" spans="2:18" hidden="1" outlineLevel="1" x14ac:dyDescent="0.2">
      <c r="B168" s="55"/>
      <c r="C168" s="55"/>
      <c r="D168" s="55"/>
      <c r="E168" s="55"/>
      <c r="F168" s="55"/>
      <c r="G168" s="55"/>
      <c r="H168" s="55"/>
      <c r="I168" s="55"/>
      <c r="J168" s="55"/>
      <c r="K168" s="55"/>
      <c r="L168" s="55"/>
      <c r="M168" s="55"/>
      <c r="N168" s="55"/>
      <c r="O168" s="55"/>
      <c r="P168" s="55"/>
      <c r="Q168" s="55"/>
      <c r="R168" s="55"/>
    </row>
    <row r="169" spans="2:18" hidden="1" outlineLevel="1" x14ac:dyDescent="0.2">
      <c r="B169" s="55"/>
      <c r="C169" s="55"/>
      <c r="D169" s="55"/>
      <c r="E169" s="55"/>
      <c r="F169" s="55"/>
      <c r="G169" s="55"/>
      <c r="H169" s="55"/>
      <c r="I169" s="55"/>
      <c r="J169" s="55"/>
      <c r="K169" s="55"/>
      <c r="L169" s="55"/>
      <c r="M169" s="55"/>
      <c r="N169" s="55"/>
      <c r="O169" s="55"/>
      <c r="P169" s="55"/>
      <c r="Q169" s="55"/>
      <c r="R169" s="55"/>
    </row>
    <row r="170" spans="2:18" hidden="1" outlineLevel="1" x14ac:dyDescent="0.2">
      <c r="B170" s="55"/>
      <c r="C170" s="55"/>
      <c r="D170" s="55"/>
      <c r="E170" s="55"/>
      <c r="F170" s="55"/>
      <c r="G170" s="55"/>
      <c r="H170" s="55"/>
      <c r="I170" s="55"/>
      <c r="J170" s="55"/>
      <c r="K170" s="55"/>
      <c r="L170" s="55"/>
      <c r="M170" s="55"/>
      <c r="N170" s="55"/>
      <c r="O170" s="55"/>
      <c r="P170" s="55"/>
      <c r="Q170" s="55"/>
      <c r="R170" s="55"/>
    </row>
    <row r="171" spans="2:18" hidden="1" outlineLevel="1" x14ac:dyDescent="0.2">
      <c r="B171" s="55"/>
      <c r="C171" s="55"/>
      <c r="D171" s="55"/>
      <c r="E171" s="55"/>
      <c r="F171" s="55"/>
      <c r="G171" s="55"/>
      <c r="H171" s="55"/>
      <c r="I171" s="55"/>
      <c r="J171" s="55"/>
      <c r="K171" s="55"/>
      <c r="L171" s="55"/>
      <c r="M171" s="55"/>
      <c r="N171" s="55"/>
      <c r="O171" s="55"/>
      <c r="P171" s="55"/>
      <c r="Q171" s="55"/>
      <c r="R171" s="55"/>
    </row>
    <row r="172" spans="2:18" hidden="1" outlineLevel="1" x14ac:dyDescent="0.2">
      <c r="B172" s="55"/>
      <c r="C172" s="55"/>
      <c r="D172" s="55"/>
      <c r="E172" s="55"/>
      <c r="F172" s="55"/>
      <c r="G172" s="55"/>
      <c r="H172" s="55"/>
      <c r="I172" s="55"/>
      <c r="J172" s="55"/>
      <c r="K172" s="55"/>
      <c r="L172" s="55"/>
      <c r="M172" s="55"/>
      <c r="N172" s="55"/>
      <c r="O172" s="55"/>
      <c r="P172" s="55"/>
      <c r="Q172" s="55"/>
      <c r="R172" s="55"/>
    </row>
    <row r="173" spans="2:18" hidden="1" outlineLevel="1" x14ac:dyDescent="0.2">
      <c r="B173" s="55"/>
      <c r="C173" s="55"/>
      <c r="D173" s="55"/>
      <c r="E173" s="55"/>
      <c r="F173" s="55"/>
      <c r="G173" s="55"/>
      <c r="H173" s="55"/>
      <c r="I173" s="55"/>
      <c r="J173" s="55"/>
      <c r="K173" s="55"/>
      <c r="L173" s="55"/>
      <c r="M173" s="55"/>
      <c r="N173" s="55"/>
      <c r="O173" s="55"/>
      <c r="P173" s="55"/>
      <c r="Q173" s="55"/>
      <c r="R173" s="55"/>
    </row>
    <row r="174" spans="2:18" hidden="1" outlineLevel="1" x14ac:dyDescent="0.2">
      <c r="B174" s="55"/>
      <c r="C174" s="55"/>
      <c r="D174" s="55"/>
      <c r="E174" s="55"/>
      <c r="F174" s="55"/>
      <c r="G174" s="55"/>
      <c r="H174" s="55"/>
      <c r="I174" s="55"/>
      <c r="J174" s="55"/>
      <c r="K174" s="55"/>
      <c r="L174" s="55"/>
      <c r="M174" s="55"/>
      <c r="N174" s="55"/>
      <c r="O174" s="55"/>
      <c r="P174" s="55"/>
      <c r="Q174" s="55"/>
      <c r="R174" s="55"/>
    </row>
    <row r="175" spans="2:18" hidden="1" outlineLevel="1" x14ac:dyDescent="0.2">
      <c r="B175" s="55"/>
      <c r="C175" s="55"/>
      <c r="D175" s="55"/>
      <c r="E175" s="55"/>
      <c r="F175" s="55"/>
      <c r="G175" s="55"/>
      <c r="H175" s="55"/>
      <c r="I175" s="55"/>
      <c r="J175" s="55"/>
      <c r="K175" s="55"/>
      <c r="L175" s="55"/>
      <c r="M175" s="55"/>
      <c r="N175" s="55"/>
      <c r="O175" s="55"/>
      <c r="P175" s="55"/>
      <c r="Q175" s="55"/>
      <c r="R175" s="55"/>
    </row>
    <row r="176" spans="2:18" hidden="1" outlineLevel="1" x14ac:dyDescent="0.2">
      <c r="B176" s="55"/>
      <c r="C176" s="55"/>
      <c r="D176" s="55"/>
      <c r="E176" s="55"/>
      <c r="F176" s="55"/>
      <c r="G176" s="55"/>
      <c r="H176" s="55"/>
      <c r="I176" s="55"/>
      <c r="J176" s="55"/>
      <c r="K176" s="55"/>
      <c r="L176" s="55"/>
      <c r="M176" s="55"/>
      <c r="N176" s="55"/>
      <c r="O176" s="55"/>
      <c r="P176" s="55"/>
      <c r="Q176" s="55"/>
      <c r="R176" s="55"/>
    </row>
    <row r="177" spans="2:18" hidden="1" outlineLevel="1" x14ac:dyDescent="0.2">
      <c r="B177" s="55"/>
      <c r="C177" s="55"/>
      <c r="D177" s="55"/>
      <c r="E177" s="55"/>
      <c r="F177" s="55"/>
      <c r="G177" s="55"/>
      <c r="H177" s="55"/>
      <c r="I177" s="55"/>
      <c r="J177" s="55"/>
      <c r="K177" s="55"/>
      <c r="L177" s="55"/>
      <c r="M177" s="55"/>
      <c r="N177" s="55"/>
      <c r="O177" s="55"/>
      <c r="P177" s="55"/>
      <c r="Q177" s="55"/>
      <c r="R177" s="55"/>
    </row>
    <row r="178" spans="2:18" hidden="1" outlineLevel="1" x14ac:dyDescent="0.2">
      <c r="B178" s="55"/>
      <c r="C178" s="55"/>
      <c r="D178" s="55"/>
      <c r="E178" s="55"/>
      <c r="F178" s="55"/>
      <c r="G178" s="55"/>
      <c r="H178" s="55"/>
      <c r="I178" s="55"/>
      <c r="J178" s="55"/>
      <c r="K178" s="55"/>
      <c r="L178" s="55"/>
      <c r="M178" s="55"/>
      <c r="N178" s="55"/>
      <c r="O178" s="55"/>
      <c r="P178" s="55"/>
      <c r="Q178" s="55"/>
      <c r="R178" s="55"/>
    </row>
    <row r="179" spans="2:18" hidden="1" outlineLevel="1" x14ac:dyDescent="0.2">
      <c r="B179" s="55"/>
      <c r="C179" s="55"/>
      <c r="D179" s="55"/>
      <c r="E179" s="55"/>
      <c r="F179" s="55"/>
      <c r="G179" s="55"/>
      <c r="H179" s="55"/>
      <c r="I179" s="55"/>
      <c r="J179" s="55"/>
      <c r="K179" s="55"/>
      <c r="L179" s="55"/>
      <c r="M179" s="55"/>
      <c r="N179" s="55"/>
      <c r="O179" s="55"/>
      <c r="P179" s="55"/>
      <c r="Q179" s="55"/>
      <c r="R179" s="55"/>
    </row>
    <row r="180" spans="2:18" hidden="1" outlineLevel="1" x14ac:dyDescent="0.2">
      <c r="B180" s="55"/>
      <c r="C180" s="55"/>
      <c r="D180" s="55"/>
      <c r="E180" s="55"/>
      <c r="F180" s="55"/>
      <c r="G180" s="55"/>
      <c r="H180" s="55"/>
      <c r="I180" s="55"/>
      <c r="J180" s="55"/>
      <c r="K180" s="55"/>
      <c r="L180" s="55"/>
      <c r="M180" s="55"/>
      <c r="N180" s="55"/>
      <c r="O180" s="55"/>
      <c r="P180" s="55"/>
      <c r="Q180" s="55"/>
      <c r="R180" s="55"/>
    </row>
    <row r="181" spans="2:18" hidden="1" outlineLevel="1" x14ac:dyDescent="0.2">
      <c r="B181" s="55"/>
      <c r="C181" s="55"/>
      <c r="D181" s="55"/>
      <c r="E181" s="55"/>
      <c r="F181" s="55"/>
      <c r="G181" s="55"/>
      <c r="H181" s="55"/>
      <c r="I181" s="55"/>
      <c r="J181" s="55"/>
      <c r="K181" s="55"/>
      <c r="L181" s="55"/>
      <c r="M181" s="55"/>
      <c r="N181" s="55"/>
      <c r="O181" s="55"/>
      <c r="P181" s="55"/>
      <c r="Q181" s="55"/>
      <c r="R181" s="55"/>
    </row>
    <row r="182" spans="2:18" hidden="1" outlineLevel="1" x14ac:dyDescent="0.2">
      <c r="B182" s="55"/>
      <c r="C182" s="55"/>
      <c r="D182" s="55"/>
      <c r="E182" s="55"/>
      <c r="F182" s="55"/>
      <c r="G182" s="55"/>
      <c r="H182" s="55"/>
      <c r="I182" s="55"/>
      <c r="J182" s="55"/>
      <c r="K182" s="55"/>
      <c r="L182" s="55"/>
      <c r="M182" s="55"/>
      <c r="N182" s="55"/>
      <c r="O182" s="55"/>
      <c r="P182" s="55"/>
      <c r="Q182" s="55"/>
      <c r="R182" s="55"/>
    </row>
    <row r="183" spans="2:18" hidden="1" outlineLevel="1" x14ac:dyDescent="0.2">
      <c r="B183" s="55"/>
      <c r="C183" s="55"/>
      <c r="D183" s="55"/>
      <c r="E183" s="55"/>
      <c r="F183" s="55"/>
      <c r="G183" s="55"/>
      <c r="H183" s="55"/>
      <c r="I183" s="55"/>
      <c r="J183" s="55"/>
      <c r="K183" s="55"/>
      <c r="L183" s="55"/>
      <c r="M183" s="55"/>
      <c r="N183" s="55"/>
      <c r="O183" s="55"/>
      <c r="P183" s="55"/>
      <c r="Q183" s="55"/>
      <c r="R183" s="55"/>
    </row>
    <row r="184" spans="2:18" hidden="1" outlineLevel="1" x14ac:dyDescent="0.2">
      <c r="B184" s="55"/>
      <c r="C184" s="55"/>
      <c r="D184" s="55"/>
      <c r="E184" s="55"/>
      <c r="F184" s="55"/>
      <c r="G184" s="55"/>
      <c r="H184" s="55"/>
      <c r="I184" s="55"/>
      <c r="J184" s="55"/>
      <c r="K184" s="55"/>
      <c r="L184" s="55"/>
      <c r="M184" s="55"/>
      <c r="N184" s="55"/>
      <c r="O184" s="55"/>
      <c r="P184" s="55"/>
      <c r="Q184" s="55"/>
      <c r="R184" s="55"/>
    </row>
    <row r="185" spans="2:18" hidden="1" outlineLevel="1" x14ac:dyDescent="0.2">
      <c r="B185" s="55"/>
      <c r="C185" s="55"/>
      <c r="D185" s="55"/>
      <c r="E185" s="55"/>
      <c r="F185" s="55"/>
      <c r="G185" s="55"/>
      <c r="H185" s="55"/>
      <c r="I185" s="55"/>
      <c r="J185" s="55"/>
      <c r="K185" s="55"/>
      <c r="L185" s="55"/>
      <c r="M185" s="55"/>
      <c r="N185" s="55"/>
      <c r="O185" s="55"/>
      <c r="P185" s="55"/>
      <c r="Q185" s="55"/>
      <c r="R185" s="55"/>
    </row>
    <row r="186" spans="2:18" hidden="1" outlineLevel="1" x14ac:dyDescent="0.2">
      <c r="B186" s="55"/>
      <c r="C186" s="55"/>
      <c r="D186" s="55"/>
      <c r="E186" s="55"/>
      <c r="F186" s="55"/>
      <c r="G186" s="55"/>
      <c r="H186" s="55"/>
      <c r="I186" s="55"/>
      <c r="J186" s="55"/>
      <c r="K186" s="55"/>
      <c r="L186" s="55"/>
      <c r="M186" s="55"/>
      <c r="N186" s="55"/>
      <c r="O186" s="55"/>
      <c r="P186" s="55"/>
      <c r="Q186" s="55"/>
      <c r="R186" s="55"/>
    </row>
    <row r="187" spans="2:18" hidden="1" outlineLevel="1" x14ac:dyDescent="0.2">
      <c r="B187" s="55"/>
      <c r="C187" s="55"/>
      <c r="D187" s="55"/>
      <c r="E187" s="55"/>
      <c r="F187" s="55"/>
      <c r="G187" s="55"/>
      <c r="H187" s="55"/>
      <c r="I187" s="55"/>
      <c r="J187" s="55"/>
      <c r="K187" s="55"/>
      <c r="L187" s="55"/>
      <c r="M187" s="55"/>
      <c r="N187" s="55"/>
      <c r="O187" s="55"/>
      <c r="P187" s="55"/>
      <c r="Q187" s="55"/>
      <c r="R187" s="55"/>
    </row>
    <row r="188" spans="2:18" hidden="1" outlineLevel="1" x14ac:dyDescent="0.2">
      <c r="B188" s="55"/>
      <c r="C188" s="55"/>
      <c r="D188" s="55"/>
      <c r="E188" s="55"/>
      <c r="F188" s="55"/>
      <c r="G188" s="55"/>
      <c r="H188" s="55"/>
      <c r="I188" s="55"/>
      <c r="J188" s="55"/>
      <c r="K188" s="55"/>
      <c r="L188" s="55"/>
      <c r="M188" s="55"/>
      <c r="N188" s="55"/>
      <c r="O188" s="55"/>
      <c r="P188" s="55"/>
      <c r="Q188" s="55"/>
      <c r="R188" s="55"/>
    </row>
    <row r="189" spans="2:18" hidden="1" outlineLevel="1" x14ac:dyDescent="0.2">
      <c r="B189" s="55"/>
      <c r="C189" s="55"/>
      <c r="D189" s="55"/>
      <c r="E189" s="55"/>
      <c r="F189" s="55"/>
      <c r="G189" s="55"/>
      <c r="H189" s="55"/>
      <c r="I189" s="55"/>
      <c r="J189" s="55"/>
      <c r="K189" s="55"/>
      <c r="L189" s="55"/>
      <c r="M189" s="55"/>
      <c r="N189" s="55"/>
      <c r="O189" s="55"/>
      <c r="P189" s="55"/>
      <c r="Q189" s="55"/>
      <c r="R189" s="55"/>
    </row>
    <row r="190" spans="2:18" hidden="1" outlineLevel="1" x14ac:dyDescent="0.2">
      <c r="B190" s="55"/>
      <c r="C190" s="55"/>
      <c r="D190" s="55"/>
      <c r="E190" s="55"/>
      <c r="F190" s="55"/>
      <c r="G190" s="55"/>
      <c r="H190" s="55"/>
      <c r="I190" s="55"/>
      <c r="J190" s="55"/>
      <c r="K190" s="55"/>
      <c r="L190" s="55"/>
      <c r="M190" s="55"/>
      <c r="N190" s="55"/>
      <c r="O190" s="55"/>
      <c r="P190" s="55"/>
      <c r="Q190" s="55"/>
      <c r="R190" s="55"/>
    </row>
    <row r="191" spans="2:18" hidden="1" outlineLevel="1" x14ac:dyDescent="0.2">
      <c r="B191" s="55"/>
      <c r="C191" s="55"/>
      <c r="D191" s="55"/>
      <c r="E191" s="55"/>
      <c r="F191" s="55"/>
      <c r="G191" s="55"/>
      <c r="H191" s="55"/>
      <c r="I191" s="55"/>
      <c r="J191" s="55"/>
      <c r="K191" s="55"/>
      <c r="L191" s="55"/>
      <c r="M191" s="55"/>
      <c r="N191" s="55"/>
      <c r="O191" s="55"/>
      <c r="P191" s="55"/>
      <c r="Q191" s="55"/>
      <c r="R191" s="55"/>
    </row>
    <row r="192" spans="2:18" hidden="1" outlineLevel="1" x14ac:dyDescent="0.2">
      <c r="B192" s="55"/>
      <c r="C192" s="55"/>
      <c r="D192" s="55"/>
      <c r="E192" s="55"/>
      <c r="F192" s="55"/>
      <c r="G192" s="55"/>
      <c r="H192" s="55"/>
      <c r="I192" s="55"/>
      <c r="J192" s="55"/>
      <c r="K192" s="55"/>
      <c r="L192" s="55"/>
      <c r="M192" s="55"/>
      <c r="N192" s="55"/>
      <c r="O192" s="55"/>
      <c r="P192" s="55"/>
      <c r="Q192" s="55"/>
      <c r="R192" s="55"/>
    </row>
    <row r="193" spans="2:18" hidden="1" outlineLevel="1" x14ac:dyDescent="0.2">
      <c r="B193" s="55"/>
      <c r="C193" s="55"/>
      <c r="D193" s="55"/>
      <c r="E193" s="55"/>
      <c r="F193" s="55"/>
      <c r="G193" s="55"/>
      <c r="H193" s="55"/>
      <c r="I193" s="55"/>
      <c r="J193" s="55"/>
      <c r="K193" s="55"/>
      <c r="L193" s="55"/>
      <c r="M193" s="55"/>
      <c r="N193" s="55"/>
      <c r="O193" s="55"/>
      <c r="P193" s="55"/>
      <c r="Q193" s="55"/>
      <c r="R193" s="55"/>
    </row>
    <row r="194" spans="2:18" hidden="1" outlineLevel="1" x14ac:dyDescent="0.2">
      <c r="B194" s="55"/>
      <c r="C194" s="55"/>
      <c r="D194" s="55"/>
      <c r="E194" s="55"/>
      <c r="F194" s="55"/>
      <c r="G194" s="55"/>
      <c r="H194" s="55"/>
      <c r="I194" s="55"/>
      <c r="J194" s="55"/>
      <c r="K194" s="55"/>
      <c r="L194" s="55"/>
      <c r="M194" s="55"/>
      <c r="N194" s="55"/>
      <c r="O194" s="55"/>
      <c r="P194" s="55"/>
      <c r="Q194" s="55"/>
      <c r="R194" s="55"/>
    </row>
    <row r="195" spans="2:18" hidden="1" outlineLevel="1" x14ac:dyDescent="0.2">
      <c r="B195" s="55"/>
      <c r="C195" s="55"/>
      <c r="D195" s="55"/>
      <c r="E195" s="55"/>
      <c r="F195" s="55"/>
      <c r="G195" s="55"/>
      <c r="H195" s="55"/>
      <c r="I195" s="55"/>
      <c r="J195" s="55"/>
      <c r="K195" s="55"/>
      <c r="L195" s="55"/>
      <c r="M195" s="55"/>
      <c r="N195" s="55"/>
      <c r="O195" s="55"/>
      <c r="P195" s="55"/>
      <c r="Q195" s="55"/>
      <c r="R195" s="55"/>
    </row>
    <row r="196" spans="2:18" hidden="1" outlineLevel="1" x14ac:dyDescent="0.2">
      <c r="B196" s="55"/>
      <c r="C196" s="55"/>
      <c r="D196" s="55"/>
      <c r="E196" s="55"/>
      <c r="F196" s="55"/>
      <c r="G196" s="55"/>
      <c r="H196" s="55"/>
      <c r="I196" s="55"/>
      <c r="J196" s="55"/>
      <c r="K196" s="55"/>
      <c r="L196" s="55"/>
      <c r="M196" s="55"/>
      <c r="N196" s="55"/>
      <c r="O196" s="55"/>
      <c r="P196" s="55"/>
      <c r="Q196" s="55"/>
      <c r="R196" s="55"/>
    </row>
    <row r="197" spans="2:18" hidden="1" outlineLevel="1" x14ac:dyDescent="0.2">
      <c r="B197" s="55"/>
      <c r="C197" s="55"/>
      <c r="D197" s="55"/>
      <c r="E197" s="55"/>
      <c r="F197" s="55"/>
      <c r="G197" s="55"/>
      <c r="H197" s="55"/>
      <c r="I197" s="55"/>
      <c r="J197" s="55"/>
      <c r="K197" s="55"/>
      <c r="L197" s="55"/>
      <c r="M197" s="55"/>
      <c r="N197" s="55"/>
      <c r="O197" s="55"/>
      <c r="P197" s="55"/>
      <c r="Q197" s="55"/>
      <c r="R197" s="55"/>
    </row>
    <row r="198" spans="2:18" hidden="1" outlineLevel="1" x14ac:dyDescent="0.2">
      <c r="B198" s="55"/>
      <c r="C198" s="55"/>
      <c r="D198" s="55"/>
      <c r="E198" s="55"/>
      <c r="F198" s="55"/>
      <c r="G198" s="55"/>
      <c r="H198" s="55"/>
      <c r="I198" s="55"/>
      <c r="J198" s="55"/>
      <c r="K198" s="55"/>
      <c r="L198" s="55"/>
      <c r="M198" s="55"/>
      <c r="N198" s="55"/>
      <c r="O198" s="55"/>
      <c r="P198" s="55"/>
      <c r="Q198" s="55"/>
      <c r="R198" s="55"/>
    </row>
    <row r="199" spans="2:18" hidden="1" outlineLevel="1" x14ac:dyDescent="0.2">
      <c r="B199" s="55"/>
      <c r="C199" s="55"/>
      <c r="D199" s="55"/>
      <c r="E199" s="55"/>
      <c r="F199" s="55"/>
      <c r="G199" s="55"/>
      <c r="H199" s="55"/>
      <c r="I199" s="55"/>
      <c r="J199" s="55"/>
      <c r="K199" s="55"/>
      <c r="L199" s="55"/>
      <c r="M199" s="55"/>
      <c r="N199" s="55"/>
      <c r="O199" s="55"/>
      <c r="P199" s="55"/>
      <c r="Q199" s="55"/>
      <c r="R199" s="55"/>
    </row>
    <row r="200" spans="2:18" hidden="1" outlineLevel="1" x14ac:dyDescent="0.2">
      <c r="B200" s="55"/>
      <c r="C200" s="55"/>
      <c r="D200" s="55"/>
      <c r="E200" s="55"/>
      <c r="F200" s="55"/>
      <c r="G200" s="55"/>
      <c r="H200" s="55"/>
      <c r="I200" s="55"/>
      <c r="J200" s="55"/>
      <c r="K200" s="55"/>
      <c r="L200" s="55"/>
      <c r="M200" s="55"/>
      <c r="N200" s="55"/>
      <c r="O200" s="55"/>
      <c r="P200" s="55"/>
      <c r="Q200" s="55"/>
      <c r="R200" s="55"/>
    </row>
    <row r="201" spans="2:18" hidden="1" outlineLevel="1" x14ac:dyDescent="0.2">
      <c r="B201" s="55"/>
      <c r="C201" s="55"/>
      <c r="D201" s="55"/>
      <c r="E201" s="55"/>
      <c r="F201" s="55"/>
      <c r="G201" s="55"/>
      <c r="H201" s="55"/>
      <c r="I201" s="55"/>
      <c r="J201" s="55"/>
      <c r="K201" s="55"/>
      <c r="L201" s="55"/>
      <c r="M201" s="55"/>
      <c r="N201" s="55"/>
      <c r="O201" s="55"/>
      <c r="P201" s="55"/>
      <c r="Q201" s="55"/>
      <c r="R201" s="55"/>
    </row>
    <row r="202" spans="2:18" hidden="1" outlineLevel="1" x14ac:dyDescent="0.2">
      <c r="B202" s="55"/>
      <c r="C202" s="55"/>
      <c r="D202" s="55"/>
      <c r="E202" s="55"/>
      <c r="F202" s="55"/>
      <c r="G202" s="55"/>
      <c r="H202" s="55"/>
      <c r="I202" s="55"/>
      <c r="J202" s="55"/>
      <c r="K202" s="55"/>
      <c r="L202" s="55"/>
      <c r="M202" s="55"/>
      <c r="N202" s="55"/>
      <c r="O202" s="55"/>
      <c r="P202" s="55"/>
      <c r="Q202" s="55"/>
      <c r="R202" s="55"/>
    </row>
    <row r="203" spans="2:18" hidden="1" outlineLevel="1" x14ac:dyDescent="0.2">
      <c r="B203" s="55"/>
      <c r="C203" s="55"/>
      <c r="D203" s="55"/>
      <c r="E203" s="55"/>
      <c r="F203" s="55"/>
      <c r="G203" s="55"/>
      <c r="H203" s="55"/>
      <c r="I203" s="55"/>
      <c r="J203" s="55"/>
      <c r="K203" s="55"/>
      <c r="L203" s="55"/>
      <c r="M203" s="55"/>
      <c r="N203" s="55"/>
      <c r="O203" s="55"/>
      <c r="P203" s="55"/>
      <c r="Q203" s="55"/>
      <c r="R203" s="55"/>
    </row>
    <row r="204" spans="2:18" hidden="1" outlineLevel="1" x14ac:dyDescent="0.2">
      <c r="B204" s="55"/>
      <c r="C204" s="55"/>
      <c r="D204" s="55"/>
      <c r="E204" s="55"/>
      <c r="F204" s="55"/>
      <c r="G204" s="55"/>
      <c r="H204" s="55"/>
      <c r="I204" s="55"/>
      <c r="J204" s="55"/>
      <c r="K204" s="55"/>
      <c r="L204" s="55"/>
      <c r="M204" s="55"/>
      <c r="N204" s="55"/>
      <c r="O204" s="55"/>
      <c r="P204" s="55"/>
      <c r="Q204" s="55"/>
      <c r="R204" s="55"/>
    </row>
    <row r="205" spans="2:18" hidden="1" outlineLevel="1" x14ac:dyDescent="0.2">
      <c r="B205" s="55"/>
      <c r="C205" s="55"/>
      <c r="D205" s="55"/>
      <c r="E205" s="55"/>
      <c r="F205" s="55"/>
      <c r="G205" s="55"/>
      <c r="H205" s="55"/>
      <c r="I205" s="55"/>
      <c r="J205" s="55"/>
      <c r="K205" s="55"/>
      <c r="L205" s="55"/>
      <c r="M205" s="55"/>
      <c r="N205" s="55"/>
      <c r="O205" s="55"/>
      <c r="P205" s="55"/>
      <c r="Q205" s="55"/>
      <c r="R205" s="55"/>
    </row>
    <row r="206" spans="2:18" hidden="1" outlineLevel="1" x14ac:dyDescent="0.2">
      <c r="B206" s="55"/>
      <c r="C206" s="55"/>
      <c r="D206" s="55"/>
      <c r="E206" s="55"/>
      <c r="F206" s="55"/>
      <c r="G206" s="55"/>
      <c r="H206" s="55"/>
      <c r="I206" s="55"/>
      <c r="J206" s="55"/>
      <c r="K206" s="55"/>
      <c r="L206" s="55"/>
      <c r="M206" s="55"/>
      <c r="N206" s="55"/>
      <c r="O206" s="55"/>
      <c r="P206" s="55"/>
      <c r="Q206" s="55"/>
      <c r="R206" s="55"/>
    </row>
    <row r="207" spans="2:18" hidden="1" outlineLevel="1" x14ac:dyDescent="0.2">
      <c r="B207" s="55"/>
      <c r="C207" s="55"/>
      <c r="D207" s="55"/>
      <c r="E207" s="55"/>
      <c r="F207" s="55"/>
      <c r="G207" s="55"/>
      <c r="H207" s="55"/>
      <c r="I207" s="55"/>
      <c r="J207" s="55"/>
      <c r="K207" s="55"/>
      <c r="L207" s="55"/>
      <c r="M207" s="55"/>
      <c r="N207" s="55"/>
      <c r="O207" s="55"/>
      <c r="P207" s="55"/>
      <c r="Q207" s="55"/>
      <c r="R207" s="55"/>
    </row>
    <row r="208" spans="2:18" hidden="1" outlineLevel="1" x14ac:dyDescent="0.2">
      <c r="B208" s="370"/>
      <c r="C208" s="370"/>
      <c r="D208" s="370"/>
      <c r="E208" s="370"/>
      <c r="F208" s="370"/>
      <c r="G208" s="370"/>
      <c r="H208" s="370"/>
      <c r="I208" s="370"/>
      <c r="J208" s="370"/>
      <c r="K208" s="370"/>
      <c r="L208" s="370"/>
      <c r="M208" s="370"/>
      <c r="N208" s="370"/>
      <c r="O208" s="370"/>
      <c r="P208" s="370"/>
      <c r="Q208" s="370"/>
      <c r="R208" s="370"/>
    </row>
    <row r="209" spans="2:18" hidden="1" outlineLevel="1" x14ac:dyDescent="0.2">
      <c r="B209" s="370"/>
      <c r="C209" s="370"/>
      <c r="D209" s="370"/>
      <c r="E209" s="370"/>
      <c r="F209" s="370"/>
      <c r="G209" s="370"/>
      <c r="H209" s="370"/>
      <c r="I209" s="370"/>
      <c r="J209" s="370"/>
      <c r="K209" s="370"/>
      <c r="L209" s="370"/>
      <c r="M209" s="370"/>
      <c r="N209" s="370"/>
      <c r="O209" s="370"/>
      <c r="P209" s="370"/>
      <c r="Q209" s="370"/>
      <c r="R209" s="370"/>
    </row>
    <row r="210" spans="2:18" hidden="1" outlineLevel="1" x14ac:dyDescent="0.2"/>
    <row r="211" spans="2:18" hidden="1" outlineLevel="1" x14ac:dyDescent="0.2"/>
    <row r="212" spans="2:18" hidden="1" outlineLevel="1" x14ac:dyDescent="0.2"/>
    <row r="213" spans="2:18" hidden="1" outlineLevel="1" x14ac:dyDescent="0.2"/>
    <row r="214" spans="2:18" hidden="1" outlineLevel="1" x14ac:dyDescent="0.2"/>
    <row r="215" spans="2:18" hidden="1" outlineLevel="1" x14ac:dyDescent="0.2"/>
    <row r="216" spans="2:18" hidden="1" outlineLevel="1" x14ac:dyDescent="0.2"/>
    <row r="217" spans="2:18" hidden="1" outlineLevel="1" x14ac:dyDescent="0.2"/>
    <row r="218" spans="2:18" collapsed="1" x14ac:dyDescent="0.2"/>
  </sheetData>
  <customSheetViews>
    <customSheetView guid="{782F5CFE-DE26-4D5A-B82E-30A424B0A39B}" scale="70" fitToPage="1" hiddenRows="1" state="hidden" topLeftCell="A73">
      <selection activeCell="E25" sqref="E25"/>
      <pageMargins left="0.25" right="0.25" top="0.75" bottom="0.75" header="0.3" footer="0.3"/>
      <printOptions headings="1" gridLines="1"/>
      <pageSetup paperSize="5" scale="45" orientation="portrait" r:id="rId1"/>
    </customSheetView>
    <customSheetView guid="{88B031DE-0423-45A5-B384-E560A52FDD07}" scale="70" fitToPage="1" hiddenRows="1" state="hidden" topLeftCell="A73">
      <selection activeCell="E25" sqref="E25"/>
      <pageMargins left="0.25" right="0.25" top="0.75" bottom="0.75" header="0.3" footer="0.3"/>
      <printOptions headings="1" gridLines="1"/>
      <pageSetup paperSize="5" scale="45" orientation="portrait" r:id="rId2"/>
    </customSheetView>
    <customSheetView guid="{D5524E47-947F-4D9F-AE8B-3F0380261994}" scale="70" fitToPage="1" hiddenRows="1" state="hidden" topLeftCell="A73">
      <selection activeCell="E25" sqref="E25"/>
      <pageMargins left="0.25" right="0.25" top="0.75" bottom="0.75" header="0.3" footer="0.3"/>
      <printOptions headings="1" gridLines="1"/>
      <pageSetup paperSize="5" scale="45" orientation="portrait" r:id="rId3"/>
    </customSheetView>
    <customSheetView guid="{9BF7FAF1-D686-4A6B-A2BE-0DAD43841920}" scale="70" fitToPage="1" hiddenRows="1" state="hidden" topLeftCell="A73">
      <selection activeCell="E25" sqref="E25"/>
      <pageMargins left="0.25" right="0.25" top="0.75" bottom="0.75" header="0.3" footer="0.3"/>
      <printOptions headings="1" gridLines="1"/>
      <pageSetup paperSize="5" scale="45" orientation="portrait" r:id="rId4"/>
    </customSheetView>
  </customSheetViews>
  <mergeCells count="1">
    <mergeCell ref="C1:E1"/>
  </mergeCells>
  <printOptions headings="1" gridLines="1"/>
  <pageMargins left="0.25" right="0.25" top="0.75" bottom="0.75" header="0.3" footer="0.3"/>
  <pageSetup scale="2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pageSetUpPr fitToPage="1"/>
  </sheetPr>
  <dimension ref="A1:R200"/>
  <sheetViews>
    <sheetView workbookViewId="0"/>
  </sheetViews>
  <sheetFormatPr defaultRowHeight="12.75" outlineLevelRow="1" x14ac:dyDescent="0.2"/>
  <cols>
    <col min="1" max="1" width="11.7109375" customWidth="1"/>
    <col min="2" max="2" width="58.85546875" customWidth="1"/>
    <col min="3" max="4" width="13" bestFit="1" customWidth="1"/>
    <col min="5" max="5" width="12.5703125" customWidth="1"/>
    <col min="6" max="6" width="16.28515625" bestFit="1" customWidth="1"/>
    <col min="7" max="7" width="11.5703125" bestFit="1" customWidth="1"/>
    <col min="8" max="8" width="10.7109375" bestFit="1" customWidth="1"/>
    <col min="9" max="9" width="13.85546875" customWidth="1"/>
    <col min="10" max="10" width="10.28515625" bestFit="1" customWidth="1"/>
  </cols>
  <sheetData>
    <row r="1" spans="1:12" x14ac:dyDescent="0.2">
      <c r="A1" s="181" t="s">
        <v>547</v>
      </c>
      <c r="C1" s="684" t="s">
        <v>546</v>
      </c>
      <c r="D1" s="685"/>
      <c r="E1" s="686"/>
    </row>
    <row r="3" spans="1:12" ht="28.5" customHeight="1" x14ac:dyDescent="0.2"/>
    <row r="4" spans="1:12" ht="51" x14ac:dyDescent="0.2">
      <c r="A4" s="305" t="s">
        <v>540</v>
      </c>
      <c r="B4" s="305" t="s">
        <v>534</v>
      </c>
      <c r="C4" s="306" t="s">
        <v>0</v>
      </c>
      <c r="D4" s="306" t="s">
        <v>5</v>
      </c>
      <c r="E4" s="306" t="s">
        <v>36</v>
      </c>
      <c r="F4" s="306" t="s">
        <v>536</v>
      </c>
      <c r="G4" s="306" t="s">
        <v>535</v>
      </c>
      <c r="H4" s="306" t="s">
        <v>537</v>
      </c>
      <c r="I4" s="306" t="s">
        <v>539</v>
      </c>
      <c r="J4" s="306" t="s">
        <v>541</v>
      </c>
      <c r="K4" s="306" t="s">
        <v>542</v>
      </c>
    </row>
    <row r="5" spans="1:12" x14ac:dyDescent="0.2">
      <c r="A5" s="76">
        <v>1</v>
      </c>
      <c r="B5" s="303" t="e">
        <f>+#REF!</f>
        <v>#REF!</v>
      </c>
      <c r="C5" s="297"/>
      <c r="D5" s="297"/>
      <c r="E5" s="297"/>
      <c r="F5" s="307"/>
      <c r="G5" s="307"/>
      <c r="H5" s="308"/>
      <c r="I5" s="309"/>
      <c r="J5" s="302"/>
      <c r="K5" s="302"/>
    </row>
    <row r="6" spans="1:12" ht="13.5" thickBot="1" x14ac:dyDescent="0.25">
      <c r="A6" s="320">
        <v>2</v>
      </c>
      <c r="B6" s="321" t="e">
        <f>+#REF!</f>
        <v>#REF!</v>
      </c>
      <c r="C6" s="322" t="e">
        <f>+#REF!</f>
        <v>#REF!</v>
      </c>
      <c r="D6" s="322" t="e">
        <f>+#REF!</f>
        <v>#REF!</v>
      </c>
      <c r="E6" s="322" t="e">
        <f>+#REF!</f>
        <v>#REF!</v>
      </c>
      <c r="F6" s="323" t="e">
        <f>+#REF!</f>
        <v>#REF!</v>
      </c>
      <c r="G6" s="323" t="e">
        <f>+#REF!</f>
        <v>#REF!</v>
      </c>
      <c r="H6" s="322" t="e">
        <f t="shared" ref="H6:H23" si="0">+F6/G6-1</f>
        <v>#REF!</v>
      </c>
      <c r="I6" s="324" t="e">
        <f>+#REF!</f>
        <v>#REF!</v>
      </c>
      <c r="J6" s="325"/>
      <c r="K6" s="325"/>
      <c r="L6" s="295"/>
    </row>
    <row r="7" spans="1:12" x14ac:dyDescent="0.2">
      <c r="A7" s="346">
        <v>3</v>
      </c>
      <c r="B7" s="347" t="e">
        <f>+#REF!</f>
        <v>#REF!</v>
      </c>
      <c r="C7" s="348" t="e">
        <f>+#REF!</f>
        <v>#REF!</v>
      </c>
      <c r="D7" s="348" t="e">
        <f>+#REF!</f>
        <v>#REF!</v>
      </c>
      <c r="E7" s="348" t="e">
        <f>+#REF!</f>
        <v>#REF!</v>
      </c>
      <c r="F7" s="349" t="e">
        <f>+#REF!</f>
        <v>#REF!</v>
      </c>
      <c r="G7" s="349" t="e">
        <f>+#REF!</f>
        <v>#REF!</v>
      </c>
      <c r="H7" s="348" t="e">
        <f t="shared" si="0"/>
        <v>#REF!</v>
      </c>
      <c r="I7" s="350" t="e">
        <f>+#REF!</f>
        <v>#REF!</v>
      </c>
      <c r="J7" s="350" t="e">
        <f>+G7-G6</f>
        <v>#REF!</v>
      </c>
      <c r="K7" s="351" t="e">
        <f>+I7-I6</f>
        <v>#REF!</v>
      </c>
      <c r="L7" s="311"/>
    </row>
    <row r="8" spans="1:12" x14ac:dyDescent="0.2">
      <c r="A8" s="352">
        <v>4</v>
      </c>
      <c r="B8" s="353" t="e">
        <f>+#REF!</f>
        <v>#REF!</v>
      </c>
      <c r="C8" s="354" t="e">
        <f>+#REF!</f>
        <v>#REF!</v>
      </c>
      <c r="D8" s="354" t="e">
        <f>+#REF!</f>
        <v>#REF!</v>
      </c>
      <c r="E8" s="354" t="e">
        <f>+#REF!</f>
        <v>#REF!</v>
      </c>
      <c r="F8" s="355" t="e">
        <f>+#REF!</f>
        <v>#REF!</v>
      </c>
      <c r="G8" s="355" t="e">
        <f>+#REF!</f>
        <v>#REF!</v>
      </c>
      <c r="H8" s="354" t="e">
        <f t="shared" si="0"/>
        <v>#REF!</v>
      </c>
      <c r="I8" s="356" t="e">
        <f>+#REF!</f>
        <v>#REF!</v>
      </c>
      <c r="J8" s="356" t="e">
        <f t="shared" ref="J8:J18" si="1">+G8-G7</f>
        <v>#REF!</v>
      </c>
      <c r="K8" s="357" t="e">
        <f t="shared" ref="K8:K18" si="2">+I8-I7</f>
        <v>#REF!</v>
      </c>
      <c r="L8" s="311"/>
    </row>
    <row r="9" spans="1:12" x14ac:dyDescent="0.2">
      <c r="A9" s="352">
        <v>5</v>
      </c>
      <c r="B9" s="353" t="e">
        <f>+#REF!</f>
        <v>#REF!</v>
      </c>
      <c r="C9" s="354" t="e">
        <f>+#REF!</f>
        <v>#REF!</v>
      </c>
      <c r="D9" s="354" t="e">
        <f>+#REF!</f>
        <v>#REF!</v>
      </c>
      <c r="E9" s="354" t="e">
        <f>+#REF!</f>
        <v>#REF!</v>
      </c>
      <c r="F9" s="355" t="e">
        <f>+#REF!</f>
        <v>#REF!</v>
      </c>
      <c r="G9" s="355" t="e">
        <f>+#REF!</f>
        <v>#REF!</v>
      </c>
      <c r="H9" s="354" t="e">
        <f t="shared" si="0"/>
        <v>#REF!</v>
      </c>
      <c r="I9" s="356" t="e">
        <f>+#REF!</f>
        <v>#REF!</v>
      </c>
      <c r="J9" s="356" t="e">
        <f t="shared" si="1"/>
        <v>#REF!</v>
      </c>
      <c r="K9" s="357" t="e">
        <f t="shared" si="2"/>
        <v>#REF!</v>
      </c>
      <c r="L9" s="311"/>
    </row>
    <row r="10" spans="1:12" ht="13.5" thickBot="1" x14ac:dyDescent="0.25">
      <c r="A10" s="358">
        <v>6</v>
      </c>
      <c r="B10" s="359" t="e">
        <f>+#REF!</f>
        <v>#REF!</v>
      </c>
      <c r="C10" s="360" t="e">
        <f>+#REF!</f>
        <v>#REF!</v>
      </c>
      <c r="D10" s="360" t="e">
        <f>+#REF!</f>
        <v>#REF!</v>
      </c>
      <c r="E10" s="360" t="e">
        <f>+#REF!</f>
        <v>#REF!</v>
      </c>
      <c r="F10" s="361" t="e">
        <f>+#REF!</f>
        <v>#REF!</v>
      </c>
      <c r="G10" s="361" t="e">
        <f>+#REF!</f>
        <v>#REF!</v>
      </c>
      <c r="H10" s="360" t="e">
        <f t="shared" si="0"/>
        <v>#REF!</v>
      </c>
      <c r="I10" s="362" t="e">
        <f>+#REF!</f>
        <v>#REF!</v>
      </c>
      <c r="J10" s="362" t="e">
        <f t="shared" si="1"/>
        <v>#REF!</v>
      </c>
      <c r="K10" s="363" t="e">
        <f t="shared" si="2"/>
        <v>#REF!</v>
      </c>
      <c r="L10" s="311"/>
    </row>
    <row r="11" spans="1:12" x14ac:dyDescent="0.2">
      <c r="A11" s="326">
        <v>7</v>
      </c>
      <c r="B11" s="327" t="e">
        <f>+#REF!</f>
        <v>#REF!</v>
      </c>
      <c r="C11" s="328" t="e">
        <f>+#REF!</f>
        <v>#REF!</v>
      </c>
      <c r="D11" s="328" t="e">
        <f>+#REF!</f>
        <v>#REF!</v>
      </c>
      <c r="E11" s="328" t="e">
        <f>+#REF!</f>
        <v>#REF!</v>
      </c>
      <c r="F11" s="329" t="e">
        <f>+#REF!</f>
        <v>#REF!</v>
      </c>
      <c r="G11" s="329" t="e">
        <f>+#REF!</f>
        <v>#REF!</v>
      </c>
      <c r="H11" s="328" t="e">
        <f t="shared" si="0"/>
        <v>#REF!</v>
      </c>
      <c r="I11" s="330" t="e">
        <f>+#REF!</f>
        <v>#REF!</v>
      </c>
      <c r="J11" s="330" t="e">
        <f t="shared" si="1"/>
        <v>#REF!</v>
      </c>
      <c r="K11" s="331" t="e">
        <f t="shared" si="2"/>
        <v>#REF!</v>
      </c>
      <c r="L11" s="311"/>
    </row>
    <row r="12" spans="1:12" x14ac:dyDescent="0.2">
      <c r="A12" s="332">
        <v>8</v>
      </c>
      <c r="B12" s="303" t="e">
        <f>+#REF!</f>
        <v>#REF!</v>
      </c>
      <c r="C12" s="299" t="e">
        <f>+#REF!</f>
        <v>#REF!</v>
      </c>
      <c r="D12" s="299" t="e">
        <f>+#REF!</f>
        <v>#REF!</v>
      </c>
      <c r="E12" s="299" t="e">
        <f>+#REF!</f>
        <v>#REF!</v>
      </c>
      <c r="F12" s="298" t="e">
        <f>+#REF!</f>
        <v>#REF!</v>
      </c>
      <c r="G12" s="298" t="e">
        <f>+#REF!</f>
        <v>#REF!</v>
      </c>
      <c r="H12" s="299" t="e">
        <f t="shared" si="0"/>
        <v>#REF!</v>
      </c>
      <c r="I12" s="300" t="e">
        <f>+#REF!</f>
        <v>#REF!</v>
      </c>
      <c r="J12" s="300" t="e">
        <f t="shared" si="1"/>
        <v>#REF!</v>
      </c>
      <c r="K12" s="333" t="e">
        <f t="shared" si="2"/>
        <v>#REF!</v>
      </c>
      <c r="L12" s="311"/>
    </row>
    <row r="13" spans="1:12" ht="13.5" thickBot="1" x14ac:dyDescent="0.25">
      <c r="A13" s="334">
        <v>9</v>
      </c>
      <c r="B13" s="335" t="e">
        <f>+#REF!</f>
        <v>#REF!</v>
      </c>
      <c r="C13" s="336" t="e">
        <f>+#REF!</f>
        <v>#REF!</v>
      </c>
      <c r="D13" s="336" t="e">
        <f>+#REF!</f>
        <v>#REF!</v>
      </c>
      <c r="E13" s="336" t="e">
        <f>+#REF!</f>
        <v>#REF!</v>
      </c>
      <c r="F13" s="337" t="e">
        <f>+#REF!</f>
        <v>#REF!</v>
      </c>
      <c r="G13" s="337" t="e">
        <f>+#REF!</f>
        <v>#REF!</v>
      </c>
      <c r="H13" s="336" t="e">
        <f t="shared" si="0"/>
        <v>#REF!</v>
      </c>
      <c r="I13" s="338" t="e">
        <f>+#REF!</f>
        <v>#REF!</v>
      </c>
      <c r="J13" s="338" t="e">
        <f t="shared" si="1"/>
        <v>#REF!</v>
      </c>
      <c r="K13" s="339" t="e">
        <f t="shared" si="2"/>
        <v>#REF!</v>
      </c>
      <c r="L13" s="311"/>
    </row>
    <row r="14" spans="1:12" x14ac:dyDescent="0.2">
      <c r="A14" s="346">
        <v>10</v>
      </c>
      <c r="B14" s="347" t="e">
        <f>+#REF!</f>
        <v>#REF!</v>
      </c>
      <c r="C14" s="348" t="e">
        <f>+#REF!</f>
        <v>#REF!</v>
      </c>
      <c r="D14" s="348" t="e">
        <f>+#REF!</f>
        <v>#REF!</v>
      </c>
      <c r="E14" s="348" t="e">
        <f>+#REF!</f>
        <v>#REF!</v>
      </c>
      <c r="F14" s="349" t="e">
        <f>+#REF!</f>
        <v>#REF!</v>
      </c>
      <c r="G14" s="349" t="e">
        <f>+#REF!</f>
        <v>#REF!</v>
      </c>
      <c r="H14" s="348" t="e">
        <f t="shared" si="0"/>
        <v>#REF!</v>
      </c>
      <c r="I14" s="350" t="e">
        <f>+#REF!</f>
        <v>#REF!</v>
      </c>
      <c r="J14" s="350" t="e">
        <f t="shared" si="1"/>
        <v>#REF!</v>
      </c>
      <c r="K14" s="351" t="e">
        <f t="shared" si="2"/>
        <v>#REF!</v>
      </c>
      <c r="L14" s="311"/>
    </row>
    <row r="15" spans="1:12" x14ac:dyDescent="0.2">
      <c r="A15" s="352">
        <v>11</v>
      </c>
      <c r="B15" s="353" t="e">
        <f>+#REF!</f>
        <v>#REF!</v>
      </c>
      <c r="C15" s="354" t="e">
        <f>+#REF!</f>
        <v>#REF!</v>
      </c>
      <c r="D15" s="354" t="e">
        <f>+#REF!</f>
        <v>#REF!</v>
      </c>
      <c r="E15" s="354" t="e">
        <f>+#REF!</f>
        <v>#REF!</v>
      </c>
      <c r="F15" s="355" t="e">
        <f>+#REF!</f>
        <v>#REF!</v>
      </c>
      <c r="G15" s="355" t="e">
        <f>+#REF!</f>
        <v>#REF!</v>
      </c>
      <c r="H15" s="354" t="e">
        <f t="shared" si="0"/>
        <v>#REF!</v>
      </c>
      <c r="I15" s="356" t="e">
        <f>+#REF!</f>
        <v>#REF!</v>
      </c>
      <c r="J15" s="356" t="e">
        <f t="shared" si="1"/>
        <v>#REF!</v>
      </c>
      <c r="K15" s="357" t="e">
        <f t="shared" si="2"/>
        <v>#REF!</v>
      </c>
      <c r="L15" s="311"/>
    </row>
    <row r="16" spans="1:12" ht="13.5" thickBot="1" x14ac:dyDescent="0.25">
      <c r="A16" s="358">
        <v>12</v>
      </c>
      <c r="B16" s="359" t="e">
        <f>+#REF!</f>
        <v>#REF!</v>
      </c>
      <c r="C16" s="360" t="e">
        <f>+#REF!</f>
        <v>#REF!</v>
      </c>
      <c r="D16" s="360" t="e">
        <f>+#REF!</f>
        <v>#REF!</v>
      </c>
      <c r="E16" s="360" t="e">
        <f>+#REF!</f>
        <v>#REF!</v>
      </c>
      <c r="F16" s="361" t="e">
        <f>+#REF!</f>
        <v>#REF!</v>
      </c>
      <c r="G16" s="361" t="e">
        <f>+#REF!</f>
        <v>#REF!</v>
      </c>
      <c r="H16" s="360" t="e">
        <f t="shared" si="0"/>
        <v>#REF!</v>
      </c>
      <c r="I16" s="362" t="e">
        <f>+#REF!</f>
        <v>#REF!</v>
      </c>
      <c r="J16" s="362" t="e">
        <f t="shared" si="1"/>
        <v>#REF!</v>
      </c>
      <c r="K16" s="363" t="e">
        <f t="shared" si="2"/>
        <v>#REF!</v>
      </c>
      <c r="L16" s="311"/>
    </row>
    <row r="17" spans="1:12" ht="13.5" thickBot="1" x14ac:dyDescent="0.25">
      <c r="A17" s="340">
        <v>13</v>
      </c>
      <c r="B17" s="341" t="e">
        <f>+#REF!</f>
        <v>#REF!</v>
      </c>
      <c r="C17" s="342" t="e">
        <f>+#REF!</f>
        <v>#REF!</v>
      </c>
      <c r="D17" s="342" t="e">
        <f>+#REF!</f>
        <v>#REF!</v>
      </c>
      <c r="E17" s="342" t="e">
        <f>+#REF!</f>
        <v>#REF!</v>
      </c>
      <c r="F17" s="343" t="e">
        <f>+#REF!</f>
        <v>#REF!</v>
      </c>
      <c r="G17" s="343" t="e">
        <f>+#REF!</f>
        <v>#REF!</v>
      </c>
      <c r="H17" s="342" t="e">
        <f t="shared" si="0"/>
        <v>#REF!</v>
      </c>
      <c r="I17" s="344" t="e">
        <f>+#REF!</f>
        <v>#REF!</v>
      </c>
      <c r="J17" s="344" t="e">
        <f t="shared" si="1"/>
        <v>#REF!</v>
      </c>
      <c r="K17" s="345" t="e">
        <f t="shared" si="2"/>
        <v>#REF!</v>
      </c>
      <c r="L17" s="311"/>
    </row>
    <row r="18" spans="1:12" ht="13.5" thickBot="1" x14ac:dyDescent="0.25">
      <c r="A18" s="364">
        <v>14</v>
      </c>
      <c r="B18" s="365" t="e">
        <f>+#REF!</f>
        <v>#REF!</v>
      </c>
      <c r="C18" s="366" t="e">
        <f>+#REF!</f>
        <v>#REF!</v>
      </c>
      <c r="D18" s="366" t="e">
        <f>+#REF!</f>
        <v>#REF!</v>
      </c>
      <c r="E18" s="366" t="e">
        <f>+#REF!</f>
        <v>#REF!</v>
      </c>
      <c r="F18" s="367" t="e">
        <f>+#REF!</f>
        <v>#REF!</v>
      </c>
      <c r="G18" s="367" t="e">
        <f>+#REF!</f>
        <v>#REF!</v>
      </c>
      <c r="H18" s="366" t="e">
        <f t="shared" si="0"/>
        <v>#REF!</v>
      </c>
      <c r="I18" s="368" t="e">
        <f>+#REF!</f>
        <v>#REF!</v>
      </c>
      <c r="J18" s="368" t="e">
        <f t="shared" si="1"/>
        <v>#REF!</v>
      </c>
      <c r="K18" s="369" t="e">
        <f t="shared" si="2"/>
        <v>#REF!</v>
      </c>
      <c r="L18" s="311"/>
    </row>
    <row r="19" spans="1:12" ht="13.5" thickBot="1" x14ac:dyDescent="0.25">
      <c r="A19" s="374">
        <v>15</v>
      </c>
      <c r="B19" s="375" t="e">
        <f>+#REF!</f>
        <v>#REF!</v>
      </c>
      <c r="C19" s="376" t="e">
        <f>+#REF!</f>
        <v>#REF!</v>
      </c>
      <c r="D19" s="376" t="e">
        <f>+#REF!</f>
        <v>#REF!</v>
      </c>
      <c r="E19" s="376" t="e">
        <f>+#REF!</f>
        <v>#REF!</v>
      </c>
      <c r="F19" s="377" t="e">
        <f>+#REF!</f>
        <v>#REF!</v>
      </c>
      <c r="G19" s="377" t="e">
        <f>+#REF!</f>
        <v>#REF!</v>
      </c>
      <c r="H19" s="376" t="e">
        <f t="shared" ref="H19:H21" si="3">+F19/G19-1</f>
        <v>#REF!</v>
      </c>
      <c r="I19" s="378" t="e">
        <f>+#REF!</f>
        <v>#REF!</v>
      </c>
      <c r="J19" s="378" t="e">
        <f t="shared" ref="J19" si="4">+G19-G18</f>
        <v>#REF!</v>
      </c>
      <c r="K19" s="379" t="e">
        <f t="shared" ref="K19" si="5">+I19-I18</f>
        <v>#REF!</v>
      </c>
      <c r="L19" s="295"/>
    </row>
    <row r="20" spans="1:12" ht="13.5" thickBot="1" x14ac:dyDescent="0.25">
      <c r="A20" s="420">
        <v>16</v>
      </c>
      <c r="B20" s="421" t="s">
        <v>563</v>
      </c>
      <c r="C20" s="422" t="e">
        <f>+#REF!</f>
        <v>#REF!</v>
      </c>
      <c r="D20" s="422" t="e">
        <f>+#REF!</f>
        <v>#REF!</v>
      </c>
      <c r="E20" s="422" t="e">
        <f>+#REF!</f>
        <v>#REF!</v>
      </c>
      <c r="F20" s="423" t="e">
        <f>+#REF!</f>
        <v>#REF!</v>
      </c>
      <c r="G20" s="423" t="e">
        <f>+#REF!</f>
        <v>#REF!</v>
      </c>
      <c r="H20" s="422" t="e">
        <f t="shared" si="3"/>
        <v>#REF!</v>
      </c>
      <c r="I20" s="424" t="e">
        <f>+#REF!</f>
        <v>#REF!</v>
      </c>
      <c r="J20" s="424" t="e">
        <f t="shared" ref="J20" si="6">+G20-G19</f>
        <v>#REF!</v>
      </c>
      <c r="K20" s="425" t="e">
        <f t="shared" ref="K20" si="7">+I20-I19</f>
        <v>#REF!</v>
      </c>
      <c r="L20" s="295"/>
    </row>
    <row r="21" spans="1:12" ht="18" x14ac:dyDescent="0.25">
      <c r="A21" s="415">
        <v>16</v>
      </c>
      <c r="B21" s="416" t="s">
        <v>555</v>
      </c>
      <c r="C21" s="417" t="e">
        <f>SUM(C6:C18)</f>
        <v>#REF!</v>
      </c>
      <c r="D21" s="417" t="e">
        <f t="shared" ref="D21:E21" si="8">SUM(D6:D18)</f>
        <v>#REF!</v>
      </c>
      <c r="E21" s="417" t="e">
        <f t="shared" si="8"/>
        <v>#REF!</v>
      </c>
      <c r="F21" s="418" t="e">
        <f t="shared" ref="F21:G23" si="9">+F18</f>
        <v>#REF!</v>
      </c>
      <c r="G21" s="418" t="e">
        <f t="shared" si="9"/>
        <v>#REF!</v>
      </c>
      <c r="H21" s="419" t="e">
        <f t="shared" si="3"/>
        <v>#REF!</v>
      </c>
      <c r="I21" s="415"/>
      <c r="J21" s="415"/>
      <c r="K21" s="415"/>
    </row>
    <row r="22" spans="1:12" ht="18" x14ac:dyDescent="0.25">
      <c r="A22" s="302"/>
      <c r="B22" s="314" t="s">
        <v>556</v>
      </c>
      <c r="C22" s="316" t="e">
        <f>SUM(C6:C19)</f>
        <v>#REF!</v>
      </c>
      <c r="D22" s="316" t="e">
        <f>SUM(D6:D19)</f>
        <v>#REF!</v>
      </c>
      <c r="E22" s="316" t="e">
        <f>SUM(E6:E19)</f>
        <v>#REF!</v>
      </c>
      <c r="F22" s="318" t="e">
        <f t="shared" si="9"/>
        <v>#REF!</v>
      </c>
      <c r="G22" s="318" t="e">
        <f t="shared" si="9"/>
        <v>#REF!</v>
      </c>
      <c r="H22" s="317" t="e">
        <f t="shared" si="0"/>
        <v>#REF!</v>
      </c>
      <c r="I22" s="302"/>
      <c r="J22" s="302"/>
      <c r="K22" s="302"/>
    </row>
    <row r="23" spans="1:12" ht="18" x14ac:dyDescent="0.25">
      <c r="A23" s="302"/>
      <c r="B23" s="314" t="s">
        <v>564</v>
      </c>
      <c r="C23" s="316" t="e">
        <f>+C20</f>
        <v>#REF!</v>
      </c>
      <c r="D23" s="316" t="e">
        <f t="shared" ref="D23:E23" si="10">+D20</f>
        <v>#REF!</v>
      </c>
      <c r="E23" s="316" t="e">
        <f t="shared" si="10"/>
        <v>#REF!</v>
      </c>
      <c r="F23" s="318" t="e">
        <f t="shared" si="9"/>
        <v>#REF!</v>
      </c>
      <c r="G23" s="318" t="e">
        <f t="shared" si="9"/>
        <v>#REF!</v>
      </c>
      <c r="H23" s="317" t="e">
        <f t="shared" si="0"/>
        <v>#REF!</v>
      </c>
      <c r="I23" s="302"/>
      <c r="J23" s="302"/>
      <c r="K23" s="302"/>
    </row>
    <row r="24" spans="1:12" ht="26.25" outlineLevel="1" x14ac:dyDescent="0.4">
      <c r="A24" s="302"/>
      <c r="B24" s="302"/>
      <c r="C24" s="432" t="e">
        <f>SUM(C22:C23)</f>
        <v>#REF!</v>
      </c>
      <c r="D24" s="432" t="e">
        <f t="shared" ref="D24:E24" si="11">SUM(D22:D23)</f>
        <v>#REF!</v>
      </c>
      <c r="E24" s="432" t="e">
        <f t="shared" si="11"/>
        <v>#REF!</v>
      </c>
      <c r="F24" s="304"/>
      <c r="G24" s="304"/>
      <c r="H24" s="304"/>
      <c r="I24" s="302"/>
      <c r="J24" s="302"/>
      <c r="K24" s="302"/>
    </row>
    <row r="25" spans="1:12" outlineLevel="1" x14ac:dyDescent="0.2">
      <c r="A25" s="302"/>
      <c r="B25" s="302"/>
      <c r="C25" s="315" t="e">
        <f>+#REF!-C24</f>
        <v>#REF!</v>
      </c>
      <c r="D25" s="315" t="e">
        <f>+#REF!-D24</f>
        <v>#REF!</v>
      </c>
      <c r="E25" s="315" t="e">
        <f>+#REF!-E24</f>
        <v>#REF!</v>
      </c>
      <c r="F25" s="304"/>
      <c r="G25" s="304"/>
      <c r="H25" s="304"/>
      <c r="I25" s="302"/>
      <c r="J25" s="302"/>
      <c r="K25" s="302"/>
    </row>
    <row r="26" spans="1:12" outlineLevel="1" x14ac:dyDescent="0.2"/>
    <row r="27" spans="1:12" ht="15.75" customHeight="1" x14ac:dyDescent="0.2"/>
    <row r="28" spans="1:12" ht="51" x14ac:dyDescent="0.2">
      <c r="A28" s="305" t="s">
        <v>540</v>
      </c>
      <c r="B28" s="305" t="s">
        <v>534</v>
      </c>
      <c r="C28" s="306" t="s">
        <v>0</v>
      </c>
      <c r="D28" s="306" t="s">
        <v>5</v>
      </c>
      <c r="E28" s="306" t="s">
        <v>36</v>
      </c>
      <c r="F28" s="306" t="s">
        <v>536</v>
      </c>
      <c r="G28" s="306" t="s">
        <v>535</v>
      </c>
      <c r="H28" s="306" t="s">
        <v>537</v>
      </c>
      <c r="I28" s="306" t="s">
        <v>539</v>
      </c>
      <c r="J28" s="306" t="s">
        <v>541</v>
      </c>
      <c r="K28" s="306" t="s">
        <v>542</v>
      </c>
    </row>
    <row r="29" spans="1:12" x14ac:dyDescent="0.2">
      <c r="A29" s="380" t="s">
        <v>557</v>
      </c>
      <c r="B29" s="303" t="s">
        <v>543</v>
      </c>
      <c r="C29" s="319"/>
      <c r="D29" s="319"/>
      <c r="E29" s="319"/>
      <c r="F29" s="298" t="e">
        <f>+F6</f>
        <v>#REF!</v>
      </c>
      <c r="G29" s="298" t="e">
        <f>+G6</f>
        <v>#REF!</v>
      </c>
      <c r="H29" s="299" t="e">
        <f t="shared" ref="H29:H35" si="12">+F29/G29-1</f>
        <v>#REF!</v>
      </c>
      <c r="I29" s="298" t="e">
        <f>+I6</f>
        <v>#REF!</v>
      </c>
      <c r="J29" s="312"/>
      <c r="K29" s="312"/>
      <c r="L29" s="72"/>
    </row>
    <row r="30" spans="1:12" x14ac:dyDescent="0.2">
      <c r="A30" s="380" t="s">
        <v>558</v>
      </c>
      <c r="B30" s="303" t="s">
        <v>545</v>
      </c>
      <c r="C30" s="301" t="e">
        <f>SUM(C7:C10)</f>
        <v>#REF!</v>
      </c>
      <c r="D30" s="301" t="e">
        <f>SUM(D7:D10)</f>
        <v>#REF!</v>
      </c>
      <c r="E30" s="301" t="e">
        <f>SUM(E7:E10)</f>
        <v>#REF!</v>
      </c>
      <c r="F30" s="300" t="e">
        <f>+F10</f>
        <v>#REF!</v>
      </c>
      <c r="G30" s="300" t="e">
        <f>+G10</f>
        <v>#REF!</v>
      </c>
      <c r="H30" s="299" t="e">
        <f t="shared" si="12"/>
        <v>#REF!</v>
      </c>
      <c r="I30" s="300" t="e">
        <f>+I10</f>
        <v>#REF!</v>
      </c>
      <c r="J30" s="300" t="e">
        <f>+G30-G29</f>
        <v>#REF!</v>
      </c>
      <c r="K30" s="300" t="e">
        <f>+I30-I29</f>
        <v>#REF!</v>
      </c>
      <c r="L30" s="310"/>
    </row>
    <row r="31" spans="1:12" x14ac:dyDescent="0.2">
      <c r="A31" s="381" t="s">
        <v>559</v>
      </c>
      <c r="B31" s="303" t="s">
        <v>544</v>
      </c>
      <c r="C31" s="301" t="e">
        <f>SUM(C11:C13)</f>
        <v>#REF!</v>
      </c>
      <c r="D31" s="301" t="e">
        <f>SUM(D11:D13)</f>
        <v>#REF!</v>
      </c>
      <c r="E31" s="301" t="e">
        <f>SUM(E11:E13)</f>
        <v>#REF!</v>
      </c>
      <c r="F31" s="300" t="e">
        <f>+F13</f>
        <v>#REF!</v>
      </c>
      <c r="G31" s="300" t="e">
        <f>+G13</f>
        <v>#REF!</v>
      </c>
      <c r="H31" s="299" t="e">
        <f t="shared" si="12"/>
        <v>#REF!</v>
      </c>
      <c r="I31" s="300" t="e">
        <f>+I13</f>
        <v>#REF!</v>
      </c>
      <c r="J31" s="300" t="e">
        <f>+G31-G30</f>
        <v>#REF!</v>
      </c>
      <c r="K31" s="300" t="e">
        <f>+I31-I30</f>
        <v>#REF!</v>
      </c>
      <c r="L31" s="310"/>
    </row>
    <row r="32" spans="1:12" x14ac:dyDescent="0.2">
      <c r="A32" s="381" t="s">
        <v>561</v>
      </c>
      <c r="B32" s="303" t="s">
        <v>562</v>
      </c>
      <c r="C32" s="301" t="e">
        <f>SUM(C14:C15)</f>
        <v>#REF!</v>
      </c>
      <c r="D32" s="301" t="e">
        <f t="shared" ref="D32:E32" si="13">SUM(D14:D15)</f>
        <v>#REF!</v>
      </c>
      <c r="E32" s="301" t="e">
        <f t="shared" si="13"/>
        <v>#REF!</v>
      </c>
      <c r="F32" s="300" t="e">
        <f t="shared" ref="F32:G37" si="14">+F15</f>
        <v>#REF!</v>
      </c>
      <c r="G32" s="300" t="e">
        <f t="shared" si="14"/>
        <v>#REF!</v>
      </c>
      <c r="H32" s="299" t="e">
        <f t="shared" si="12"/>
        <v>#REF!</v>
      </c>
      <c r="I32" s="300" t="e">
        <f t="shared" ref="I32:I37" si="15">+I15</f>
        <v>#REF!</v>
      </c>
      <c r="J32" s="300" t="e">
        <f>+G32-G31</f>
        <v>#REF!</v>
      </c>
      <c r="K32" s="300" t="e">
        <f>+I32-I31</f>
        <v>#REF!</v>
      </c>
      <c r="L32" s="310"/>
    </row>
    <row r="33" spans="1:12" x14ac:dyDescent="0.2">
      <c r="A33" s="381">
        <v>12</v>
      </c>
      <c r="B33" s="303" t="s">
        <v>560</v>
      </c>
      <c r="C33" s="301" t="e">
        <f>+C16</f>
        <v>#REF!</v>
      </c>
      <c r="D33" s="301" t="e">
        <f t="shared" ref="D33:E33" si="16">+D16</f>
        <v>#REF!</v>
      </c>
      <c r="E33" s="301" t="e">
        <f t="shared" si="16"/>
        <v>#REF!</v>
      </c>
      <c r="F33" s="300" t="e">
        <f t="shared" si="14"/>
        <v>#REF!</v>
      </c>
      <c r="G33" s="300" t="e">
        <f t="shared" si="14"/>
        <v>#REF!</v>
      </c>
      <c r="H33" s="299" t="e">
        <f t="shared" si="12"/>
        <v>#REF!</v>
      </c>
      <c r="I33" s="300" t="e">
        <f t="shared" si="15"/>
        <v>#REF!</v>
      </c>
      <c r="J33" s="300" t="e">
        <f>+G33-G32</f>
        <v>#REF!</v>
      </c>
      <c r="K33" s="300" t="e">
        <f>+I33-I32</f>
        <v>#REF!</v>
      </c>
      <c r="L33" s="310"/>
    </row>
    <row r="34" spans="1:12" x14ac:dyDescent="0.2">
      <c r="A34" s="382">
        <v>13</v>
      </c>
      <c r="B34" s="303" t="s">
        <v>533</v>
      </c>
      <c r="C34" s="301" t="e">
        <f>+C17</f>
        <v>#REF!</v>
      </c>
      <c r="D34" s="301" t="e">
        <f t="shared" ref="D34:E36" si="17">+D17</f>
        <v>#REF!</v>
      </c>
      <c r="E34" s="301" t="e">
        <f t="shared" si="17"/>
        <v>#REF!</v>
      </c>
      <c r="F34" s="298" t="e">
        <f t="shared" si="14"/>
        <v>#REF!</v>
      </c>
      <c r="G34" s="298" t="e">
        <f t="shared" si="14"/>
        <v>#REF!</v>
      </c>
      <c r="H34" s="299" t="e">
        <f t="shared" si="12"/>
        <v>#REF!</v>
      </c>
      <c r="I34" s="300" t="e">
        <f t="shared" si="15"/>
        <v>#REF!</v>
      </c>
      <c r="J34" s="300" t="e">
        <f t="shared" ref="J34" si="18">+G34-G32</f>
        <v>#REF!</v>
      </c>
      <c r="K34" s="300" t="e">
        <f t="shared" ref="K34" si="19">+I34-I32</f>
        <v>#REF!</v>
      </c>
      <c r="L34" s="310"/>
    </row>
    <row r="35" spans="1:12" x14ac:dyDescent="0.2">
      <c r="A35" s="382">
        <v>14</v>
      </c>
      <c r="B35" s="303" t="s">
        <v>428</v>
      </c>
      <c r="C35" s="301" t="e">
        <f>+C18</f>
        <v>#REF!</v>
      </c>
      <c r="D35" s="301" t="e">
        <f t="shared" si="17"/>
        <v>#REF!</v>
      </c>
      <c r="E35" s="301" t="e">
        <f t="shared" si="17"/>
        <v>#REF!</v>
      </c>
      <c r="F35" s="313" t="e">
        <f t="shared" si="14"/>
        <v>#REF!</v>
      </c>
      <c r="G35" s="313" t="e">
        <f t="shared" si="14"/>
        <v>#REF!</v>
      </c>
      <c r="H35" s="299" t="e">
        <f t="shared" si="12"/>
        <v>#REF!</v>
      </c>
      <c r="I35" s="300" t="e">
        <f t="shared" si="15"/>
        <v>#REF!</v>
      </c>
      <c r="J35" s="300" t="e">
        <f t="shared" ref="J35" si="20">+G35-G34</f>
        <v>#REF!</v>
      </c>
      <c r="K35" s="300" t="e">
        <f t="shared" ref="K35" si="21">+I35-I34</f>
        <v>#REF!</v>
      </c>
      <c r="L35" s="310"/>
    </row>
    <row r="36" spans="1:12" x14ac:dyDescent="0.2">
      <c r="A36" s="382">
        <v>15</v>
      </c>
      <c r="B36" s="303" t="s">
        <v>554</v>
      </c>
      <c r="C36" s="301" t="e">
        <f>+C19</f>
        <v>#REF!</v>
      </c>
      <c r="D36" s="301" t="e">
        <f t="shared" si="17"/>
        <v>#REF!</v>
      </c>
      <c r="E36" s="301" t="e">
        <f t="shared" si="17"/>
        <v>#REF!</v>
      </c>
      <c r="F36" s="313" t="e">
        <f t="shared" si="14"/>
        <v>#REF!</v>
      </c>
      <c r="G36" s="313" t="e">
        <f t="shared" si="14"/>
        <v>#REF!</v>
      </c>
      <c r="H36" s="299" t="e">
        <f t="shared" ref="H36" si="22">+F36/G36-1</f>
        <v>#REF!</v>
      </c>
      <c r="I36" s="300" t="e">
        <f t="shared" si="15"/>
        <v>#REF!</v>
      </c>
      <c r="J36" s="300" t="e">
        <f t="shared" ref="J36" si="23">+G36-G35</f>
        <v>#REF!</v>
      </c>
      <c r="K36" s="300" t="e">
        <f t="shared" ref="K36" si="24">+I36-I35</f>
        <v>#REF!</v>
      </c>
      <c r="L36" s="310"/>
    </row>
    <row r="37" spans="1:12" x14ac:dyDescent="0.2">
      <c r="A37" s="382">
        <v>16</v>
      </c>
      <c r="B37" s="414" t="s">
        <v>563</v>
      </c>
      <c r="C37" s="301" t="e">
        <f>+C20</f>
        <v>#REF!</v>
      </c>
      <c r="D37" s="301" t="e">
        <f t="shared" ref="D37:E37" si="25">+D20</f>
        <v>#REF!</v>
      </c>
      <c r="E37" s="301" t="e">
        <f t="shared" si="25"/>
        <v>#REF!</v>
      </c>
      <c r="F37" s="313" t="e">
        <f t="shared" si="14"/>
        <v>#REF!</v>
      </c>
      <c r="G37" s="313" t="e">
        <f t="shared" si="14"/>
        <v>#REF!</v>
      </c>
      <c r="H37" s="299" t="e">
        <f t="shared" ref="H37" si="26">+F37/G37-1</f>
        <v>#REF!</v>
      </c>
      <c r="I37" s="300" t="e">
        <f t="shared" si="15"/>
        <v>#REF!</v>
      </c>
      <c r="J37" s="300" t="e">
        <f t="shared" ref="J37" si="27">+G37-G36</f>
        <v>#REF!</v>
      </c>
      <c r="K37" s="300" t="e">
        <f t="shared" ref="K37" si="28">+I37-I36</f>
        <v>#REF!</v>
      </c>
      <c r="L37" s="310"/>
    </row>
    <row r="38" spans="1:12" ht="18" x14ac:dyDescent="0.25">
      <c r="A38" s="302"/>
      <c r="B38" s="314" t="s">
        <v>538</v>
      </c>
      <c r="C38" s="316" t="e">
        <f>SUM(C30:C37)</f>
        <v>#REF!</v>
      </c>
      <c r="D38" s="316" t="e">
        <f t="shared" ref="D38:E38" si="29">SUM(D30:D37)</f>
        <v>#REF!</v>
      </c>
      <c r="E38" s="316" t="e">
        <f t="shared" si="29"/>
        <v>#REF!</v>
      </c>
      <c r="F38" s="302"/>
      <c r="G38" s="302"/>
      <c r="H38" s="302"/>
      <c r="I38" s="302"/>
      <c r="J38" s="302"/>
      <c r="K38" s="302"/>
    </row>
    <row r="39" spans="1:12" hidden="1" outlineLevel="1" x14ac:dyDescent="0.2">
      <c r="B39" s="296"/>
      <c r="C39" s="315" t="e">
        <f>+C22-C38</f>
        <v>#REF!</v>
      </c>
      <c r="D39" s="315" t="e">
        <f>+D22-D38</f>
        <v>#REF!</v>
      </c>
      <c r="E39" s="315" t="e">
        <f>+E22-E38</f>
        <v>#REF!</v>
      </c>
      <c r="F39" s="302"/>
      <c r="G39" s="302"/>
      <c r="H39" s="302"/>
      <c r="I39" s="302"/>
      <c r="J39" s="302"/>
      <c r="K39" s="302"/>
    </row>
    <row r="40" spans="1:12" collapsed="1" x14ac:dyDescent="0.2"/>
    <row r="42" spans="1:12" x14ac:dyDescent="0.2">
      <c r="B42" s="72" t="s">
        <v>0</v>
      </c>
      <c r="C42" s="72" t="s">
        <v>550</v>
      </c>
      <c r="D42" s="72" t="s">
        <v>551</v>
      </c>
      <c r="E42" s="72" t="s">
        <v>552</v>
      </c>
      <c r="F42" s="72" t="s">
        <v>553</v>
      </c>
    </row>
    <row r="43" spans="1:12" x14ac:dyDescent="0.2">
      <c r="B43" s="72" t="s">
        <v>548</v>
      </c>
      <c r="C43" s="371">
        <v>0</v>
      </c>
      <c r="D43" s="372">
        <f>+$C$43</f>
        <v>0</v>
      </c>
    </row>
    <row r="44" spans="1:12" x14ac:dyDescent="0.2">
      <c r="B44" s="72" t="str">
        <f>+B30</f>
        <v xml:space="preserve">Customer Usage </v>
      </c>
      <c r="C44" s="373" t="e">
        <f>+$C$30</f>
        <v>#REF!</v>
      </c>
      <c r="D44" s="373"/>
      <c r="E44" s="373">
        <f>SUM(C$43:C43)</f>
        <v>0</v>
      </c>
      <c r="F44" s="373" t="e">
        <f>SUM(C$43:C44)</f>
        <v>#REF!</v>
      </c>
    </row>
    <row r="45" spans="1:12" x14ac:dyDescent="0.2">
      <c r="B45" s="72" t="str">
        <f>+B31</f>
        <v>Forwards Related</v>
      </c>
      <c r="C45" s="373" t="e">
        <f>+$C$31</f>
        <v>#REF!</v>
      </c>
      <c r="D45" s="373"/>
      <c r="E45" s="373" t="e">
        <f>SUM(C$43:C44)</f>
        <v>#REF!</v>
      </c>
      <c r="F45" s="373" t="e">
        <f>SUM(C$43:C45)</f>
        <v>#REF!</v>
      </c>
    </row>
    <row r="46" spans="1:12" x14ac:dyDescent="0.2">
      <c r="B46" s="72" t="str">
        <f>+B32</f>
        <v>Generation Obligation</v>
      </c>
      <c r="C46" s="373" t="e">
        <f>+$C$32</f>
        <v>#REF!</v>
      </c>
      <c r="D46" s="373"/>
      <c r="E46" s="373" t="e">
        <f>SUM(C$43:C45)</f>
        <v>#REF!</v>
      </c>
      <c r="F46" s="373" t="e">
        <f>SUM(C$43:C46)</f>
        <v>#REF!</v>
      </c>
    </row>
    <row r="47" spans="1:12" x14ac:dyDescent="0.2">
      <c r="B47" s="72" t="s">
        <v>560</v>
      </c>
      <c r="C47" s="373" t="e">
        <f>+C33</f>
        <v>#REF!</v>
      </c>
      <c r="D47" s="373"/>
      <c r="E47" s="373" t="e">
        <f>SUM(C$43:C46)</f>
        <v>#REF!</v>
      </c>
      <c r="F47" s="373" t="e">
        <f>SUM(C$43:C47)</f>
        <v>#REF!</v>
      </c>
    </row>
    <row r="48" spans="1:12" x14ac:dyDescent="0.2">
      <c r="B48" s="72" t="str">
        <f>+B34</f>
        <v>Transmission Obligation</v>
      </c>
      <c r="C48" s="373" t="e">
        <f>+$C$34</f>
        <v>#REF!</v>
      </c>
      <c r="D48" s="373"/>
      <c r="E48" s="373" t="e">
        <f>SUM(C$43:C46)</f>
        <v>#REF!</v>
      </c>
      <c r="F48" s="373" t="e">
        <f>SUM(C$43:C48)</f>
        <v>#REF!</v>
      </c>
    </row>
    <row r="49" spans="2:6" x14ac:dyDescent="0.2">
      <c r="B49" s="72" t="str">
        <f>+B35</f>
        <v>NITS</v>
      </c>
      <c r="C49" s="373" t="e">
        <f>+$C$35</f>
        <v>#REF!</v>
      </c>
      <c r="D49" s="373"/>
      <c r="E49" s="373" t="e">
        <f>SUM(C$43:C48)</f>
        <v>#REF!</v>
      </c>
      <c r="F49" s="373" t="e">
        <f>SUM(C$43:C49)</f>
        <v>#REF!</v>
      </c>
    </row>
    <row r="50" spans="2:6" x14ac:dyDescent="0.2">
      <c r="B50" s="72" t="str">
        <f>+B36</f>
        <v>CP Adder</v>
      </c>
      <c r="C50" s="373" t="e">
        <f>+C36</f>
        <v>#REF!</v>
      </c>
      <c r="D50" s="373"/>
      <c r="E50" s="373" t="e">
        <f>SUM(C$43:C49)</f>
        <v>#REF!</v>
      </c>
      <c r="F50" s="373" t="e">
        <f>SUM(C$43:C50)</f>
        <v>#REF!</v>
      </c>
    </row>
    <row r="51" spans="2:6" x14ac:dyDescent="0.2">
      <c r="B51" s="72" t="s">
        <v>549</v>
      </c>
      <c r="C51" s="373" t="e">
        <f>+$C$38</f>
        <v>#REF!</v>
      </c>
      <c r="D51" s="373" t="e">
        <f>SUM(C43:C50)</f>
        <v>#REF!</v>
      </c>
      <c r="E51" s="373"/>
      <c r="F51" s="373"/>
    </row>
    <row r="74" spans="2:6" x14ac:dyDescent="0.2">
      <c r="B74" s="72" t="s">
        <v>5</v>
      </c>
      <c r="C74" s="72" t="s">
        <v>550</v>
      </c>
      <c r="D74" s="72" t="s">
        <v>551</v>
      </c>
      <c r="E74" s="72" t="s">
        <v>552</v>
      </c>
      <c r="F74" s="72" t="s">
        <v>553</v>
      </c>
    </row>
    <row r="75" spans="2:6" x14ac:dyDescent="0.2">
      <c r="B75" s="72" t="s">
        <v>548</v>
      </c>
      <c r="C75" s="371">
        <v>0</v>
      </c>
      <c r="D75" s="372">
        <f>+$C$43</f>
        <v>0</v>
      </c>
    </row>
    <row r="76" spans="2:6" x14ac:dyDescent="0.2">
      <c r="B76" s="72" t="str">
        <f>+B44</f>
        <v xml:space="preserve">Customer Usage </v>
      </c>
      <c r="C76" s="373" t="e">
        <f>+$D$30</f>
        <v>#REF!</v>
      </c>
      <c r="D76" s="373"/>
      <c r="E76" s="373">
        <f>SUM(C$75:C75)</f>
        <v>0</v>
      </c>
      <c r="F76" s="373" t="e">
        <f>SUM(C$75:C76)</f>
        <v>#REF!</v>
      </c>
    </row>
    <row r="77" spans="2:6" x14ac:dyDescent="0.2">
      <c r="B77" s="72" t="str">
        <f>+B45</f>
        <v>Forwards Related</v>
      </c>
      <c r="C77" s="373" t="e">
        <f>+$D$31</f>
        <v>#REF!</v>
      </c>
      <c r="D77" s="373"/>
      <c r="E77" s="373" t="e">
        <f>SUM(C$75:C76)</f>
        <v>#REF!</v>
      </c>
      <c r="F77" s="373" t="e">
        <f>SUM(C$75:C77)</f>
        <v>#REF!</v>
      </c>
    </row>
    <row r="78" spans="2:6" x14ac:dyDescent="0.2">
      <c r="B78" s="72" t="str">
        <f>+B46</f>
        <v>Generation Obligation</v>
      </c>
      <c r="C78" s="373" t="e">
        <f>+$D$32</f>
        <v>#REF!</v>
      </c>
      <c r="D78" s="373"/>
      <c r="E78" s="373" t="e">
        <f>SUM(C$75:C77)</f>
        <v>#REF!</v>
      </c>
      <c r="F78" s="373" t="e">
        <f>SUM(C$75:C78)</f>
        <v>#REF!</v>
      </c>
    </row>
    <row r="79" spans="2:6" x14ac:dyDescent="0.2">
      <c r="B79" s="72" t="s">
        <v>560</v>
      </c>
      <c r="C79" s="373" t="e">
        <f>+$D$33</f>
        <v>#REF!</v>
      </c>
      <c r="D79" s="373"/>
      <c r="E79" s="373" t="e">
        <f>SUM(C$75:C78)</f>
        <v>#REF!</v>
      </c>
      <c r="F79" s="373" t="e">
        <f>SUM(C$75:C79)</f>
        <v>#REF!</v>
      </c>
    </row>
    <row r="80" spans="2:6" x14ac:dyDescent="0.2">
      <c r="B80" s="72" t="str">
        <f>+B48</f>
        <v>Transmission Obligation</v>
      </c>
      <c r="C80" s="373" t="e">
        <f>+$D$34</f>
        <v>#REF!</v>
      </c>
      <c r="D80" s="373"/>
      <c r="E80" s="373" t="e">
        <f>SUM(C$75:C79)</f>
        <v>#REF!</v>
      </c>
      <c r="F80" s="373" t="e">
        <f>SUM(C$75:C80)</f>
        <v>#REF!</v>
      </c>
    </row>
    <row r="81" spans="2:6" x14ac:dyDescent="0.2">
      <c r="B81" s="72" t="str">
        <f>+B49</f>
        <v>NITS</v>
      </c>
      <c r="C81" s="373" t="e">
        <f>+$D$35</f>
        <v>#REF!</v>
      </c>
      <c r="D81" s="373"/>
      <c r="E81" s="373" t="e">
        <f>SUM(C$75:C80)</f>
        <v>#REF!</v>
      </c>
      <c r="F81" s="373" t="e">
        <f>SUM(C$75:C81)</f>
        <v>#REF!</v>
      </c>
    </row>
    <row r="82" spans="2:6" x14ac:dyDescent="0.2">
      <c r="B82" s="72" t="str">
        <f>+B50</f>
        <v>CP Adder</v>
      </c>
      <c r="C82" s="373" t="e">
        <f>+$D$36</f>
        <v>#REF!</v>
      </c>
      <c r="D82" s="373"/>
      <c r="E82" s="373" t="e">
        <f>SUM(C$75:C81)</f>
        <v>#REF!</v>
      </c>
      <c r="F82" s="373" t="e">
        <f>SUM(C$75:C82)</f>
        <v>#REF!</v>
      </c>
    </row>
    <row r="83" spans="2:6" x14ac:dyDescent="0.2">
      <c r="B83" s="72" t="s">
        <v>549</v>
      </c>
      <c r="C83" s="373" t="e">
        <f>+$D$38</f>
        <v>#REF!</v>
      </c>
      <c r="D83" s="373" t="e">
        <f>SUM(C75:C82)</f>
        <v>#REF!</v>
      </c>
      <c r="E83" s="373"/>
      <c r="F83" s="373"/>
    </row>
    <row r="107" spans="2:6" x14ac:dyDescent="0.2">
      <c r="B107" s="72" t="s">
        <v>36</v>
      </c>
      <c r="C107" s="72" t="s">
        <v>550</v>
      </c>
      <c r="D107" s="72" t="s">
        <v>551</v>
      </c>
      <c r="E107" s="72" t="s">
        <v>552</v>
      </c>
      <c r="F107" s="72" t="s">
        <v>553</v>
      </c>
    </row>
    <row r="108" spans="2:6" x14ac:dyDescent="0.2">
      <c r="B108" s="72" t="s">
        <v>548</v>
      </c>
      <c r="C108" s="371">
        <v>0</v>
      </c>
      <c r="D108" s="372">
        <f>+$C$43</f>
        <v>0</v>
      </c>
    </row>
    <row r="109" spans="2:6" x14ac:dyDescent="0.2">
      <c r="B109" s="72" t="str">
        <f>+B76</f>
        <v xml:space="preserve">Customer Usage </v>
      </c>
      <c r="C109" s="373" t="e">
        <f>+$E$30</f>
        <v>#REF!</v>
      </c>
      <c r="D109" s="373"/>
      <c r="E109" s="373">
        <f>SUM(C$107:C108)</f>
        <v>0</v>
      </c>
      <c r="F109" s="373" t="e">
        <f>SUM(C$107:C109)</f>
        <v>#REF!</v>
      </c>
    </row>
    <row r="110" spans="2:6" x14ac:dyDescent="0.2">
      <c r="B110" s="72" t="str">
        <f>+B77</f>
        <v>Forwards Related</v>
      </c>
      <c r="C110" s="373" t="e">
        <f>+$E$31</f>
        <v>#REF!</v>
      </c>
      <c r="D110" s="373"/>
      <c r="E110" s="373" t="e">
        <f>SUM(C$107:C109)</f>
        <v>#REF!</v>
      </c>
      <c r="F110" s="373" t="e">
        <f>SUM(C$107:C110)</f>
        <v>#REF!</v>
      </c>
    </row>
    <row r="111" spans="2:6" x14ac:dyDescent="0.2">
      <c r="B111" s="72" t="str">
        <f>+B78</f>
        <v>Generation Obligation</v>
      </c>
      <c r="C111" s="373" t="e">
        <f>+$E$32</f>
        <v>#REF!</v>
      </c>
      <c r="D111" s="373"/>
      <c r="E111" s="373" t="e">
        <f>SUM(C$107:C110)</f>
        <v>#REF!</v>
      </c>
      <c r="F111" s="373" t="e">
        <f>SUM(C$107:C111)</f>
        <v>#REF!</v>
      </c>
    </row>
    <row r="112" spans="2:6" x14ac:dyDescent="0.2">
      <c r="B112" s="72" t="s">
        <v>560</v>
      </c>
      <c r="C112" s="373" t="e">
        <f>+$E$33</f>
        <v>#REF!</v>
      </c>
      <c r="D112" s="373"/>
      <c r="E112" s="373" t="e">
        <f>SUM(C$107:C111)</f>
        <v>#REF!</v>
      </c>
      <c r="F112" s="373" t="e">
        <f>SUM(C$107:C112)</f>
        <v>#REF!</v>
      </c>
    </row>
    <row r="113" spans="2:6" x14ac:dyDescent="0.2">
      <c r="B113" s="72" t="str">
        <f t="shared" ref="B113:B115" si="30">+B80</f>
        <v>Transmission Obligation</v>
      </c>
      <c r="C113" s="373" t="e">
        <f>+$E$34</f>
        <v>#REF!</v>
      </c>
      <c r="D113" s="373"/>
      <c r="E113" s="373" t="e">
        <f>SUM(C$107:C112)</f>
        <v>#REF!</v>
      </c>
      <c r="F113" s="373" t="e">
        <f>SUM(C$107:C113)</f>
        <v>#REF!</v>
      </c>
    </row>
    <row r="114" spans="2:6" x14ac:dyDescent="0.2">
      <c r="B114" s="72" t="str">
        <f t="shared" si="30"/>
        <v>NITS</v>
      </c>
      <c r="C114" s="373" t="e">
        <f>+$E$35</f>
        <v>#REF!</v>
      </c>
      <c r="D114" s="373"/>
      <c r="E114" s="373" t="e">
        <f>SUM(C$107:C113)</f>
        <v>#REF!</v>
      </c>
      <c r="F114" s="373" t="e">
        <f>SUM(C$107:C114)</f>
        <v>#REF!</v>
      </c>
    </row>
    <row r="115" spans="2:6" x14ac:dyDescent="0.2">
      <c r="B115" s="72" t="str">
        <f t="shared" si="30"/>
        <v>CP Adder</v>
      </c>
      <c r="C115" s="373" t="e">
        <f>+$E$36</f>
        <v>#REF!</v>
      </c>
      <c r="D115" s="373"/>
      <c r="E115" s="373" t="e">
        <f>SUM(C$107:C114)</f>
        <v>#REF!</v>
      </c>
      <c r="F115" s="373" t="e">
        <f>SUM(C$107:C115)</f>
        <v>#REF!</v>
      </c>
    </row>
    <row r="116" spans="2:6" x14ac:dyDescent="0.2">
      <c r="B116" s="72" t="str">
        <f t="shared" ref="B116" si="31">+B83</f>
        <v>Final</v>
      </c>
      <c r="C116" s="373" t="e">
        <f>+$E$38</f>
        <v>#REF!</v>
      </c>
      <c r="D116" s="373" t="e">
        <f>SUM(C108:C115)</f>
        <v>#REF!</v>
      </c>
      <c r="E116" s="373"/>
      <c r="F116" s="373"/>
    </row>
    <row r="147" spans="2:18" outlineLevel="1" x14ac:dyDescent="0.2">
      <c r="B147" s="55"/>
      <c r="C147" s="55"/>
      <c r="D147" s="55"/>
      <c r="E147" s="55"/>
      <c r="F147" s="55"/>
      <c r="G147" s="55"/>
      <c r="H147" s="55"/>
      <c r="I147" s="55"/>
      <c r="J147" s="55"/>
      <c r="K147" s="55"/>
      <c r="L147" s="55"/>
      <c r="M147" s="55"/>
      <c r="N147" s="55"/>
      <c r="O147" s="55"/>
      <c r="P147" s="55"/>
      <c r="Q147" s="55"/>
      <c r="R147" s="55"/>
    </row>
    <row r="148" spans="2:18" outlineLevel="1" x14ac:dyDescent="0.2">
      <c r="B148" s="55"/>
      <c r="C148" s="55"/>
      <c r="D148" s="55"/>
      <c r="E148" s="55"/>
      <c r="F148" s="55"/>
      <c r="G148" s="55"/>
      <c r="H148" s="55"/>
      <c r="I148" s="55"/>
      <c r="J148" s="55"/>
      <c r="K148" s="55"/>
      <c r="L148" s="55"/>
      <c r="M148" s="55"/>
      <c r="N148" s="55"/>
      <c r="O148" s="55"/>
      <c r="P148" s="55"/>
      <c r="Q148" s="55"/>
      <c r="R148" s="55"/>
    </row>
    <row r="149" spans="2:18" outlineLevel="1" x14ac:dyDescent="0.2">
      <c r="B149" s="55"/>
      <c r="C149" s="55"/>
      <c r="D149" s="55"/>
      <c r="E149" s="55"/>
      <c r="F149" s="55"/>
      <c r="G149" s="55"/>
      <c r="H149" s="55"/>
      <c r="I149" s="55"/>
      <c r="J149" s="55"/>
      <c r="K149" s="55"/>
      <c r="L149" s="55"/>
      <c r="M149" s="55"/>
      <c r="N149" s="55"/>
      <c r="O149" s="55"/>
      <c r="P149" s="55"/>
      <c r="Q149" s="55"/>
      <c r="R149" s="55"/>
    </row>
    <row r="150" spans="2:18" outlineLevel="1" x14ac:dyDescent="0.2">
      <c r="B150" s="55"/>
      <c r="C150" s="55"/>
      <c r="D150" s="55"/>
      <c r="E150" s="55"/>
      <c r="F150" s="55"/>
      <c r="G150" s="55"/>
      <c r="H150" s="55"/>
      <c r="I150" s="55"/>
      <c r="J150" s="55"/>
      <c r="K150" s="55"/>
      <c r="L150" s="55"/>
      <c r="M150" s="55"/>
      <c r="N150" s="55"/>
      <c r="O150" s="55"/>
      <c r="P150" s="55"/>
      <c r="Q150" s="55"/>
      <c r="R150" s="55"/>
    </row>
    <row r="151" spans="2:18" outlineLevel="1" x14ac:dyDescent="0.2">
      <c r="B151" s="55"/>
      <c r="C151" s="55"/>
      <c r="D151" s="55"/>
      <c r="E151" s="55"/>
      <c r="F151" s="55"/>
      <c r="G151" s="55"/>
      <c r="H151" s="55"/>
      <c r="I151" s="55"/>
      <c r="J151" s="55"/>
      <c r="K151" s="55"/>
      <c r="L151" s="55"/>
      <c r="M151" s="55"/>
      <c r="N151" s="55"/>
      <c r="O151" s="55"/>
      <c r="P151" s="55"/>
      <c r="Q151" s="55"/>
      <c r="R151" s="55"/>
    </row>
    <row r="152" spans="2:18" outlineLevel="1" x14ac:dyDescent="0.2">
      <c r="B152" s="55"/>
      <c r="C152" s="55"/>
      <c r="D152" s="55"/>
      <c r="E152" s="55"/>
      <c r="F152" s="55"/>
      <c r="G152" s="55"/>
      <c r="H152" s="55"/>
      <c r="I152" s="55"/>
      <c r="J152" s="55"/>
      <c r="K152" s="55"/>
      <c r="L152" s="55"/>
      <c r="M152" s="55"/>
      <c r="N152" s="55"/>
      <c r="O152" s="55"/>
      <c r="P152" s="55"/>
      <c r="Q152" s="55"/>
      <c r="R152" s="55"/>
    </row>
    <row r="153" spans="2:18" outlineLevel="1" x14ac:dyDescent="0.2">
      <c r="B153" s="55"/>
      <c r="C153" s="55"/>
      <c r="D153" s="55"/>
      <c r="E153" s="55"/>
      <c r="F153" s="55"/>
      <c r="G153" s="55"/>
      <c r="H153" s="55"/>
      <c r="I153" s="55"/>
      <c r="J153" s="55"/>
      <c r="K153" s="55"/>
      <c r="L153" s="55"/>
      <c r="M153" s="55"/>
      <c r="N153" s="55"/>
      <c r="O153" s="55"/>
      <c r="P153" s="55"/>
      <c r="Q153" s="55"/>
      <c r="R153" s="55"/>
    </row>
    <row r="154" spans="2:18" outlineLevel="1" x14ac:dyDescent="0.2">
      <c r="B154" s="55"/>
      <c r="C154" s="55"/>
      <c r="D154" s="55"/>
      <c r="E154" s="55"/>
      <c r="F154" s="55"/>
      <c r="G154" s="55"/>
      <c r="H154" s="55"/>
      <c r="I154" s="55"/>
      <c r="J154" s="55"/>
      <c r="K154" s="55"/>
      <c r="L154" s="55"/>
      <c r="M154" s="55"/>
      <c r="N154" s="55"/>
      <c r="O154" s="55"/>
      <c r="P154" s="55"/>
      <c r="Q154" s="55"/>
      <c r="R154" s="55"/>
    </row>
    <row r="155" spans="2:18" outlineLevel="1" x14ac:dyDescent="0.2">
      <c r="B155" s="55"/>
      <c r="C155" s="55"/>
      <c r="D155" s="55"/>
      <c r="E155" s="55"/>
      <c r="F155" s="55"/>
      <c r="G155" s="55"/>
      <c r="H155" s="55"/>
      <c r="I155" s="55"/>
      <c r="J155" s="55"/>
      <c r="K155" s="55"/>
      <c r="L155" s="55"/>
      <c r="M155" s="55"/>
      <c r="N155" s="55"/>
      <c r="O155" s="55"/>
      <c r="P155" s="55"/>
      <c r="Q155" s="55"/>
      <c r="R155" s="55"/>
    </row>
    <row r="156" spans="2:18" outlineLevel="1" x14ac:dyDescent="0.2">
      <c r="B156" s="55"/>
      <c r="C156" s="55"/>
      <c r="D156" s="55"/>
      <c r="E156" s="55"/>
      <c r="F156" s="55"/>
      <c r="G156" s="55"/>
      <c r="H156" s="55"/>
      <c r="I156" s="55"/>
      <c r="J156" s="55"/>
      <c r="K156" s="55"/>
      <c r="L156" s="55"/>
      <c r="M156" s="55"/>
      <c r="N156" s="55"/>
      <c r="O156" s="55"/>
      <c r="P156" s="55"/>
      <c r="Q156" s="55"/>
      <c r="R156" s="55"/>
    </row>
    <row r="157" spans="2:18" outlineLevel="1" x14ac:dyDescent="0.2">
      <c r="B157" s="55"/>
      <c r="C157" s="55"/>
      <c r="D157" s="55"/>
      <c r="E157" s="55"/>
      <c r="F157" s="55"/>
      <c r="G157" s="55"/>
      <c r="H157" s="55"/>
      <c r="I157" s="55"/>
      <c r="J157" s="55"/>
      <c r="K157" s="55"/>
      <c r="L157" s="55"/>
      <c r="M157" s="55"/>
      <c r="N157" s="55"/>
      <c r="O157" s="55"/>
      <c r="P157" s="55"/>
      <c r="Q157" s="55"/>
      <c r="R157" s="55"/>
    </row>
    <row r="158" spans="2:18" outlineLevel="1" x14ac:dyDescent="0.2">
      <c r="B158" s="55"/>
      <c r="C158" s="55"/>
      <c r="D158" s="55"/>
      <c r="E158" s="55"/>
      <c r="F158" s="55"/>
      <c r="G158" s="55"/>
      <c r="H158" s="55"/>
      <c r="I158" s="55"/>
      <c r="J158" s="55"/>
      <c r="K158" s="55"/>
      <c r="L158" s="55"/>
      <c r="M158" s="55"/>
      <c r="N158" s="55"/>
      <c r="O158" s="55"/>
      <c r="P158" s="55"/>
      <c r="Q158" s="55"/>
      <c r="R158" s="55"/>
    </row>
    <row r="159" spans="2:18" outlineLevel="1" x14ac:dyDescent="0.2">
      <c r="B159" s="55"/>
      <c r="C159" s="55"/>
      <c r="D159" s="55"/>
      <c r="E159" s="55"/>
      <c r="F159" s="55"/>
      <c r="G159" s="55"/>
      <c r="H159" s="55"/>
      <c r="I159" s="55"/>
      <c r="J159" s="55"/>
      <c r="K159" s="55"/>
      <c r="L159" s="55"/>
      <c r="M159" s="55"/>
      <c r="N159" s="55"/>
      <c r="O159" s="55"/>
      <c r="P159" s="55"/>
      <c r="Q159" s="55"/>
      <c r="R159" s="55"/>
    </row>
    <row r="160" spans="2:18" outlineLevel="1" x14ac:dyDescent="0.2">
      <c r="B160" s="55"/>
      <c r="C160" s="55"/>
      <c r="D160" s="55"/>
      <c r="E160" s="55"/>
      <c r="F160" s="55"/>
      <c r="G160" s="55"/>
      <c r="H160" s="55"/>
      <c r="I160" s="55"/>
      <c r="J160" s="55"/>
      <c r="K160" s="55"/>
      <c r="L160" s="55"/>
      <c r="M160" s="55"/>
      <c r="N160" s="55"/>
      <c r="O160" s="55"/>
      <c r="P160" s="55"/>
      <c r="Q160" s="55"/>
      <c r="R160" s="55"/>
    </row>
    <row r="161" spans="2:18" outlineLevel="1" x14ac:dyDescent="0.2">
      <c r="B161" s="55"/>
      <c r="C161" s="55"/>
      <c r="D161" s="55"/>
      <c r="E161" s="55"/>
      <c r="F161" s="55"/>
      <c r="G161" s="55"/>
      <c r="H161" s="55"/>
      <c r="I161" s="55"/>
      <c r="J161" s="55"/>
      <c r="K161" s="55"/>
      <c r="L161" s="55"/>
      <c r="M161" s="55"/>
      <c r="N161" s="55"/>
      <c r="O161" s="55"/>
      <c r="P161" s="55"/>
      <c r="Q161" s="55"/>
      <c r="R161" s="55"/>
    </row>
    <row r="162" spans="2:18" outlineLevel="1" x14ac:dyDescent="0.2">
      <c r="B162" s="55"/>
      <c r="C162" s="55"/>
      <c r="D162" s="55"/>
      <c r="E162" s="55"/>
      <c r="F162" s="55"/>
      <c r="G162" s="55"/>
      <c r="H162" s="55"/>
      <c r="I162" s="55"/>
      <c r="J162" s="55"/>
      <c r="K162" s="55"/>
      <c r="L162" s="55"/>
      <c r="M162" s="55"/>
      <c r="N162" s="55"/>
      <c r="O162" s="55"/>
      <c r="P162" s="55"/>
      <c r="Q162" s="55"/>
      <c r="R162" s="55"/>
    </row>
    <row r="163" spans="2:18" outlineLevel="1" x14ac:dyDescent="0.2">
      <c r="B163" s="55"/>
      <c r="C163" s="55"/>
      <c r="D163" s="55"/>
      <c r="E163" s="55"/>
      <c r="F163" s="55"/>
      <c r="G163" s="55"/>
      <c r="H163" s="55"/>
      <c r="I163" s="55"/>
      <c r="J163" s="55"/>
      <c r="K163" s="55"/>
      <c r="L163" s="55"/>
      <c r="M163" s="55"/>
      <c r="N163" s="55"/>
      <c r="O163" s="55"/>
      <c r="P163" s="55"/>
      <c r="Q163" s="55"/>
      <c r="R163" s="55"/>
    </row>
    <row r="164" spans="2:18" outlineLevel="1" x14ac:dyDescent="0.2">
      <c r="B164" s="55"/>
      <c r="C164" s="55"/>
      <c r="D164" s="55"/>
      <c r="E164" s="55"/>
      <c r="F164" s="55"/>
      <c r="G164" s="55"/>
      <c r="H164" s="55"/>
      <c r="I164" s="55"/>
      <c r="J164" s="55"/>
      <c r="K164" s="55"/>
      <c r="L164" s="55"/>
      <c r="M164" s="55"/>
      <c r="N164" s="55"/>
      <c r="O164" s="55"/>
      <c r="P164" s="55"/>
      <c r="Q164" s="55"/>
      <c r="R164" s="55"/>
    </row>
    <row r="165" spans="2:18" outlineLevel="1" x14ac:dyDescent="0.2">
      <c r="B165" s="55"/>
      <c r="C165" s="55"/>
      <c r="D165" s="55"/>
      <c r="E165" s="55"/>
      <c r="F165" s="55"/>
      <c r="G165" s="55"/>
      <c r="H165" s="55"/>
      <c r="I165" s="55"/>
      <c r="J165" s="55"/>
      <c r="K165" s="55"/>
      <c r="L165" s="55"/>
      <c r="M165" s="55"/>
      <c r="N165" s="55"/>
      <c r="O165" s="55"/>
      <c r="P165" s="55"/>
      <c r="Q165" s="55"/>
      <c r="R165" s="55"/>
    </row>
    <row r="166" spans="2:18" outlineLevel="1" x14ac:dyDescent="0.2">
      <c r="B166" s="55"/>
      <c r="C166" s="55"/>
      <c r="D166" s="55"/>
      <c r="E166" s="55"/>
      <c r="F166" s="55"/>
      <c r="G166" s="55"/>
      <c r="H166" s="55"/>
      <c r="I166" s="55"/>
      <c r="J166" s="55"/>
      <c r="K166" s="55"/>
      <c r="L166" s="55"/>
      <c r="M166" s="55"/>
      <c r="N166" s="55"/>
      <c r="O166" s="55"/>
      <c r="P166" s="55"/>
      <c r="Q166" s="55"/>
      <c r="R166" s="55"/>
    </row>
    <row r="167" spans="2:18" outlineLevel="1" x14ac:dyDescent="0.2">
      <c r="B167" s="55"/>
      <c r="C167" s="55"/>
      <c r="D167" s="55"/>
      <c r="E167" s="55"/>
      <c r="F167" s="55"/>
      <c r="G167" s="55"/>
      <c r="H167" s="55"/>
      <c r="I167" s="55"/>
      <c r="J167" s="55"/>
      <c r="K167" s="55"/>
      <c r="L167" s="55"/>
      <c r="M167" s="55"/>
      <c r="N167" s="55"/>
      <c r="O167" s="55"/>
      <c r="P167" s="55"/>
      <c r="Q167" s="55"/>
      <c r="R167" s="55"/>
    </row>
    <row r="168" spans="2:18" outlineLevel="1" x14ac:dyDescent="0.2">
      <c r="B168" s="55"/>
      <c r="C168" s="55"/>
      <c r="D168" s="55"/>
      <c r="E168" s="55"/>
      <c r="F168" s="55"/>
      <c r="G168" s="55"/>
      <c r="H168" s="55"/>
      <c r="I168" s="55"/>
      <c r="J168" s="55"/>
      <c r="K168" s="55"/>
      <c r="L168" s="55"/>
      <c r="M168" s="55"/>
      <c r="N168" s="55"/>
      <c r="O168" s="55"/>
      <c r="P168" s="55"/>
      <c r="Q168" s="55"/>
      <c r="R168" s="55"/>
    </row>
    <row r="169" spans="2:18" outlineLevel="1" x14ac:dyDescent="0.2">
      <c r="B169" s="55"/>
      <c r="C169" s="55"/>
      <c r="D169" s="55"/>
      <c r="E169" s="55"/>
      <c r="F169" s="55"/>
      <c r="G169" s="55"/>
      <c r="H169" s="55"/>
      <c r="I169" s="55"/>
      <c r="J169" s="55"/>
      <c r="K169" s="55"/>
      <c r="L169" s="55"/>
      <c r="M169" s="55"/>
      <c r="N169" s="55"/>
      <c r="O169" s="55"/>
      <c r="P169" s="55"/>
      <c r="Q169" s="55"/>
      <c r="R169" s="55"/>
    </row>
    <row r="170" spans="2:18" outlineLevel="1" x14ac:dyDescent="0.2">
      <c r="B170" s="55"/>
      <c r="C170" s="55"/>
      <c r="D170" s="55"/>
      <c r="E170" s="55"/>
      <c r="F170" s="55"/>
      <c r="G170" s="55"/>
      <c r="H170" s="55"/>
      <c r="I170" s="55"/>
      <c r="J170" s="55"/>
      <c r="K170" s="55"/>
      <c r="L170" s="55"/>
      <c r="M170" s="55"/>
      <c r="N170" s="55"/>
      <c r="O170" s="55"/>
      <c r="P170" s="55"/>
      <c r="Q170" s="55"/>
      <c r="R170" s="55"/>
    </row>
    <row r="171" spans="2:18" outlineLevel="1" x14ac:dyDescent="0.2">
      <c r="B171" s="55"/>
      <c r="C171" s="55"/>
      <c r="D171" s="55"/>
      <c r="E171" s="55"/>
      <c r="F171" s="55"/>
      <c r="G171" s="55"/>
      <c r="H171" s="55"/>
      <c r="I171" s="55"/>
      <c r="J171" s="55"/>
      <c r="K171" s="55"/>
      <c r="L171" s="55"/>
      <c r="M171" s="55"/>
      <c r="N171" s="55"/>
      <c r="O171" s="55"/>
      <c r="P171" s="55"/>
      <c r="Q171" s="55"/>
      <c r="R171" s="55"/>
    </row>
    <row r="172" spans="2:18" outlineLevel="1" x14ac:dyDescent="0.2">
      <c r="B172" s="55"/>
      <c r="C172" s="55"/>
      <c r="D172" s="55"/>
      <c r="E172" s="55"/>
      <c r="F172" s="55"/>
      <c r="G172" s="55"/>
      <c r="H172" s="55"/>
      <c r="I172" s="55"/>
      <c r="J172" s="55"/>
      <c r="K172" s="55"/>
      <c r="L172" s="55"/>
      <c r="M172" s="55"/>
      <c r="N172" s="55"/>
      <c r="O172" s="55"/>
      <c r="P172" s="55"/>
      <c r="Q172" s="55"/>
      <c r="R172" s="55"/>
    </row>
    <row r="173" spans="2:18" outlineLevel="1" x14ac:dyDescent="0.2">
      <c r="B173" s="55"/>
      <c r="C173" s="55"/>
      <c r="D173" s="55"/>
      <c r="E173" s="55"/>
      <c r="F173" s="55"/>
      <c r="G173" s="55"/>
      <c r="H173" s="55"/>
      <c r="I173" s="55"/>
      <c r="J173" s="55"/>
      <c r="K173" s="55"/>
      <c r="L173" s="55"/>
      <c r="M173" s="55"/>
      <c r="N173" s="55"/>
      <c r="O173" s="55"/>
      <c r="P173" s="55"/>
      <c r="Q173" s="55"/>
      <c r="R173" s="55"/>
    </row>
    <row r="174" spans="2:18" outlineLevel="1" x14ac:dyDescent="0.2">
      <c r="B174" s="55"/>
      <c r="C174" s="55"/>
      <c r="D174" s="55"/>
      <c r="E174" s="55"/>
      <c r="F174" s="55"/>
      <c r="G174" s="55"/>
      <c r="H174" s="55"/>
      <c r="I174" s="55"/>
      <c r="J174" s="55"/>
      <c r="K174" s="55"/>
      <c r="L174" s="55"/>
      <c r="M174" s="55"/>
      <c r="N174" s="55"/>
      <c r="O174" s="55"/>
      <c r="P174" s="55"/>
      <c r="Q174" s="55"/>
      <c r="R174" s="55"/>
    </row>
    <row r="175" spans="2:18" outlineLevel="1" x14ac:dyDescent="0.2">
      <c r="B175" s="55"/>
      <c r="C175" s="55"/>
      <c r="D175" s="55"/>
      <c r="E175" s="55"/>
      <c r="F175" s="55"/>
      <c r="G175" s="55"/>
      <c r="H175" s="55"/>
      <c r="I175" s="55"/>
      <c r="J175" s="55"/>
      <c r="K175" s="55"/>
      <c r="L175" s="55"/>
      <c r="M175" s="55"/>
      <c r="N175" s="55"/>
      <c r="O175" s="55"/>
      <c r="P175" s="55"/>
      <c r="Q175" s="55"/>
      <c r="R175" s="55"/>
    </row>
    <row r="176" spans="2:18" outlineLevel="1" x14ac:dyDescent="0.2">
      <c r="B176" s="55"/>
      <c r="C176" s="55"/>
      <c r="D176" s="55"/>
      <c r="E176" s="55"/>
      <c r="F176" s="55"/>
      <c r="G176" s="55"/>
      <c r="H176" s="55"/>
      <c r="I176" s="55"/>
      <c r="J176" s="55"/>
      <c r="K176" s="55"/>
      <c r="L176" s="55"/>
      <c r="M176" s="55"/>
      <c r="N176" s="55"/>
      <c r="O176" s="55"/>
      <c r="P176" s="55"/>
      <c r="Q176" s="55"/>
      <c r="R176" s="55"/>
    </row>
    <row r="177" spans="2:18" outlineLevel="1" x14ac:dyDescent="0.2">
      <c r="B177" s="55"/>
      <c r="C177" s="55"/>
      <c r="D177" s="55"/>
      <c r="E177" s="55"/>
      <c r="F177" s="55"/>
      <c r="G177" s="55"/>
      <c r="H177" s="55"/>
      <c r="I177" s="55"/>
      <c r="J177" s="55"/>
      <c r="K177" s="55"/>
      <c r="L177" s="55"/>
      <c r="M177" s="55"/>
      <c r="N177" s="55"/>
      <c r="O177" s="55"/>
      <c r="P177" s="55"/>
      <c r="Q177" s="55"/>
      <c r="R177" s="55"/>
    </row>
    <row r="178" spans="2:18" outlineLevel="1" x14ac:dyDescent="0.2">
      <c r="B178" s="55"/>
      <c r="C178" s="55"/>
      <c r="D178" s="55"/>
      <c r="E178" s="55"/>
      <c r="F178" s="55"/>
      <c r="G178" s="55"/>
      <c r="H178" s="55"/>
      <c r="I178" s="55"/>
      <c r="J178" s="55"/>
      <c r="K178" s="55"/>
      <c r="L178" s="55"/>
      <c r="M178" s="55"/>
      <c r="N178" s="55"/>
      <c r="O178" s="55"/>
      <c r="P178" s="55"/>
      <c r="Q178" s="55"/>
      <c r="R178" s="55"/>
    </row>
    <row r="179" spans="2:18" outlineLevel="1" x14ac:dyDescent="0.2">
      <c r="B179" s="55"/>
      <c r="C179" s="55"/>
      <c r="D179" s="55"/>
      <c r="E179" s="55"/>
      <c r="F179" s="55"/>
      <c r="G179" s="55"/>
      <c r="H179" s="55"/>
      <c r="I179" s="55"/>
      <c r="J179" s="55"/>
      <c r="K179" s="55"/>
      <c r="L179" s="55"/>
      <c r="M179" s="55"/>
      <c r="N179" s="55"/>
      <c r="O179" s="55"/>
      <c r="P179" s="55"/>
      <c r="Q179" s="55"/>
      <c r="R179" s="55"/>
    </row>
    <row r="180" spans="2:18" outlineLevel="1" x14ac:dyDescent="0.2">
      <c r="B180" s="55"/>
      <c r="C180" s="55"/>
      <c r="D180" s="55"/>
      <c r="E180" s="55"/>
      <c r="F180" s="55"/>
      <c r="G180" s="55"/>
      <c r="H180" s="55"/>
      <c r="I180" s="55"/>
      <c r="J180" s="55"/>
      <c r="K180" s="55"/>
      <c r="L180" s="55"/>
      <c r="M180" s="55"/>
      <c r="N180" s="55"/>
      <c r="O180" s="55"/>
      <c r="P180" s="55"/>
      <c r="Q180" s="55"/>
      <c r="R180" s="55"/>
    </row>
    <row r="181" spans="2:18" outlineLevel="1" x14ac:dyDescent="0.2">
      <c r="B181" s="55"/>
      <c r="C181" s="55"/>
      <c r="D181" s="55"/>
      <c r="E181" s="55"/>
      <c r="F181" s="55"/>
      <c r="G181" s="55"/>
      <c r="H181" s="55"/>
      <c r="I181" s="55"/>
      <c r="J181" s="55"/>
      <c r="K181" s="55"/>
      <c r="L181" s="55"/>
      <c r="M181" s="55"/>
      <c r="N181" s="55"/>
      <c r="O181" s="55"/>
      <c r="P181" s="55"/>
      <c r="Q181" s="55"/>
      <c r="R181" s="55"/>
    </row>
    <row r="182" spans="2:18" outlineLevel="1" x14ac:dyDescent="0.2">
      <c r="B182" s="55"/>
      <c r="C182" s="55"/>
      <c r="D182" s="55"/>
      <c r="E182" s="55"/>
      <c r="F182" s="55"/>
      <c r="G182" s="55"/>
      <c r="H182" s="55"/>
      <c r="I182" s="55"/>
      <c r="J182" s="55"/>
      <c r="K182" s="55"/>
      <c r="L182" s="55"/>
      <c r="M182" s="55"/>
      <c r="N182" s="55"/>
      <c r="O182" s="55"/>
      <c r="P182" s="55"/>
      <c r="Q182" s="55"/>
      <c r="R182" s="55"/>
    </row>
    <row r="183" spans="2:18" outlineLevel="1" x14ac:dyDescent="0.2">
      <c r="B183" s="55"/>
      <c r="C183" s="55"/>
      <c r="D183" s="55"/>
      <c r="E183" s="55"/>
      <c r="F183" s="55"/>
      <c r="G183" s="55"/>
      <c r="H183" s="55"/>
      <c r="I183" s="55"/>
      <c r="J183" s="55"/>
      <c r="K183" s="55"/>
      <c r="L183" s="55"/>
      <c r="M183" s="55"/>
      <c r="N183" s="55"/>
      <c r="O183" s="55"/>
      <c r="P183" s="55"/>
      <c r="Q183" s="55"/>
      <c r="R183" s="55"/>
    </row>
    <row r="184" spans="2:18" outlineLevel="1" x14ac:dyDescent="0.2">
      <c r="B184" s="55"/>
      <c r="C184" s="55"/>
      <c r="D184" s="55"/>
      <c r="E184" s="55"/>
      <c r="F184" s="55"/>
      <c r="G184" s="55"/>
      <c r="H184" s="55"/>
      <c r="I184" s="55"/>
      <c r="J184" s="55"/>
      <c r="K184" s="55"/>
      <c r="L184" s="55"/>
      <c r="M184" s="55"/>
      <c r="N184" s="55"/>
      <c r="O184" s="55"/>
      <c r="P184" s="55"/>
      <c r="Q184" s="55"/>
      <c r="R184" s="55"/>
    </row>
    <row r="185" spans="2:18" outlineLevel="1" x14ac:dyDescent="0.2">
      <c r="B185" s="55"/>
      <c r="C185" s="55"/>
      <c r="D185" s="55"/>
      <c r="E185" s="55"/>
      <c r="F185" s="55"/>
      <c r="G185" s="55"/>
      <c r="H185" s="55"/>
      <c r="I185" s="55"/>
      <c r="J185" s="55"/>
      <c r="K185" s="55"/>
      <c r="L185" s="55"/>
      <c r="M185" s="55"/>
      <c r="N185" s="55"/>
      <c r="O185" s="55"/>
      <c r="P185" s="55"/>
      <c r="Q185" s="55"/>
      <c r="R185" s="55"/>
    </row>
    <row r="186" spans="2:18" outlineLevel="1" x14ac:dyDescent="0.2">
      <c r="B186" s="55"/>
      <c r="C186" s="55"/>
      <c r="D186" s="55"/>
      <c r="E186" s="55"/>
      <c r="F186" s="55"/>
      <c r="G186" s="55"/>
      <c r="H186" s="55"/>
      <c r="I186" s="55"/>
      <c r="J186" s="55"/>
      <c r="K186" s="55"/>
      <c r="L186" s="55"/>
      <c r="M186" s="55"/>
      <c r="N186" s="55"/>
      <c r="O186" s="55"/>
      <c r="P186" s="55"/>
      <c r="Q186" s="55"/>
      <c r="R186" s="55"/>
    </row>
    <row r="187" spans="2:18" outlineLevel="1" x14ac:dyDescent="0.2">
      <c r="B187" s="55"/>
      <c r="C187" s="55"/>
      <c r="D187" s="55"/>
      <c r="E187" s="55"/>
      <c r="F187" s="55"/>
      <c r="G187" s="55"/>
      <c r="H187" s="55"/>
      <c r="I187" s="55"/>
      <c r="J187" s="55"/>
      <c r="K187" s="55"/>
      <c r="L187" s="55"/>
      <c r="M187" s="55"/>
      <c r="N187" s="55"/>
      <c r="O187" s="55"/>
      <c r="P187" s="55"/>
      <c r="Q187" s="55"/>
      <c r="R187" s="55"/>
    </row>
    <row r="188" spans="2:18" outlineLevel="1" x14ac:dyDescent="0.2">
      <c r="B188" s="55"/>
      <c r="C188" s="55"/>
      <c r="D188" s="55"/>
      <c r="E188" s="55"/>
      <c r="F188" s="55"/>
      <c r="G188" s="55"/>
      <c r="H188" s="55"/>
      <c r="I188" s="55"/>
      <c r="J188" s="55"/>
      <c r="K188" s="55"/>
      <c r="L188" s="55"/>
      <c r="M188" s="55"/>
      <c r="N188" s="55"/>
      <c r="O188" s="55"/>
      <c r="P188" s="55"/>
      <c r="Q188" s="55"/>
      <c r="R188" s="55"/>
    </row>
    <row r="189" spans="2:18" outlineLevel="1" x14ac:dyDescent="0.2">
      <c r="B189" s="55"/>
      <c r="C189" s="55"/>
      <c r="D189" s="55"/>
      <c r="E189" s="55"/>
      <c r="F189" s="55"/>
      <c r="G189" s="55"/>
      <c r="H189" s="55"/>
      <c r="I189" s="55"/>
      <c r="J189" s="55"/>
      <c r="K189" s="55"/>
      <c r="L189" s="55"/>
      <c r="M189" s="55"/>
      <c r="N189" s="55"/>
      <c r="O189" s="55"/>
      <c r="P189" s="55"/>
      <c r="Q189" s="55"/>
      <c r="R189" s="55"/>
    </row>
    <row r="190" spans="2:18" outlineLevel="1" x14ac:dyDescent="0.2">
      <c r="B190" s="55"/>
      <c r="C190" s="55"/>
      <c r="D190" s="55"/>
      <c r="E190" s="55"/>
      <c r="F190" s="55"/>
      <c r="G190" s="55"/>
      <c r="H190" s="55"/>
      <c r="I190" s="55"/>
      <c r="J190" s="55"/>
      <c r="K190" s="55"/>
      <c r="L190" s="55"/>
      <c r="M190" s="55"/>
      <c r="N190" s="55"/>
      <c r="O190" s="55"/>
      <c r="P190" s="55"/>
      <c r="Q190" s="55"/>
      <c r="R190" s="55"/>
    </row>
    <row r="191" spans="2:18" outlineLevel="1" x14ac:dyDescent="0.2">
      <c r="B191" s="370"/>
      <c r="C191" s="370"/>
      <c r="D191" s="370"/>
      <c r="E191" s="370"/>
      <c r="F191" s="370"/>
      <c r="G191" s="370"/>
      <c r="H191" s="370"/>
      <c r="I191" s="370"/>
      <c r="J191" s="370"/>
      <c r="K191" s="370"/>
      <c r="L191" s="370"/>
      <c r="M191" s="370"/>
      <c r="N191" s="370"/>
      <c r="O191" s="370"/>
      <c r="P191" s="370"/>
      <c r="Q191" s="370"/>
      <c r="R191" s="370"/>
    </row>
    <row r="192" spans="2:18" outlineLevel="1" x14ac:dyDescent="0.2">
      <c r="B192" s="370"/>
      <c r="C192" s="370"/>
      <c r="D192" s="370"/>
      <c r="E192" s="370"/>
      <c r="F192" s="370"/>
      <c r="G192" s="370"/>
      <c r="H192" s="370"/>
      <c r="I192" s="370"/>
      <c r="J192" s="370"/>
      <c r="K192" s="370"/>
      <c r="L192" s="370"/>
      <c r="M192" s="370"/>
      <c r="N192" s="370"/>
      <c r="O192" s="370"/>
      <c r="P192" s="370"/>
      <c r="Q192" s="370"/>
      <c r="R192" s="370"/>
    </row>
    <row r="193" outlineLevel="1" x14ac:dyDescent="0.2"/>
    <row r="194" outlineLevel="1" x14ac:dyDescent="0.2"/>
    <row r="195" outlineLevel="1" x14ac:dyDescent="0.2"/>
    <row r="196" outlineLevel="1" x14ac:dyDescent="0.2"/>
    <row r="197" outlineLevel="1" x14ac:dyDescent="0.2"/>
    <row r="198" outlineLevel="1" x14ac:dyDescent="0.2"/>
    <row r="199" outlineLevel="1" x14ac:dyDescent="0.2"/>
    <row r="200" outlineLevel="1" x14ac:dyDescent="0.2"/>
  </sheetData>
  <sheetProtection sheet="1" objects="1" scenarios="1"/>
  <customSheetViews>
    <customSheetView guid="{782F5CFE-DE26-4D5A-B82E-30A424B0A39B}" scale="70" fitToPage="1" hiddenRows="1" state="hidden" topLeftCell="A19">
      <selection activeCell="E25" sqref="E25"/>
      <pageMargins left="0.25" right="0.25" top="0.75" bottom="0.75" header="0.3" footer="0.3"/>
      <printOptions headings="1" gridLines="1"/>
      <pageSetup paperSize="5" scale="48" orientation="portrait" r:id="rId1"/>
    </customSheetView>
    <customSheetView guid="{88B031DE-0423-45A5-B384-E560A52FDD07}" scale="70" fitToPage="1" hiddenRows="1" state="hidden" topLeftCell="A19">
      <selection activeCell="E25" sqref="E25"/>
      <pageMargins left="0.25" right="0.25" top="0.75" bottom="0.75" header="0.3" footer="0.3"/>
      <printOptions headings="1" gridLines="1"/>
      <pageSetup paperSize="5" scale="48" orientation="portrait" r:id="rId2"/>
    </customSheetView>
    <customSheetView guid="{D5524E47-947F-4D9F-AE8B-3F0380261994}" scale="70" fitToPage="1" hiddenRows="1" state="hidden" topLeftCell="A19">
      <selection activeCell="E25" sqref="E25"/>
      <pageMargins left="0.25" right="0.25" top="0.75" bottom="0.75" header="0.3" footer="0.3"/>
      <printOptions headings="1" gridLines="1"/>
      <pageSetup paperSize="5" scale="48" orientation="portrait" r:id="rId3"/>
    </customSheetView>
    <customSheetView guid="{9BF7FAF1-D686-4A6B-A2BE-0DAD43841920}" scale="70" fitToPage="1" hiddenRows="1" state="hidden" topLeftCell="A19">
      <selection activeCell="E25" sqref="E25"/>
      <pageMargins left="0.25" right="0.25" top="0.75" bottom="0.75" header="0.3" footer="0.3"/>
      <printOptions headings="1" gridLines="1"/>
      <pageSetup paperSize="5" scale="48" orientation="portrait" r:id="rId4"/>
    </customSheetView>
  </customSheetViews>
  <mergeCells count="1">
    <mergeCell ref="C1:E1"/>
  </mergeCells>
  <printOptions headings="1" gridLines="1"/>
  <pageMargins left="0.25" right="0.25" top="0.75" bottom="0.75" header="0.3" footer="0.3"/>
  <pageSetup paperSize="5" scale="22"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F20"/>
  <sheetViews>
    <sheetView workbookViewId="0"/>
  </sheetViews>
  <sheetFormatPr defaultRowHeight="12.75" x14ac:dyDescent="0.2"/>
  <cols>
    <col min="1" max="1" width="10.140625" bestFit="1" customWidth="1"/>
    <col min="2" max="2" width="23.140625" bestFit="1" customWidth="1"/>
    <col min="4" max="4" width="14.7109375" bestFit="1" customWidth="1"/>
    <col min="5" max="5" width="82.5703125" bestFit="1" customWidth="1"/>
    <col min="6" max="6" width="43.140625" bestFit="1" customWidth="1"/>
  </cols>
  <sheetData>
    <row r="1" spans="1:6" x14ac:dyDescent="0.2">
      <c r="A1" s="72" t="s">
        <v>464</v>
      </c>
      <c r="B1" s="72" t="s">
        <v>474</v>
      </c>
      <c r="C1" s="72" t="s">
        <v>456</v>
      </c>
      <c r="D1" s="72" t="s">
        <v>458</v>
      </c>
      <c r="E1" s="72" t="s">
        <v>459</v>
      </c>
      <c r="F1" s="72" t="s">
        <v>462</v>
      </c>
    </row>
    <row r="2" spans="1:6" x14ac:dyDescent="0.2">
      <c r="A2" s="237">
        <v>42216</v>
      </c>
      <c r="B2" s="239" t="s">
        <v>476</v>
      </c>
      <c r="C2" s="72" t="s">
        <v>457</v>
      </c>
      <c r="D2" s="72" t="s">
        <v>460</v>
      </c>
      <c r="E2" s="72" t="s">
        <v>461</v>
      </c>
      <c r="F2" s="72" t="s">
        <v>463</v>
      </c>
    </row>
    <row r="3" spans="1:6" x14ac:dyDescent="0.2">
      <c r="A3" s="237">
        <v>42315</v>
      </c>
      <c r="B3" s="239" t="s">
        <v>475</v>
      </c>
      <c r="C3" s="72" t="s">
        <v>466</v>
      </c>
      <c r="D3" s="72" t="s">
        <v>467</v>
      </c>
      <c r="E3" s="72" t="s">
        <v>468</v>
      </c>
      <c r="F3" s="72" t="s">
        <v>469</v>
      </c>
    </row>
    <row r="4" spans="1:6" x14ac:dyDescent="0.2">
      <c r="A4" s="237">
        <v>42315</v>
      </c>
      <c r="B4" s="239" t="s">
        <v>475</v>
      </c>
      <c r="C4" s="72" t="s">
        <v>470</v>
      </c>
      <c r="D4" s="238" t="s">
        <v>471</v>
      </c>
      <c r="E4" s="238" t="s">
        <v>472</v>
      </c>
      <c r="F4" s="72" t="s">
        <v>473</v>
      </c>
    </row>
    <row r="5" spans="1:6" x14ac:dyDescent="0.2">
      <c r="A5" s="237">
        <v>42319</v>
      </c>
      <c r="B5" s="239" t="s">
        <v>476</v>
      </c>
      <c r="C5" s="72" t="s">
        <v>479</v>
      </c>
      <c r="D5" s="245" t="s">
        <v>480</v>
      </c>
      <c r="E5" s="245" t="s">
        <v>481</v>
      </c>
      <c r="F5" s="72" t="s">
        <v>482</v>
      </c>
    </row>
    <row r="6" spans="1:6" x14ac:dyDescent="0.2">
      <c r="A6" s="237">
        <v>42319</v>
      </c>
      <c r="B6" s="239" t="s">
        <v>483</v>
      </c>
      <c r="C6" s="72" t="s">
        <v>484</v>
      </c>
      <c r="D6" s="72" t="s">
        <v>485</v>
      </c>
      <c r="E6" s="72" t="s">
        <v>485</v>
      </c>
      <c r="F6" s="72" t="s">
        <v>486</v>
      </c>
    </row>
    <row r="7" spans="1:6" x14ac:dyDescent="0.2">
      <c r="A7" s="72" t="s">
        <v>490</v>
      </c>
      <c r="B7" s="239" t="s">
        <v>475</v>
      </c>
      <c r="C7" s="72" t="s">
        <v>487</v>
      </c>
      <c r="D7" s="72" t="s">
        <v>488</v>
      </c>
      <c r="E7" s="246" t="s">
        <v>525</v>
      </c>
      <c r="F7" s="72" t="s">
        <v>489</v>
      </c>
    </row>
    <row r="8" spans="1:6" x14ac:dyDescent="0.2">
      <c r="A8" s="237">
        <v>42345</v>
      </c>
      <c r="B8" t="s">
        <v>513</v>
      </c>
      <c r="C8" s="72" t="s">
        <v>514</v>
      </c>
      <c r="D8" s="72" t="s">
        <v>514</v>
      </c>
      <c r="E8" s="72" t="s">
        <v>514</v>
      </c>
      <c r="F8" s="72" t="s">
        <v>515</v>
      </c>
    </row>
    <row r="9" spans="1:6" x14ac:dyDescent="0.2">
      <c r="A9" s="237">
        <v>42345</v>
      </c>
      <c r="B9" s="239" t="s">
        <v>516</v>
      </c>
      <c r="C9" s="72" t="s">
        <v>517</v>
      </c>
      <c r="D9" s="72" t="s">
        <v>518</v>
      </c>
      <c r="F9" s="72" t="s">
        <v>524</v>
      </c>
    </row>
    <row r="10" spans="1:6" x14ac:dyDescent="0.2">
      <c r="A10" s="237">
        <v>42345</v>
      </c>
      <c r="B10" s="239" t="s">
        <v>516</v>
      </c>
      <c r="C10" s="72" t="s">
        <v>520</v>
      </c>
      <c r="D10" s="246" t="s">
        <v>519</v>
      </c>
      <c r="E10" s="246" t="s">
        <v>526</v>
      </c>
      <c r="F10" s="72" t="s">
        <v>524</v>
      </c>
    </row>
    <row r="11" spans="1:6" x14ac:dyDescent="0.2">
      <c r="A11" s="237">
        <v>42345</v>
      </c>
      <c r="B11" s="239" t="s">
        <v>475</v>
      </c>
      <c r="C11" s="72" t="s">
        <v>521</v>
      </c>
      <c r="D11" s="72" t="s">
        <v>522</v>
      </c>
      <c r="E11" s="246" t="s">
        <v>523</v>
      </c>
      <c r="F11" s="72" t="s">
        <v>524</v>
      </c>
    </row>
    <row r="12" spans="1:6" x14ac:dyDescent="0.2">
      <c r="A12" s="237">
        <v>42369</v>
      </c>
      <c r="B12" s="239" t="s">
        <v>528</v>
      </c>
      <c r="C12" s="72" t="s">
        <v>529</v>
      </c>
      <c r="D12" s="72" t="s">
        <v>467</v>
      </c>
      <c r="E12" s="72" t="s">
        <v>530</v>
      </c>
      <c r="F12" s="72" t="s">
        <v>532</v>
      </c>
    </row>
    <row r="13" spans="1:6" x14ac:dyDescent="0.2">
      <c r="A13" s="237">
        <v>42369</v>
      </c>
      <c r="B13" s="239" t="s">
        <v>475</v>
      </c>
      <c r="C13" s="72" t="s">
        <v>487</v>
      </c>
      <c r="D13" s="72" t="s">
        <v>531</v>
      </c>
      <c r="E13" s="72" t="s">
        <v>530</v>
      </c>
      <c r="F13" s="72" t="s">
        <v>532</v>
      </c>
    </row>
    <row r="14" spans="1:6" x14ac:dyDescent="0.2">
      <c r="A14" s="237">
        <v>43235</v>
      </c>
      <c r="F14" s="72" t="s">
        <v>629</v>
      </c>
    </row>
    <row r="18" spans="1:1" x14ac:dyDescent="0.2">
      <c r="A18" s="439" t="s">
        <v>574</v>
      </c>
    </row>
    <row r="19" spans="1:1" x14ac:dyDescent="0.2">
      <c r="A19" s="72" t="s">
        <v>575</v>
      </c>
    </row>
    <row r="20" spans="1:1" x14ac:dyDescent="0.2">
      <c r="A20" s="72" t="s">
        <v>576</v>
      </c>
    </row>
  </sheetData>
  <customSheetViews>
    <customSheetView guid="{782F5CFE-DE26-4D5A-B82E-30A424B0A39B}">
      <selection activeCell="C36" sqref="C36"/>
      <pageMargins left="0.7" right="0.7" top="0.75" bottom="0.75" header="0.3" footer="0.3"/>
    </customSheetView>
    <customSheetView guid="{88B031DE-0423-45A5-B384-E560A52FDD07}">
      <selection activeCell="C36" sqref="C36"/>
      <pageMargins left="0.7" right="0.7" top="0.75" bottom="0.75" header="0.3" footer="0.3"/>
    </customSheetView>
    <customSheetView guid="{D5524E47-947F-4D9F-AE8B-3F0380261994}">
      <selection activeCell="C36" sqref="C36"/>
      <pageMargins left="0.7" right="0.7" top="0.75" bottom="0.75" header="0.3" footer="0.3"/>
    </customSheetView>
    <customSheetView guid="{9BF7FAF1-D686-4A6B-A2BE-0DAD43841920}">
      <selection activeCell="C36" sqref="C36"/>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F394"/>
  <sheetViews>
    <sheetView view="pageBreakPreview" zoomScale="80" zoomScaleNormal="70" zoomScaleSheetLayoutView="80" workbookViewId="0">
      <selection activeCell="E10" sqref="E10"/>
    </sheetView>
  </sheetViews>
  <sheetFormatPr defaultColWidth="9.140625" defaultRowHeight="12.75" x14ac:dyDescent="0.2"/>
  <cols>
    <col min="1" max="1" width="17.42578125" style="77" customWidth="1"/>
    <col min="2" max="2" width="59.85546875" style="78" customWidth="1"/>
    <col min="3" max="3" width="12" style="78" bestFit="1" customWidth="1"/>
    <col min="4" max="4" width="11" style="78" customWidth="1"/>
    <col min="5" max="5" width="17.7109375" style="78" customWidth="1"/>
    <col min="6" max="6" width="12.7109375" style="78" customWidth="1"/>
    <col min="7" max="8" width="10.7109375" style="78" customWidth="1"/>
    <col min="9" max="9" width="11" style="78" customWidth="1"/>
    <col min="10" max="10" width="10.7109375" style="78" customWidth="1"/>
    <col min="11" max="11" width="12.28515625" style="78" customWidth="1"/>
    <col min="12" max="12" width="12.42578125" style="78" customWidth="1"/>
    <col min="13" max="13" width="16.5703125" style="78" customWidth="1"/>
    <col min="14" max="14" width="15.140625" style="78" bestFit="1" customWidth="1"/>
    <col min="15" max="15" width="10.42578125" style="78" customWidth="1"/>
    <col min="16" max="16" width="25.85546875" style="78" customWidth="1"/>
    <col min="17" max="17" width="11.140625" style="78" customWidth="1"/>
    <col min="18" max="18" width="10.85546875" style="78" bestFit="1" customWidth="1"/>
    <col min="19" max="19" width="9.140625" style="78"/>
    <col min="20" max="20" width="10.140625" style="78" bestFit="1" customWidth="1"/>
    <col min="21" max="21" width="14.42578125" style="78" customWidth="1"/>
    <col min="22" max="22" width="11" style="78" bestFit="1" customWidth="1"/>
    <col min="23" max="23" width="10.7109375" style="78" customWidth="1"/>
    <col min="24" max="24" width="11.7109375" style="78" customWidth="1"/>
    <col min="25" max="25" width="11.28515625" style="78" bestFit="1" customWidth="1"/>
    <col min="26" max="26" width="10.140625" style="78" customWidth="1"/>
    <col min="27" max="27" width="10.7109375" style="78" customWidth="1"/>
    <col min="28" max="28" width="12.85546875" style="78" bestFit="1" customWidth="1"/>
    <col min="29" max="29" width="9.140625" style="78"/>
    <col min="30" max="30" width="17.5703125" style="78" customWidth="1"/>
    <col min="31" max="31" width="9.140625" style="78"/>
    <col min="32" max="32" width="10.28515625" style="78" bestFit="1" customWidth="1"/>
    <col min="33" max="33" width="10.5703125" style="78" customWidth="1"/>
    <col min="34" max="16384" width="9.140625" style="78"/>
  </cols>
  <sheetData>
    <row r="1" spans="1:24" x14ac:dyDescent="0.2">
      <c r="A1" s="78"/>
    </row>
    <row r="2" spans="1:24" x14ac:dyDescent="0.2">
      <c r="A2" s="83"/>
      <c r="B2" s="79"/>
      <c r="D2" s="531"/>
    </row>
    <row r="3" spans="1:24" x14ac:dyDescent="0.2">
      <c r="B3" s="133"/>
      <c r="C3" s="79"/>
      <c r="D3" s="79"/>
      <c r="E3" s="79"/>
      <c r="F3" s="79"/>
      <c r="G3" s="79"/>
      <c r="H3" s="79"/>
      <c r="I3" s="79"/>
      <c r="J3" s="79"/>
      <c r="K3" s="79"/>
      <c r="L3" s="79"/>
    </row>
    <row r="4" spans="1:24" x14ac:dyDescent="0.2">
      <c r="A4" s="78"/>
    </row>
    <row r="5" spans="1:24" x14ac:dyDescent="0.2">
      <c r="A5" s="156"/>
      <c r="B5" s="688"/>
      <c r="C5" s="689"/>
      <c r="D5" s="689"/>
      <c r="E5" s="689"/>
      <c r="F5" s="689"/>
      <c r="G5" s="689"/>
      <c r="H5" s="689"/>
      <c r="I5" s="689"/>
      <c r="J5" s="689"/>
      <c r="K5" s="689"/>
      <c r="L5" s="689"/>
    </row>
    <row r="6" spans="1:24" x14ac:dyDescent="0.2">
      <c r="C6" s="79"/>
      <c r="D6" s="79"/>
      <c r="E6" s="79"/>
      <c r="F6" s="79"/>
      <c r="G6" s="79"/>
      <c r="H6" s="79"/>
      <c r="I6" s="79"/>
      <c r="J6" s="79"/>
      <c r="K6" s="79"/>
      <c r="L6" s="79"/>
    </row>
    <row r="7" spans="1:24" ht="15.75" x14ac:dyDescent="0.25">
      <c r="B7" s="530" t="s">
        <v>644</v>
      </c>
      <c r="C7" s="133"/>
      <c r="D7" s="133"/>
      <c r="E7" s="133"/>
      <c r="F7" s="133"/>
      <c r="J7" s="509"/>
    </row>
    <row r="8" spans="1:24" x14ac:dyDescent="0.2">
      <c r="A8" s="80"/>
      <c r="B8" s="81" t="s">
        <v>91</v>
      </c>
      <c r="C8" s="133"/>
      <c r="D8" s="133"/>
      <c r="E8" s="133"/>
      <c r="F8" s="133"/>
    </row>
    <row r="9" spans="1:24" x14ac:dyDescent="0.2">
      <c r="B9" s="133"/>
      <c r="C9" s="133"/>
      <c r="D9" s="133"/>
      <c r="E9" s="82" t="s">
        <v>650</v>
      </c>
      <c r="F9" s="133"/>
    </row>
    <row r="10" spans="1:24" x14ac:dyDescent="0.2">
      <c r="A10" s="83" t="s">
        <v>64</v>
      </c>
      <c r="B10" s="84" t="s">
        <v>130</v>
      </c>
      <c r="C10" s="200"/>
      <c r="D10" s="133"/>
      <c r="E10" s="82" t="s">
        <v>60</v>
      </c>
      <c r="F10" s="133"/>
      <c r="N10" s="84"/>
      <c r="O10" s="84"/>
      <c r="P10" s="133"/>
      <c r="Q10" s="133"/>
      <c r="R10" s="133"/>
      <c r="S10" s="133"/>
      <c r="T10" s="133"/>
      <c r="U10" s="133"/>
      <c r="V10" s="133"/>
      <c r="W10" s="133"/>
      <c r="X10" s="133"/>
    </row>
    <row r="11" spans="1:24" ht="25.5" x14ac:dyDescent="0.2">
      <c r="A11" s="85"/>
      <c r="B11" s="201"/>
      <c r="C11" s="86" t="s">
        <v>50</v>
      </c>
      <c r="D11" s="86" t="s">
        <v>50</v>
      </c>
      <c r="E11" s="86" t="s">
        <v>50</v>
      </c>
      <c r="F11" s="86" t="s">
        <v>50</v>
      </c>
      <c r="G11" s="86" t="s">
        <v>50</v>
      </c>
      <c r="H11" s="86" t="s">
        <v>50</v>
      </c>
      <c r="I11" s="87" t="s">
        <v>96</v>
      </c>
      <c r="J11" s="202"/>
      <c r="K11" s="86" t="s">
        <v>50</v>
      </c>
      <c r="L11" s="86" t="s">
        <v>50</v>
      </c>
      <c r="M11" s="88"/>
      <c r="N11" s="82"/>
      <c r="O11" s="88"/>
      <c r="P11" s="88"/>
      <c r="Q11" s="88"/>
      <c r="R11" s="88"/>
      <c r="S11" s="88"/>
      <c r="T11" s="88"/>
      <c r="U11" s="82"/>
      <c r="V11" s="203"/>
      <c r="W11" s="88"/>
      <c r="X11" s="88"/>
    </row>
    <row r="12" spans="1:24" x14ac:dyDescent="0.2">
      <c r="A12" s="85"/>
      <c r="B12" s="89" t="s">
        <v>235</v>
      </c>
      <c r="C12" s="90" t="s">
        <v>0</v>
      </c>
      <c r="D12" s="90" t="s">
        <v>1</v>
      </c>
      <c r="E12" s="90" t="s">
        <v>2</v>
      </c>
      <c r="F12" s="90" t="s">
        <v>3</v>
      </c>
      <c r="G12" s="90" t="s">
        <v>4</v>
      </c>
      <c r="H12" s="90" t="s">
        <v>6</v>
      </c>
      <c r="I12" s="90" t="s">
        <v>37</v>
      </c>
      <c r="J12" s="90" t="s">
        <v>38</v>
      </c>
      <c r="K12" s="90" t="s">
        <v>5</v>
      </c>
      <c r="L12" s="90" t="s">
        <v>36</v>
      </c>
      <c r="M12" s="91"/>
      <c r="N12" s="92"/>
      <c r="O12" s="79"/>
      <c r="P12" s="79"/>
      <c r="Q12" s="79"/>
      <c r="R12" s="79"/>
      <c r="S12" s="79"/>
      <c r="T12" s="79"/>
      <c r="U12" s="79"/>
      <c r="V12" s="79"/>
      <c r="W12" s="79"/>
      <c r="X12" s="79"/>
    </row>
    <row r="13" spans="1:24" x14ac:dyDescent="0.2">
      <c r="A13" s="85"/>
      <c r="B13" s="93"/>
      <c r="C13" s="90"/>
      <c r="D13" s="90"/>
      <c r="E13" s="90"/>
      <c r="F13" s="90"/>
      <c r="G13" s="90"/>
      <c r="H13" s="90"/>
      <c r="I13" s="90"/>
      <c r="J13" s="90"/>
      <c r="K13" s="90"/>
      <c r="L13" s="90"/>
      <c r="O13" s="133"/>
      <c r="P13" s="133"/>
      <c r="Q13" s="133"/>
      <c r="R13" s="133"/>
      <c r="S13" s="133"/>
      <c r="T13" s="133"/>
      <c r="U13" s="133"/>
      <c r="V13" s="133"/>
      <c r="W13" s="133"/>
      <c r="X13" s="133"/>
    </row>
    <row r="14" spans="1:24" x14ac:dyDescent="0.2">
      <c r="A14" s="85"/>
      <c r="B14" s="94" t="s">
        <v>7</v>
      </c>
      <c r="C14" s="510">
        <v>0.46870000000000001</v>
      </c>
      <c r="D14" s="510">
        <v>0.46700000000000003</v>
      </c>
      <c r="E14" s="510">
        <v>0.47870000000000001</v>
      </c>
      <c r="F14" s="510">
        <v>0.46870000000000001</v>
      </c>
      <c r="G14" s="510">
        <v>0.46870000000000001</v>
      </c>
      <c r="H14" s="510">
        <v>0.45800000000000002</v>
      </c>
      <c r="I14" s="510">
        <v>0.3</v>
      </c>
      <c r="J14" s="510">
        <v>0.3</v>
      </c>
      <c r="K14" s="510">
        <v>0.54600000000000004</v>
      </c>
      <c r="L14" s="510">
        <v>0.52429999999999999</v>
      </c>
      <c r="M14" s="95"/>
      <c r="N14" s="96"/>
      <c r="O14" s="204"/>
      <c r="P14" s="204"/>
      <c r="Q14" s="204"/>
      <c r="R14" s="204"/>
      <c r="S14" s="204"/>
      <c r="T14" s="204"/>
      <c r="U14" s="204"/>
      <c r="V14" s="204"/>
      <c r="W14" s="204"/>
      <c r="X14" s="204"/>
    </row>
    <row r="15" spans="1:24" x14ac:dyDescent="0.2">
      <c r="A15" s="85"/>
      <c r="B15" s="94" t="s">
        <v>8</v>
      </c>
      <c r="C15" s="510">
        <v>0.49869999999999998</v>
      </c>
      <c r="D15" s="510">
        <v>0.49070000000000003</v>
      </c>
      <c r="E15" s="510">
        <v>0.50670000000000004</v>
      </c>
      <c r="F15" s="510">
        <v>0.49869999999999998</v>
      </c>
      <c r="G15" s="510">
        <v>0.49869999999999998</v>
      </c>
      <c r="H15" s="510">
        <v>0.47799999999999998</v>
      </c>
      <c r="I15" s="510">
        <v>0.29730000000000001</v>
      </c>
      <c r="J15" s="510">
        <v>0.29730000000000001</v>
      </c>
      <c r="K15" s="510">
        <v>0.56969999999999998</v>
      </c>
      <c r="L15" s="510">
        <v>0.55030000000000001</v>
      </c>
      <c r="M15" s="95"/>
      <c r="N15" s="96"/>
      <c r="O15" s="204"/>
      <c r="P15" s="204"/>
      <c r="Q15" s="204"/>
      <c r="R15" s="204"/>
      <c r="S15" s="204"/>
      <c r="T15" s="204"/>
      <c r="U15" s="204"/>
      <c r="V15" s="204"/>
      <c r="W15" s="204"/>
      <c r="X15" s="204"/>
    </row>
    <row r="16" spans="1:24" x14ac:dyDescent="0.2">
      <c r="A16" s="85"/>
      <c r="B16" s="94" t="s">
        <v>9</v>
      </c>
      <c r="C16" s="510">
        <v>0.50429999999999997</v>
      </c>
      <c r="D16" s="510">
        <v>0.49569999999999997</v>
      </c>
      <c r="E16" s="510">
        <v>0.51400000000000001</v>
      </c>
      <c r="F16" s="510">
        <v>0.50429999999999997</v>
      </c>
      <c r="G16" s="510">
        <v>0.50429999999999997</v>
      </c>
      <c r="H16" s="510">
        <v>0.48630000000000001</v>
      </c>
      <c r="I16" s="510">
        <v>0.26400000000000001</v>
      </c>
      <c r="J16" s="510">
        <v>0.26400000000000001</v>
      </c>
      <c r="K16" s="510">
        <v>0.57999999999999996</v>
      </c>
      <c r="L16" s="510">
        <v>0.56000000000000005</v>
      </c>
      <c r="M16" s="95"/>
      <c r="N16" s="96"/>
      <c r="O16" s="204"/>
      <c r="P16" s="204"/>
      <c r="Q16" s="204"/>
      <c r="R16" s="204"/>
      <c r="S16" s="204"/>
      <c r="T16" s="204"/>
      <c r="U16" s="204"/>
      <c r="V16" s="204"/>
      <c r="W16" s="204"/>
      <c r="X16" s="204"/>
    </row>
    <row r="17" spans="1:24" x14ac:dyDescent="0.2">
      <c r="A17" s="85"/>
      <c r="B17" s="94" t="s">
        <v>10</v>
      </c>
      <c r="C17" s="510">
        <v>0.4763</v>
      </c>
      <c r="D17" s="510">
        <v>0.48130000000000001</v>
      </c>
      <c r="E17" s="510">
        <v>0.49030000000000001</v>
      </c>
      <c r="F17" s="510">
        <v>0.4763</v>
      </c>
      <c r="G17" s="510">
        <v>0.4763</v>
      </c>
      <c r="H17" s="510">
        <v>0.49270000000000003</v>
      </c>
      <c r="I17" s="510">
        <v>0.219</v>
      </c>
      <c r="J17" s="510">
        <v>0.219</v>
      </c>
      <c r="K17" s="510">
        <v>0.56599999999999995</v>
      </c>
      <c r="L17" s="510">
        <v>0.54330000000000001</v>
      </c>
      <c r="M17" s="95"/>
      <c r="N17" s="96"/>
      <c r="O17" s="204"/>
      <c r="P17" s="204"/>
      <c r="Q17" s="204"/>
      <c r="R17" s="204"/>
      <c r="S17" s="204"/>
      <c r="T17" s="204"/>
      <c r="U17" s="204"/>
      <c r="V17" s="204"/>
      <c r="W17" s="204"/>
      <c r="X17" s="204"/>
    </row>
    <row r="18" spans="1:24" x14ac:dyDescent="0.2">
      <c r="A18" s="85"/>
      <c r="B18" s="94" t="s">
        <v>11</v>
      </c>
      <c r="C18" s="510">
        <v>0.49769999999999998</v>
      </c>
      <c r="D18" s="510">
        <v>0.50870000000000004</v>
      </c>
      <c r="E18" s="510">
        <v>0.51729999999999998</v>
      </c>
      <c r="F18" s="510">
        <v>0.49769999999999998</v>
      </c>
      <c r="G18" s="510">
        <v>0.49769999999999998</v>
      </c>
      <c r="H18" s="510">
        <v>0.5857</v>
      </c>
      <c r="I18" s="510">
        <v>0.21199999999999999</v>
      </c>
      <c r="J18" s="510">
        <v>0.21199999999999999</v>
      </c>
      <c r="K18" s="510">
        <v>0.58899999999999997</v>
      </c>
      <c r="L18" s="510">
        <v>0.56430000000000002</v>
      </c>
      <c r="M18" s="95"/>
      <c r="N18" s="96"/>
      <c r="O18" s="204"/>
      <c r="P18" s="204"/>
      <c r="Q18" s="204"/>
      <c r="R18" s="204"/>
      <c r="S18" s="204"/>
      <c r="T18" s="204"/>
      <c r="U18" s="204"/>
      <c r="V18" s="204"/>
      <c r="W18" s="204"/>
      <c r="X18" s="204"/>
    </row>
    <row r="19" spans="1:24" x14ac:dyDescent="0.2">
      <c r="A19" s="85"/>
      <c r="B19" s="94" t="s">
        <v>12</v>
      </c>
      <c r="C19" s="510">
        <v>0.52300000000000002</v>
      </c>
      <c r="D19" s="510">
        <v>0.53</v>
      </c>
      <c r="E19" s="510">
        <v>0.54369999999999996</v>
      </c>
      <c r="F19" s="510">
        <v>0.52300000000000002</v>
      </c>
      <c r="G19" s="510">
        <v>0.52300000000000002</v>
      </c>
      <c r="H19" s="510">
        <v>0.62829999999999997</v>
      </c>
      <c r="I19" s="510">
        <v>0.20369999999999999</v>
      </c>
      <c r="J19" s="510">
        <v>0.20369999999999999</v>
      </c>
      <c r="K19" s="510">
        <v>0.60499999999999998</v>
      </c>
      <c r="L19" s="510">
        <v>0.57699999999999996</v>
      </c>
      <c r="M19" s="95"/>
      <c r="N19" s="96"/>
      <c r="O19" s="204"/>
      <c r="P19" s="204"/>
      <c r="Q19" s="204"/>
      <c r="R19" s="204"/>
      <c r="S19" s="204"/>
      <c r="T19" s="204"/>
      <c r="U19" s="204"/>
      <c r="V19" s="204"/>
      <c r="W19" s="204"/>
      <c r="X19" s="204"/>
    </row>
    <row r="20" spans="1:24" x14ac:dyDescent="0.2">
      <c r="A20" s="85"/>
      <c r="B20" s="94" t="s">
        <v>13</v>
      </c>
      <c r="C20" s="510">
        <v>0.48830000000000001</v>
      </c>
      <c r="D20" s="510">
        <v>0.49730000000000002</v>
      </c>
      <c r="E20" s="510">
        <v>0.50729999999999997</v>
      </c>
      <c r="F20" s="510">
        <v>0.48830000000000001</v>
      </c>
      <c r="G20" s="510">
        <v>0.48830000000000001</v>
      </c>
      <c r="H20" s="510">
        <v>0.58330000000000004</v>
      </c>
      <c r="I20" s="510">
        <v>0.183</v>
      </c>
      <c r="J20" s="510">
        <v>0.183</v>
      </c>
      <c r="K20" s="510">
        <v>0.56200000000000006</v>
      </c>
      <c r="L20" s="510">
        <v>0.52869999999999995</v>
      </c>
      <c r="M20" s="95"/>
      <c r="N20" s="96"/>
      <c r="O20" s="204"/>
      <c r="P20" s="204"/>
      <c r="Q20" s="204"/>
      <c r="R20" s="204"/>
      <c r="S20" s="204"/>
      <c r="T20" s="204"/>
      <c r="U20" s="204"/>
      <c r="V20" s="204"/>
      <c r="W20" s="204"/>
      <c r="X20" s="204"/>
    </row>
    <row r="21" spans="1:24" x14ac:dyDescent="0.2">
      <c r="A21" s="85"/>
      <c r="B21" s="94" t="s">
        <v>14</v>
      </c>
      <c r="C21" s="510">
        <v>0.54430000000000001</v>
      </c>
      <c r="D21" s="510">
        <v>0.55369999999999997</v>
      </c>
      <c r="E21" s="510">
        <v>0.56369999999999998</v>
      </c>
      <c r="F21" s="510">
        <v>0.54430000000000001</v>
      </c>
      <c r="G21" s="510">
        <v>0.54430000000000001</v>
      </c>
      <c r="H21" s="510">
        <v>0.63929999999999998</v>
      </c>
      <c r="I21" s="510">
        <v>0.2253</v>
      </c>
      <c r="J21" s="510">
        <v>0.2253</v>
      </c>
      <c r="K21" s="510">
        <v>0.61799999999999999</v>
      </c>
      <c r="L21" s="510">
        <v>0.57999999999999996</v>
      </c>
      <c r="M21" s="95"/>
      <c r="N21" s="96"/>
      <c r="O21" s="204"/>
      <c r="P21" s="204"/>
      <c r="Q21" s="204"/>
      <c r="R21" s="204"/>
      <c r="S21" s="204"/>
      <c r="T21" s="204"/>
      <c r="U21" s="204"/>
      <c r="V21" s="204"/>
      <c r="W21" s="204"/>
      <c r="X21" s="204"/>
    </row>
    <row r="22" spans="1:24" x14ac:dyDescent="0.2">
      <c r="A22" s="85"/>
      <c r="B22" s="94" t="s">
        <v>15</v>
      </c>
      <c r="C22" s="510">
        <v>0.48699999999999999</v>
      </c>
      <c r="D22" s="510">
        <v>0.49630000000000002</v>
      </c>
      <c r="E22" s="510">
        <v>0.50470000000000004</v>
      </c>
      <c r="F22" s="510">
        <v>0.48699999999999999</v>
      </c>
      <c r="G22" s="510">
        <v>0.48699999999999999</v>
      </c>
      <c r="H22" s="510">
        <v>0.59499999999999997</v>
      </c>
      <c r="I22" s="510">
        <v>0.22670000000000001</v>
      </c>
      <c r="J22" s="510">
        <v>0.22670000000000001</v>
      </c>
      <c r="K22" s="510">
        <v>0.57069999999999999</v>
      </c>
      <c r="L22" s="510">
        <v>0.54169999999999996</v>
      </c>
      <c r="M22" s="95"/>
      <c r="N22" s="96"/>
      <c r="O22" s="204"/>
      <c r="P22" s="204"/>
      <c r="Q22" s="204"/>
      <c r="R22" s="204"/>
      <c r="S22" s="204"/>
      <c r="T22" s="204"/>
      <c r="U22" s="204"/>
      <c r="V22" s="204"/>
      <c r="W22" s="204"/>
      <c r="X22" s="204"/>
    </row>
    <row r="23" spans="1:24" x14ac:dyDescent="0.2">
      <c r="A23" s="85"/>
      <c r="B23" s="94" t="s">
        <v>16</v>
      </c>
      <c r="C23" s="510">
        <v>0.49930000000000002</v>
      </c>
      <c r="D23" s="510">
        <v>0.51770000000000005</v>
      </c>
      <c r="E23" s="510">
        <v>0.51829999999999998</v>
      </c>
      <c r="F23" s="510">
        <v>0.49930000000000002</v>
      </c>
      <c r="G23" s="510">
        <v>0.49930000000000002</v>
      </c>
      <c r="H23" s="510">
        <v>0.57169999999999999</v>
      </c>
      <c r="I23" s="510">
        <v>0.26929999999999998</v>
      </c>
      <c r="J23" s="510">
        <v>0.26929999999999998</v>
      </c>
      <c r="K23" s="510">
        <v>0.58799999999999997</v>
      </c>
      <c r="L23" s="510">
        <v>0.56469999999999998</v>
      </c>
      <c r="M23" s="95"/>
      <c r="N23" s="96"/>
      <c r="O23" s="204"/>
      <c r="P23" s="204"/>
      <c r="Q23" s="204"/>
      <c r="R23" s="204"/>
      <c r="S23" s="204"/>
      <c r="T23" s="204"/>
      <c r="U23" s="204"/>
      <c r="V23" s="204"/>
      <c r="W23" s="204"/>
      <c r="X23" s="204"/>
    </row>
    <row r="24" spans="1:24" x14ac:dyDescent="0.2">
      <c r="A24" s="85"/>
      <c r="B24" s="94" t="s">
        <v>17</v>
      </c>
      <c r="C24" s="510">
        <v>0.48199999999999998</v>
      </c>
      <c r="D24" s="510">
        <v>0.48270000000000002</v>
      </c>
      <c r="E24" s="510">
        <v>0.50170000000000003</v>
      </c>
      <c r="F24" s="510">
        <v>0.48199999999999998</v>
      </c>
      <c r="G24" s="510">
        <v>0.48199999999999998</v>
      </c>
      <c r="H24" s="510">
        <v>0.48899999999999999</v>
      </c>
      <c r="I24" s="510">
        <v>0.31</v>
      </c>
      <c r="J24" s="510">
        <v>0.31</v>
      </c>
      <c r="K24" s="510">
        <v>0.56469999999999998</v>
      </c>
      <c r="L24" s="510">
        <v>0.54200000000000004</v>
      </c>
      <c r="M24" s="95"/>
      <c r="N24" s="96"/>
      <c r="O24" s="204"/>
      <c r="P24" s="204"/>
      <c r="Q24" s="204"/>
      <c r="R24" s="204"/>
      <c r="S24" s="204"/>
      <c r="T24" s="204"/>
      <c r="U24" s="204"/>
      <c r="V24" s="204"/>
      <c r="W24" s="204"/>
      <c r="X24" s="204"/>
    </row>
    <row r="25" spans="1:24" x14ac:dyDescent="0.2">
      <c r="A25" s="85"/>
      <c r="B25" s="94" t="s">
        <v>18</v>
      </c>
      <c r="C25" s="510">
        <v>0.45469999999999999</v>
      </c>
      <c r="D25" s="510">
        <v>0.45229999999999998</v>
      </c>
      <c r="E25" s="510">
        <v>0.46829999999999999</v>
      </c>
      <c r="F25" s="510">
        <v>0.45469999999999999</v>
      </c>
      <c r="G25" s="510">
        <v>0.45469999999999999</v>
      </c>
      <c r="H25" s="510">
        <v>0.45429999999999998</v>
      </c>
      <c r="I25" s="510">
        <v>0.29870000000000002</v>
      </c>
      <c r="J25" s="510">
        <v>0.29870000000000002</v>
      </c>
      <c r="K25" s="510">
        <v>0.52629999999999999</v>
      </c>
      <c r="L25" s="510">
        <v>0.50329999999999997</v>
      </c>
      <c r="M25" s="95"/>
      <c r="N25" s="96"/>
      <c r="O25" s="204"/>
      <c r="P25" s="204"/>
      <c r="Q25" s="204"/>
      <c r="R25" s="204"/>
      <c r="S25" s="204"/>
      <c r="T25" s="204"/>
      <c r="U25" s="204"/>
      <c r="V25" s="204"/>
      <c r="W25" s="204"/>
      <c r="X25" s="204"/>
    </row>
    <row r="26" spans="1:24" x14ac:dyDescent="0.2">
      <c r="A26" s="85"/>
      <c r="B26" s="97"/>
      <c r="C26" s="96"/>
      <c r="D26" s="96"/>
      <c r="E26" s="96"/>
      <c r="F26" s="96"/>
      <c r="G26" s="96"/>
      <c r="H26" s="96"/>
      <c r="I26" s="96"/>
      <c r="J26" s="96"/>
      <c r="K26" s="96"/>
      <c r="L26" s="96"/>
      <c r="M26" s="96"/>
      <c r="N26" s="96"/>
      <c r="O26" s="204"/>
      <c r="P26" s="204"/>
      <c r="Q26" s="204"/>
      <c r="R26" s="204"/>
      <c r="S26" s="204"/>
      <c r="T26" s="204"/>
      <c r="U26" s="204"/>
      <c r="V26" s="204"/>
      <c r="W26" s="204"/>
      <c r="X26" s="204"/>
    </row>
    <row r="27" spans="1:24" x14ac:dyDescent="0.2">
      <c r="A27" s="85"/>
      <c r="B27" s="97"/>
      <c r="C27" s="96"/>
      <c r="D27" s="96"/>
      <c r="E27" s="82" t="str">
        <f>E9</f>
        <v>Based on average of year 2016, 2017 &amp; 2018 Load Profile Information</v>
      </c>
      <c r="K27" s="96"/>
      <c r="L27" s="96"/>
      <c r="M27" s="96"/>
      <c r="N27" s="96"/>
      <c r="O27" s="204"/>
      <c r="P27" s="204"/>
      <c r="Q27" s="204"/>
      <c r="R27" s="204"/>
      <c r="S27" s="204"/>
      <c r="T27" s="204"/>
      <c r="U27" s="204"/>
      <c r="V27" s="204"/>
      <c r="W27" s="204"/>
      <c r="X27" s="204"/>
    </row>
    <row r="28" spans="1:24" x14ac:dyDescent="0.2">
      <c r="A28" s="83" t="s">
        <v>65</v>
      </c>
      <c r="B28" s="84" t="s">
        <v>131</v>
      </c>
      <c r="C28" s="96"/>
      <c r="D28" s="96"/>
      <c r="E28" s="98" t="s">
        <v>643</v>
      </c>
      <c r="G28" s="96"/>
      <c r="H28" s="96"/>
      <c r="I28" s="99"/>
      <c r="J28" s="99"/>
      <c r="K28" s="96"/>
      <c r="L28" s="96"/>
      <c r="M28" s="96"/>
      <c r="N28" s="96"/>
      <c r="O28" s="204"/>
      <c r="P28" s="204"/>
      <c r="Q28" s="204"/>
      <c r="R28" s="204"/>
      <c r="S28" s="204"/>
      <c r="T28" s="204"/>
      <c r="U28" s="204"/>
      <c r="V28" s="204"/>
      <c r="W28" s="204"/>
      <c r="X28" s="204"/>
    </row>
    <row r="29" spans="1:24" ht="25.5" x14ac:dyDescent="0.2">
      <c r="A29" s="85"/>
      <c r="B29" s="93"/>
      <c r="C29" s="86" t="s">
        <v>50</v>
      </c>
      <c r="D29" s="86" t="s">
        <v>50</v>
      </c>
      <c r="E29" s="88"/>
      <c r="F29" s="82"/>
      <c r="G29" s="88"/>
      <c r="H29" s="88"/>
      <c r="I29" s="88"/>
      <c r="J29" s="88"/>
      <c r="K29" s="88"/>
      <c r="L29" s="88"/>
      <c r="M29" s="88"/>
      <c r="N29" s="88"/>
      <c r="O29" s="88"/>
      <c r="P29" s="88"/>
    </row>
    <row r="30" spans="1:24" x14ac:dyDescent="0.2">
      <c r="A30" s="85"/>
      <c r="B30" s="89" t="s">
        <v>235</v>
      </c>
      <c r="C30" s="90" t="s">
        <v>2</v>
      </c>
      <c r="D30" s="90" t="s">
        <v>36</v>
      </c>
      <c r="E30" s="79"/>
      <c r="F30" s="92"/>
      <c r="G30" s="79"/>
      <c r="H30" s="79"/>
      <c r="I30" s="79"/>
      <c r="J30" s="79"/>
      <c r="K30" s="79"/>
      <c r="L30" s="79"/>
      <c r="M30" s="79"/>
      <c r="N30" s="79"/>
      <c r="O30" s="79"/>
      <c r="P30" s="79"/>
    </row>
    <row r="31" spans="1:24" x14ac:dyDescent="0.2">
      <c r="A31" s="85"/>
      <c r="B31" s="93"/>
      <c r="C31" s="93"/>
      <c r="D31" s="93"/>
      <c r="G31" s="133"/>
      <c r="H31" s="133"/>
      <c r="I31" s="133"/>
      <c r="J31" s="133"/>
      <c r="K31" s="133"/>
      <c r="L31" s="133"/>
      <c r="M31" s="133"/>
      <c r="N31" s="133"/>
      <c r="O31" s="133"/>
      <c r="P31" s="133"/>
    </row>
    <row r="32" spans="1:24" x14ac:dyDescent="0.2">
      <c r="A32" s="85"/>
      <c r="B32" s="94" t="s">
        <v>7</v>
      </c>
      <c r="C32" s="510">
        <v>0.42699999999999999</v>
      </c>
      <c r="D32" s="511">
        <v>0.4783</v>
      </c>
      <c r="E32" s="95"/>
      <c r="F32" s="96"/>
      <c r="G32" s="204"/>
      <c r="H32" s="204"/>
      <c r="I32" s="204"/>
      <c r="J32" s="204"/>
      <c r="K32" s="204"/>
      <c r="L32" s="204"/>
      <c r="M32" s="204"/>
      <c r="N32" s="204"/>
      <c r="O32" s="204"/>
      <c r="P32" s="204"/>
    </row>
    <row r="33" spans="1:32" x14ac:dyDescent="0.2">
      <c r="A33" s="85"/>
      <c r="B33" s="94" t="s">
        <v>8</v>
      </c>
      <c r="C33" s="510">
        <v>0.42320000000000002</v>
      </c>
      <c r="D33" s="511">
        <v>0.48259999999999997</v>
      </c>
      <c r="E33" s="95"/>
      <c r="F33" s="96"/>
      <c r="G33" s="204"/>
      <c r="H33" s="204"/>
      <c r="I33" s="204"/>
      <c r="J33" s="204"/>
      <c r="K33" s="204"/>
      <c r="L33" s="204"/>
      <c r="M33" s="204"/>
      <c r="N33" s="204"/>
      <c r="O33" s="204"/>
      <c r="P33" s="204"/>
    </row>
    <row r="34" spans="1:32" x14ac:dyDescent="0.2">
      <c r="A34" s="85"/>
      <c r="B34" s="94" t="s">
        <v>9</v>
      </c>
      <c r="C34" s="510">
        <v>0.41849999999999998</v>
      </c>
      <c r="D34" s="511">
        <v>0.48110000000000003</v>
      </c>
      <c r="E34" s="95"/>
      <c r="F34" s="96"/>
      <c r="G34" s="204"/>
      <c r="H34" s="204"/>
      <c r="I34" s="204"/>
      <c r="J34" s="204"/>
      <c r="K34" s="204"/>
      <c r="L34" s="204"/>
      <c r="M34" s="204"/>
      <c r="N34" s="204"/>
      <c r="O34" s="204"/>
      <c r="P34" s="204"/>
    </row>
    <row r="35" spans="1:32" x14ac:dyDescent="0.2">
      <c r="A35" s="85"/>
      <c r="B35" s="94" t="s">
        <v>10</v>
      </c>
      <c r="C35" s="510">
        <v>0.41930000000000001</v>
      </c>
      <c r="D35" s="511">
        <v>0.4894</v>
      </c>
      <c r="E35" s="95"/>
      <c r="F35" s="96"/>
      <c r="G35" s="204"/>
      <c r="H35" s="204"/>
      <c r="I35" s="204"/>
      <c r="J35" s="204"/>
      <c r="K35" s="204"/>
      <c r="L35" s="204"/>
      <c r="M35" s="204"/>
      <c r="N35" s="204"/>
      <c r="O35" s="204"/>
      <c r="P35" s="204"/>
    </row>
    <row r="36" spans="1:32" x14ac:dyDescent="0.2">
      <c r="A36" s="85"/>
      <c r="B36" s="94" t="s">
        <v>11</v>
      </c>
      <c r="C36" s="510">
        <v>0.44369999999999998</v>
      </c>
      <c r="D36" s="511">
        <v>0.50139999999999996</v>
      </c>
      <c r="E36" s="95"/>
      <c r="F36" s="100"/>
      <c r="G36" s="204"/>
      <c r="H36" s="204"/>
      <c r="I36" s="204"/>
      <c r="J36" s="204"/>
      <c r="K36" s="204"/>
      <c r="L36" s="204"/>
      <c r="M36" s="204"/>
      <c r="N36" s="204"/>
      <c r="O36" s="204"/>
      <c r="P36" s="204"/>
    </row>
    <row r="37" spans="1:32" x14ac:dyDescent="0.2">
      <c r="A37" s="85"/>
      <c r="B37" s="94" t="s">
        <v>12</v>
      </c>
      <c r="C37" s="510">
        <v>0.46</v>
      </c>
      <c r="D37" s="510">
        <v>0.50729999999999997</v>
      </c>
      <c r="E37" s="95"/>
      <c r="F37" s="100"/>
      <c r="G37" s="204"/>
      <c r="H37" s="204"/>
      <c r="I37" s="204"/>
      <c r="J37" s="204"/>
      <c r="K37" s="204"/>
      <c r="L37" s="204"/>
      <c r="M37" s="204"/>
      <c r="N37" s="204"/>
      <c r="O37" s="204"/>
      <c r="P37" s="204"/>
    </row>
    <row r="38" spans="1:32" x14ac:dyDescent="0.2">
      <c r="A38" s="85"/>
      <c r="B38" s="94" t="s">
        <v>13</v>
      </c>
      <c r="C38" s="510">
        <v>0.48649999999999999</v>
      </c>
      <c r="D38" s="510">
        <v>0.50639999999999996</v>
      </c>
      <c r="E38" s="95"/>
      <c r="F38" s="100"/>
      <c r="G38" s="204"/>
      <c r="H38" s="204"/>
      <c r="I38" s="204"/>
      <c r="J38" s="204"/>
      <c r="K38" s="204"/>
      <c r="L38" s="204"/>
      <c r="M38" s="204"/>
      <c r="N38" s="204"/>
      <c r="O38" s="204"/>
      <c r="P38" s="204"/>
    </row>
    <row r="39" spans="1:32" x14ac:dyDescent="0.2">
      <c r="A39" s="85"/>
      <c r="B39" s="94" t="s">
        <v>14</v>
      </c>
      <c r="C39" s="510">
        <v>0.48620000000000002</v>
      </c>
      <c r="D39" s="511">
        <v>0.49940000000000001</v>
      </c>
      <c r="E39" s="95"/>
      <c r="F39" s="100"/>
      <c r="G39" s="204"/>
      <c r="H39" s="204"/>
      <c r="I39" s="204"/>
      <c r="J39" s="204"/>
      <c r="K39" s="204"/>
      <c r="L39" s="204"/>
      <c r="M39" s="204"/>
      <c r="N39" s="204"/>
      <c r="O39" s="204"/>
      <c r="P39" s="204"/>
    </row>
    <row r="40" spans="1:32" x14ac:dyDescent="0.2">
      <c r="A40" s="85"/>
      <c r="B40" s="94" t="s">
        <v>15</v>
      </c>
      <c r="C40" s="510">
        <v>0.48749999999999999</v>
      </c>
      <c r="D40" s="511">
        <v>0.50780000000000003</v>
      </c>
      <c r="E40" s="95"/>
      <c r="F40" s="100"/>
      <c r="G40" s="204"/>
      <c r="H40" s="204"/>
      <c r="I40" s="204"/>
      <c r="J40" s="204"/>
      <c r="K40" s="204"/>
      <c r="L40" s="204"/>
      <c r="M40" s="204"/>
      <c r="N40" s="204"/>
      <c r="O40" s="204"/>
      <c r="P40" s="204"/>
    </row>
    <row r="41" spans="1:32" x14ac:dyDescent="0.2">
      <c r="A41" s="85"/>
      <c r="B41" s="94" t="s">
        <v>16</v>
      </c>
      <c r="C41" s="510">
        <v>0.46179999999999999</v>
      </c>
      <c r="D41" s="511">
        <v>0.50619999999999998</v>
      </c>
      <c r="E41" s="95"/>
      <c r="F41" s="100"/>
      <c r="G41" s="204"/>
      <c r="H41" s="204"/>
      <c r="I41" s="204"/>
      <c r="J41" s="204"/>
      <c r="K41" s="204"/>
      <c r="L41" s="204"/>
      <c r="M41" s="204"/>
      <c r="N41" s="204"/>
      <c r="O41" s="204"/>
      <c r="P41" s="204"/>
    </row>
    <row r="42" spans="1:32" x14ac:dyDescent="0.2">
      <c r="A42" s="85"/>
      <c r="B42" s="94" t="s">
        <v>17</v>
      </c>
      <c r="C42" s="510">
        <v>0.43609999999999999</v>
      </c>
      <c r="D42" s="511">
        <v>0.49680000000000002</v>
      </c>
      <c r="E42" s="95"/>
      <c r="F42" s="100"/>
      <c r="G42" s="204"/>
      <c r="H42" s="204"/>
      <c r="I42" s="204"/>
      <c r="J42" s="204"/>
      <c r="K42" s="204"/>
      <c r="L42" s="204"/>
      <c r="M42" s="204"/>
      <c r="N42" s="204"/>
      <c r="O42" s="204"/>
      <c r="P42" s="204"/>
    </row>
    <row r="43" spans="1:32" x14ac:dyDescent="0.2">
      <c r="A43" s="85"/>
      <c r="B43" s="94" t="s">
        <v>18</v>
      </c>
      <c r="C43" s="510">
        <v>0.42849999999999999</v>
      </c>
      <c r="D43" s="511">
        <v>0.48530000000000001</v>
      </c>
      <c r="E43" s="95"/>
      <c r="F43" s="100"/>
      <c r="G43" s="204"/>
      <c r="H43" s="204"/>
      <c r="I43" s="204"/>
      <c r="J43" s="204"/>
      <c r="K43" s="204"/>
      <c r="L43" s="204"/>
      <c r="M43" s="204"/>
      <c r="N43" s="204"/>
      <c r="O43" s="204"/>
      <c r="P43" s="204"/>
    </row>
    <row r="44" spans="1:32" x14ac:dyDescent="0.2">
      <c r="A44" s="85"/>
      <c r="B44" s="97"/>
      <c r="C44" s="96"/>
      <c r="D44" s="96"/>
      <c r="E44" s="96"/>
      <c r="F44" s="96"/>
      <c r="G44" s="96"/>
      <c r="H44" s="96"/>
      <c r="I44" s="99"/>
      <c r="J44" s="99"/>
      <c r="K44" s="96"/>
      <c r="L44" s="96"/>
      <c r="M44" s="96"/>
      <c r="N44" s="100"/>
      <c r="O44" s="204"/>
      <c r="P44" s="204"/>
      <c r="Q44" s="204"/>
      <c r="R44" s="204"/>
      <c r="S44" s="204"/>
      <c r="T44" s="204"/>
      <c r="U44" s="204"/>
      <c r="V44" s="204"/>
      <c r="W44" s="204"/>
      <c r="X44" s="204"/>
    </row>
    <row r="45" spans="1:32" x14ac:dyDescent="0.2">
      <c r="A45" s="85"/>
      <c r="B45" s="97"/>
      <c r="C45" s="96"/>
      <c r="D45" s="96"/>
      <c r="E45" s="96"/>
      <c r="F45" s="96"/>
      <c r="G45" s="96"/>
      <c r="H45" s="96"/>
      <c r="I45" s="99"/>
      <c r="J45" s="99"/>
      <c r="K45" s="96"/>
      <c r="L45" s="96"/>
      <c r="M45" s="96"/>
      <c r="N45" s="100"/>
      <c r="O45" s="204"/>
      <c r="P45" s="204"/>
      <c r="Q45" s="204"/>
      <c r="R45" s="204"/>
      <c r="S45" s="204"/>
      <c r="T45" s="204"/>
      <c r="U45" s="204"/>
      <c r="V45" s="204"/>
      <c r="W45" s="204"/>
      <c r="X45" s="204"/>
    </row>
    <row r="46" spans="1:32" x14ac:dyDescent="0.2">
      <c r="A46" s="83" t="s">
        <v>75</v>
      </c>
      <c r="B46" s="101" t="s">
        <v>132</v>
      </c>
      <c r="C46" s="79"/>
      <c r="D46" s="79"/>
      <c r="E46" s="79"/>
      <c r="F46" s="79"/>
      <c r="G46" s="79"/>
      <c r="H46" s="79"/>
      <c r="I46" s="79"/>
      <c r="J46" s="79"/>
      <c r="K46" s="79"/>
      <c r="L46" s="79"/>
      <c r="O46" s="81"/>
    </row>
    <row r="47" spans="1:32" x14ac:dyDescent="0.2">
      <c r="A47" s="85"/>
      <c r="B47" s="102" t="str">
        <f>"Calendar month sales forecasted for "&amp;(Input!D2)&amp;", less % for LPL-Sec &gt; 500 kW Peak Load Share"</f>
        <v>Calendar month sales forecasted for , less % for LPL-Sec &gt; 500 kW Peak Load Share</v>
      </c>
      <c r="G47" s="103"/>
      <c r="L47" s="79"/>
      <c r="AB47" s="104"/>
    </row>
    <row r="48" spans="1:32" x14ac:dyDescent="0.2">
      <c r="A48" s="85"/>
      <c r="B48" s="87" t="s">
        <v>78</v>
      </c>
      <c r="C48" s="90" t="s">
        <v>0</v>
      </c>
      <c r="D48" s="90" t="s">
        <v>1</v>
      </c>
      <c r="E48" s="90" t="s">
        <v>2</v>
      </c>
      <c r="F48" s="90" t="s">
        <v>3</v>
      </c>
      <c r="G48" s="90" t="s">
        <v>4</v>
      </c>
      <c r="H48" s="90" t="s">
        <v>6</v>
      </c>
      <c r="I48" s="90" t="s">
        <v>37</v>
      </c>
      <c r="J48" s="90" t="s">
        <v>38</v>
      </c>
      <c r="K48" s="90" t="s">
        <v>5</v>
      </c>
      <c r="L48" s="90" t="s">
        <v>36</v>
      </c>
      <c r="O48" s="79"/>
      <c r="P48" s="79"/>
      <c r="Q48" s="79"/>
      <c r="R48" s="79"/>
      <c r="S48" s="79"/>
      <c r="T48" s="79"/>
      <c r="U48" s="79"/>
      <c r="V48" s="79"/>
      <c r="W48" s="79"/>
      <c r="X48" s="79"/>
      <c r="Y48" s="79"/>
      <c r="Z48" s="79"/>
      <c r="AB48" s="104"/>
      <c r="AF48" s="104"/>
    </row>
    <row r="49" spans="1:32" x14ac:dyDescent="0.2">
      <c r="A49" s="85"/>
      <c r="B49" s="93"/>
      <c r="C49" s="90"/>
      <c r="D49" s="90"/>
      <c r="E49" s="90"/>
      <c r="F49" s="90"/>
      <c r="G49" s="90"/>
      <c r="H49" s="90"/>
      <c r="I49" s="90"/>
      <c r="J49" s="90"/>
      <c r="K49" s="90"/>
      <c r="L49" s="90"/>
      <c r="Y49" s="105"/>
      <c r="AB49" s="104"/>
      <c r="AF49" s="104"/>
    </row>
    <row r="50" spans="1:32" x14ac:dyDescent="0.2">
      <c r="A50" s="85"/>
      <c r="B50" s="94" t="s">
        <v>7</v>
      </c>
      <c r="C50" s="512">
        <v>1103241.022415668</v>
      </c>
      <c r="D50" s="512">
        <v>17093.914011082521</v>
      </c>
      <c r="E50" s="512">
        <v>15933.365083598062</v>
      </c>
      <c r="F50" s="512">
        <v>94</v>
      </c>
      <c r="G50" s="512">
        <v>2</v>
      </c>
      <c r="H50" s="512">
        <v>2155.4355758420347</v>
      </c>
      <c r="I50" s="512">
        <v>16719</v>
      </c>
      <c r="J50" s="512">
        <v>31492</v>
      </c>
      <c r="K50" s="512">
        <v>561707.37419042538</v>
      </c>
      <c r="L50" s="512">
        <v>673444.31552568509</v>
      </c>
      <c r="O50" s="107"/>
      <c r="P50" s="108"/>
      <c r="Q50" s="108"/>
      <c r="R50" s="108"/>
      <c r="S50" s="108"/>
      <c r="T50" s="108"/>
      <c r="U50" s="108"/>
      <c r="V50" s="108"/>
      <c r="W50" s="108"/>
      <c r="X50" s="108"/>
      <c r="Y50" s="105"/>
      <c r="Z50" s="109"/>
      <c r="AB50" s="206"/>
      <c r="AF50" s="207"/>
    </row>
    <row r="51" spans="1:32" x14ac:dyDescent="0.2">
      <c r="A51" s="85"/>
      <c r="B51" s="94" t="s">
        <v>8</v>
      </c>
      <c r="C51" s="512">
        <v>884939.96852743544</v>
      </c>
      <c r="D51" s="512">
        <v>14489.694391091827</v>
      </c>
      <c r="E51" s="512">
        <v>12532.010134556667</v>
      </c>
      <c r="F51" s="512">
        <v>88</v>
      </c>
      <c r="G51" s="512">
        <v>2</v>
      </c>
      <c r="H51" s="512">
        <v>2053.8124246830798</v>
      </c>
      <c r="I51" s="512">
        <v>13249</v>
      </c>
      <c r="J51" s="512">
        <v>27940</v>
      </c>
      <c r="K51" s="512">
        <v>500731.3468146454</v>
      </c>
      <c r="L51" s="512">
        <v>590922.97041974543</v>
      </c>
      <c r="O51" s="108"/>
      <c r="P51" s="108"/>
      <c r="Q51" s="108"/>
      <c r="R51" s="108"/>
      <c r="X51" s="108"/>
      <c r="Y51" s="105"/>
      <c r="Z51" s="109"/>
      <c r="AB51" s="206"/>
      <c r="AD51" s="208"/>
    </row>
    <row r="52" spans="1:32" x14ac:dyDescent="0.2">
      <c r="A52" s="85"/>
      <c r="B52" s="94" t="s">
        <v>9</v>
      </c>
      <c r="C52" s="512">
        <v>900474.20353809127</v>
      </c>
      <c r="D52" s="512">
        <v>12286.799954384289</v>
      </c>
      <c r="E52" s="512">
        <v>13347.076973522584</v>
      </c>
      <c r="F52" s="512">
        <v>165</v>
      </c>
      <c r="G52" s="512">
        <v>2</v>
      </c>
      <c r="H52" s="512">
        <v>1461.1530389325362</v>
      </c>
      <c r="I52" s="512">
        <v>13900</v>
      </c>
      <c r="J52" s="512">
        <v>27825</v>
      </c>
      <c r="K52" s="512">
        <v>543590.67091787583</v>
      </c>
      <c r="L52" s="512">
        <v>651708.51313821413</v>
      </c>
      <c r="M52" s="110"/>
      <c r="N52" s="111"/>
      <c r="O52" s="108"/>
      <c r="P52" s="108"/>
      <c r="Q52" s="108"/>
      <c r="R52" s="108"/>
      <c r="X52" s="108"/>
      <c r="Y52" s="105"/>
      <c r="Z52" s="112"/>
      <c r="AB52" s="206"/>
    </row>
    <row r="53" spans="1:32" x14ac:dyDescent="0.2">
      <c r="A53" s="85"/>
      <c r="B53" s="94" t="s">
        <v>10</v>
      </c>
      <c r="C53" s="512">
        <v>737564.85956618492</v>
      </c>
      <c r="D53" s="512">
        <v>7198.4653312978608</v>
      </c>
      <c r="E53" s="512">
        <v>11110.647962745927</v>
      </c>
      <c r="F53" s="512">
        <v>70</v>
      </c>
      <c r="G53" s="512">
        <v>2</v>
      </c>
      <c r="H53" s="512">
        <v>882.15727014454114</v>
      </c>
      <c r="I53" s="512">
        <v>11672</v>
      </c>
      <c r="J53" s="512">
        <v>25198</v>
      </c>
      <c r="K53" s="512">
        <v>482431.38921796548</v>
      </c>
      <c r="L53" s="512">
        <v>573824.65227280988</v>
      </c>
      <c r="M53" s="110"/>
      <c r="Y53" s="105"/>
      <c r="AB53" s="206"/>
    </row>
    <row r="54" spans="1:32" x14ac:dyDescent="0.2">
      <c r="A54" s="85"/>
      <c r="B54" s="94" t="s">
        <v>11</v>
      </c>
      <c r="C54" s="512">
        <v>808596.18360793928</v>
      </c>
      <c r="D54" s="512">
        <v>5010.2177990897071</v>
      </c>
      <c r="E54" s="512">
        <v>13150.698296531966</v>
      </c>
      <c r="F54" s="512">
        <v>104</v>
      </c>
      <c r="G54" s="512">
        <v>2</v>
      </c>
      <c r="H54" s="512">
        <v>405.63862857566022</v>
      </c>
      <c r="I54" s="512">
        <v>10104</v>
      </c>
      <c r="J54" s="512">
        <v>19612</v>
      </c>
      <c r="K54" s="512">
        <v>489186.32439443091</v>
      </c>
      <c r="L54" s="512">
        <v>615626.36465384217</v>
      </c>
      <c r="N54" s="111"/>
      <c r="O54" s="107"/>
      <c r="P54" s="108"/>
      <c r="Q54" s="108"/>
      <c r="R54" s="108"/>
      <c r="S54" s="108"/>
      <c r="T54" s="108"/>
      <c r="U54" s="108"/>
      <c r="V54" s="108"/>
      <c r="W54" s="108"/>
      <c r="X54" s="108"/>
      <c r="Y54" s="105"/>
      <c r="Z54" s="112"/>
      <c r="AB54" s="206"/>
    </row>
    <row r="55" spans="1:32" x14ac:dyDescent="0.2">
      <c r="A55" s="85"/>
      <c r="B55" s="94" t="s">
        <v>12</v>
      </c>
      <c r="C55" s="512">
        <v>1213518.8158535871</v>
      </c>
      <c r="D55" s="512">
        <v>6546.1898509252387</v>
      </c>
      <c r="E55" s="512">
        <v>20680.771935118843</v>
      </c>
      <c r="F55" s="512">
        <v>74</v>
      </c>
      <c r="G55" s="512">
        <v>1</v>
      </c>
      <c r="H55" s="512">
        <v>649.02180572105635</v>
      </c>
      <c r="I55" s="512">
        <v>9635</v>
      </c>
      <c r="J55" s="512">
        <v>18056</v>
      </c>
      <c r="K55" s="512">
        <v>569919.30450896779</v>
      </c>
      <c r="L55" s="512">
        <v>671202.5330866623</v>
      </c>
      <c r="M55" s="110"/>
      <c r="N55" s="111"/>
      <c r="O55" s="107"/>
      <c r="Q55" s="108"/>
      <c r="X55" s="108"/>
      <c r="Y55" s="105"/>
      <c r="Z55" s="109"/>
      <c r="AB55" s="206"/>
    </row>
    <row r="56" spans="1:32" x14ac:dyDescent="0.2">
      <c r="A56" s="85"/>
      <c r="B56" s="94" t="s">
        <v>13</v>
      </c>
      <c r="C56" s="512">
        <v>1621529.3461963243</v>
      </c>
      <c r="D56" s="512">
        <v>7259.9823301952783</v>
      </c>
      <c r="E56" s="512">
        <v>26953.450064236666</v>
      </c>
      <c r="F56" s="512">
        <v>59</v>
      </c>
      <c r="G56" s="512">
        <v>1</v>
      </c>
      <c r="H56" s="512">
        <v>690.01265660870206</v>
      </c>
      <c r="I56" s="512">
        <v>9762</v>
      </c>
      <c r="J56" s="512">
        <v>19121</v>
      </c>
      <c r="K56" s="512">
        <v>639726.05371033144</v>
      </c>
      <c r="L56" s="512">
        <v>734766.58567628451</v>
      </c>
      <c r="M56" s="110"/>
      <c r="N56" s="111"/>
      <c r="O56" s="107"/>
      <c r="Q56" s="108"/>
      <c r="X56" s="108"/>
      <c r="Y56" s="105"/>
      <c r="Z56" s="112"/>
      <c r="AB56" s="206"/>
    </row>
    <row r="57" spans="1:32" x14ac:dyDescent="0.2">
      <c r="A57" s="85"/>
      <c r="B57" s="94" t="s">
        <v>14</v>
      </c>
      <c r="C57" s="512">
        <v>1506520.1271832155</v>
      </c>
      <c r="D57" s="512">
        <v>6941.6562724086398</v>
      </c>
      <c r="E57" s="512">
        <v>24935.325505066085</v>
      </c>
      <c r="F57" s="512">
        <v>63</v>
      </c>
      <c r="G57" s="512">
        <v>1</v>
      </c>
      <c r="H57" s="512">
        <v>690.86663266886137</v>
      </c>
      <c r="I57" s="512">
        <v>10865</v>
      </c>
      <c r="J57" s="512">
        <v>17559</v>
      </c>
      <c r="K57" s="512">
        <v>646706.15339267894</v>
      </c>
      <c r="L57" s="512">
        <v>750385.42029583885</v>
      </c>
      <c r="M57" s="110"/>
      <c r="AB57" s="206"/>
    </row>
    <row r="58" spans="1:32" x14ac:dyDescent="0.2">
      <c r="A58" s="85"/>
      <c r="B58" s="94" t="s">
        <v>15</v>
      </c>
      <c r="C58" s="512">
        <v>1036720.697910864</v>
      </c>
      <c r="D58" s="512">
        <v>5424.2369662723295</v>
      </c>
      <c r="E58" s="512">
        <v>16647.382700423175</v>
      </c>
      <c r="F58" s="512">
        <v>63</v>
      </c>
      <c r="G58" s="512">
        <v>1</v>
      </c>
      <c r="H58" s="512">
        <v>574.72588848719863</v>
      </c>
      <c r="I58" s="512">
        <v>11995</v>
      </c>
      <c r="J58" s="512">
        <v>19529</v>
      </c>
      <c r="K58" s="512">
        <v>535683.61662737094</v>
      </c>
      <c r="L58" s="512">
        <v>642539.69594161911</v>
      </c>
      <c r="M58" s="110"/>
      <c r="N58" s="111"/>
      <c r="O58" s="107"/>
      <c r="P58" s="107"/>
      <c r="AB58" s="206"/>
    </row>
    <row r="59" spans="1:32" x14ac:dyDescent="0.2">
      <c r="A59" s="85"/>
      <c r="B59" s="94" t="s">
        <v>16</v>
      </c>
      <c r="C59" s="512">
        <v>763663.10913754767</v>
      </c>
      <c r="D59" s="512">
        <v>6421.2029325304848</v>
      </c>
      <c r="E59" s="512">
        <v>11329.9057089005</v>
      </c>
      <c r="F59" s="512">
        <v>65</v>
      </c>
      <c r="G59" s="512">
        <v>1</v>
      </c>
      <c r="H59" s="512">
        <v>706.23820175172852</v>
      </c>
      <c r="I59" s="512">
        <v>14117</v>
      </c>
      <c r="J59" s="512">
        <v>20385</v>
      </c>
      <c r="K59" s="512">
        <v>518851.33716027346</v>
      </c>
      <c r="L59" s="512">
        <v>630185.6767652228</v>
      </c>
      <c r="M59" s="110"/>
      <c r="N59" s="111"/>
      <c r="O59" s="108"/>
      <c r="P59" s="108"/>
      <c r="AB59" s="206"/>
    </row>
    <row r="60" spans="1:32" x14ac:dyDescent="0.2">
      <c r="A60" s="85"/>
      <c r="B60" s="94" t="s">
        <v>17</v>
      </c>
      <c r="C60" s="512">
        <v>815550.23840204242</v>
      </c>
      <c r="D60" s="512">
        <v>8801.8131438305645</v>
      </c>
      <c r="E60" s="512">
        <v>10806.547001775018</v>
      </c>
      <c r="F60" s="512">
        <v>77</v>
      </c>
      <c r="G60" s="512">
        <v>1</v>
      </c>
      <c r="H60" s="512">
        <v>918.02426467123109</v>
      </c>
      <c r="I60" s="512">
        <v>14980</v>
      </c>
      <c r="J60" s="512">
        <v>21877</v>
      </c>
      <c r="K60" s="512">
        <v>478026.71129267907</v>
      </c>
      <c r="L60" s="512">
        <v>598156.51701124152</v>
      </c>
      <c r="M60" s="110"/>
      <c r="AB60" s="206"/>
    </row>
    <row r="61" spans="1:32" x14ac:dyDescent="0.2">
      <c r="A61" s="85"/>
      <c r="B61" s="94" t="s">
        <v>18</v>
      </c>
      <c r="C61" s="512">
        <v>1002234.6575159732</v>
      </c>
      <c r="D61" s="512">
        <v>12482.092014376092</v>
      </c>
      <c r="E61" s="512">
        <v>13406.18123552947</v>
      </c>
      <c r="F61" s="512">
        <v>76</v>
      </c>
      <c r="G61" s="512">
        <v>1</v>
      </c>
      <c r="H61" s="512">
        <v>1473.1087037747661</v>
      </c>
      <c r="I61" s="512">
        <v>16091</v>
      </c>
      <c r="J61" s="512">
        <v>36018</v>
      </c>
      <c r="K61" s="512">
        <v>523441.73471449921</v>
      </c>
      <c r="L61" s="512">
        <v>632595.97436835081</v>
      </c>
      <c r="M61" s="110"/>
      <c r="AB61" s="206"/>
    </row>
    <row r="62" spans="1:32" x14ac:dyDescent="0.2">
      <c r="A62" s="85"/>
      <c r="B62" s="113"/>
      <c r="C62" s="108"/>
      <c r="D62" s="108"/>
      <c r="E62" s="108"/>
      <c r="F62" s="108"/>
      <c r="G62" s="108"/>
      <c r="H62" s="108"/>
      <c r="I62" s="108"/>
      <c r="J62" s="108"/>
      <c r="K62" s="108"/>
      <c r="L62" s="108"/>
      <c r="M62" s="108"/>
      <c r="O62" s="81"/>
      <c r="AB62" s="108"/>
    </row>
    <row r="63" spans="1:32" x14ac:dyDescent="0.2">
      <c r="A63" s="85"/>
      <c r="B63" s="97"/>
      <c r="I63" s="114"/>
      <c r="J63" s="114"/>
      <c r="O63" s="82"/>
      <c r="AB63" s="115"/>
    </row>
    <row r="64" spans="1:32" x14ac:dyDescent="0.2">
      <c r="A64" s="85"/>
      <c r="B64" s="81" t="s">
        <v>329</v>
      </c>
      <c r="C64" s="205" t="s">
        <v>196</v>
      </c>
      <c r="D64" s="205" t="s">
        <v>196</v>
      </c>
      <c r="L64" s="108"/>
      <c r="Y64" s="79"/>
      <c r="Z64" s="79"/>
      <c r="AB64" s="115"/>
    </row>
    <row r="65" spans="1:26" x14ac:dyDescent="0.2">
      <c r="A65" s="85"/>
      <c r="B65" s="140"/>
      <c r="C65" s="106" t="s">
        <v>195</v>
      </c>
      <c r="D65" s="106" t="s">
        <v>197</v>
      </c>
      <c r="E65" s="217"/>
      <c r="F65" s="217"/>
      <c r="G65" s="217"/>
      <c r="H65" s="217"/>
      <c r="I65" s="217"/>
      <c r="J65" s="217"/>
    </row>
    <row r="66" spans="1:26" x14ac:dyDescent="0.2">
      <c r="A66" s="85"/>
      <c r="C66" s="513">
        <v>0.36776442997530606</v>
      </c>
      <c r="D66" s="513">
        <v>0.35759013051564653</v>
      </c>
      <c r="E66" s="217"/>
      <c r="F66" s="217"/>
      <c r="G66" s="217"/>
      <c r="H66" s="217"/>
      <c r="I66" s="217"/>
      <c r="J66" s="217"/>
    </row>
    <row r="67" spans="1:26" x14ac:dyDescent="0.2">
      <c r="A67" s="85"/>
      <c r="C67" s="217"/>
      <c r="D67" s="217"/>
      <c r="E67" s="217"/>
      <c r="F67" s="217"/>
      <c r="G67" s="217"/>
      <c r="H67" s="217"/>
      <c r="I67" s="217"/>
      <c r="J67" s="217"/>
      <c r="K67" s="217"/>
    </row>
    <row r="68" spans="1:26" x14ac:dyDescent="0.2">
      <c r="A68" s="85"/>
      <c r="C68" s="217"/>
      <c r="D68" s="217"/>
      <c r="E68" s="217"/>
      <c r="F68" s="217"/>
      <c r="G68" s="217"/>
      <c r="H68" s="217"/>
      <c r="I68" s="217"/>
      <c r="J68" s="217"/>
      <c r="K68" s="217"/>
    </row>
    <row r="69" spans="1:26" x14ac:dyDescent="0.2">
      <c r="A69" s="85"/>
      <c r="B69" s="81"/>
    </row>
    <row r="70" spans="1:26" x14ac:dyDescent="0.2">
      <c r="A70" s="83" t="s">
        <v>76</v>
      </c>
      <c r="B70" s="81" t="s">
        <v>39</v>
      </c>
      <c r="E70" s="116" t="s">
        <v>66</v>
      </c>
      <c r="F70" s="81" t="s">
        <v>179</v>
      </c>
      <c r="N70" s="104"/>
    </row>
    <row r="71" spans="1:26" s="117" customFormat="1" x14ac:dyDescent="0.2">
      <c r="A71" s="85"/>
      <c r="B71" s="82" t="s">
        <v>234</v>
      </c>
      <c r="F71" s="79" t="s">
        <v>178</v>
      </c>
      <c r="G71" s="133"/>
      <c r="N71" s="111"/>
      <c r="O71" s="107"/>
      <c r="P71" s="107"/>
      <c r="Q71" s="107"/>
      <c r="R71" s="107"/>
      <c r="S71" s="107"/>
      <c r="T71" s="107"/>
      <c r="U71" s="107"/>
      <c r="V71" s="107"/>
      <c r="W71" s="107"/>
      <c r="X71" s="107"/>
      <c r="Y71" s="105"/>
      <c r="Z71" s="109"/>
    </row>
    <row r="72" spans="1:26" x14ac:dyDescent="0.2">
      <c r="A72" s="85"/>
      <c r="C72" s="79" t="s">
        <v>20</v>
      </c>
      <c r="F72" s="79" t="s">
        <v>176</v>
      </c>
      <c r="N72" s="111"/>
      <c r="O72" s="108"/>
      <c r="P72" s="108"/>
      <c r="Q72" s="108"/>
      <c r="R72" s="108"/>
      <c r="S72" s="108"/>
      <c r="T72" s="108"/>
      <c r="U72" s="108"/>
      <c r="V72" s="108"/>
      <c r="W72" s="108"/>
      <c r="X72" s="108"/>
      <c r="Y72" s="105"/>
      <c r="Z72" s="112"/>
    </row>
    <row r="73" spans="1:26" x14ac:dyDescent="0.2">
      <c r="A73" s="85"/>
      <c r="B73" s="94" t="s">
        <v>7</v>
      </c>
      <c r="C73" s="514">
        <v>46.94</v>
      </c>
      <c r="E73" s="499" t="s">
        <v>53</v>
      </c>
      <c r="F73" s="500">
        <v>0.65310000000000001</v>
      </c>
      <c r="K73" s="118"/>
      <c r="Y73" s="105"/>
    </row>
    <row r="74" spans="1:26" x14ac:dyDescent="0.2">
      <c r="A74" s="85"/>
      <c r="B74" s="94" t="s">
        <v>8</v>
      </c>
      <c r="C74" s="514">
        <v>44.45</v>
      </c>
      <c r="D74" s="210"/>
      <c r="E74" s="499" t="s">
        <v>54</v>
      </c>
      <c r="F74" s="500">
        <v>0.78459999999999996</v>
      </c>
      <c r="K74" s="118"/>
      <c r="N74" s="104"/>
      <c r="Y74" s="105"/>
    </row>
    <row r="75" spans="1:26" x14ac:dyDescent="0.2">
      <c r="A75" s="85"/>
      <c r="B75" s="94" t="s">
        <v>9</v>
      </c>
      <c r="C75" s="514">
        <v>35.43</v>
      </c>
      <c r="D75" s="210"/>
      <c r="E75" s="209"/>
      <c r="H75" s="211"/>
      <c r="I75" s="211"/>
      <c r="J75" s="118"/>
      <c r="N75" s="111"/>
      <c r="O75" s="107"/>
      <c r="P75" s="107"/>
      <c r="Q75" s="107"/>
      <c r="R75" s="107"/>
      <c r="S75" s="107"/>
      <c r="T75" s="107"/>
      <c r="U75" s="107"/>
      <c r="V75" s="107"/>
      <c r="W75" s="107"/>
      <c r="X75" s="107"/>
      <c r="Y75" s="105"/>
      <c r="Z75" s="109"/>
    </row>
    <row r="76" spans="1:26" x14ac:dyDescent="0.2">
      <c r="A76" s="85"/>
      <c r="B76" s="94" t="s">
        <v>10</v>
      </c>
      <c r="C76" s="514">
        <v>30.64</v>
      </c>
      <c r="D76" s="210"/>
      <c r="E76" s="209"/>
      <c r="H76" s="211"/>
      <c r="I76" s="211"/>
      <c r="J76" s="118"/>
      <c r="N76" s="111"/>
      <c r="O76" s="108"/>
      <c r="P76" s="108"/>
      <c r="Q76" s="108"/>
      <c r="R76" s="108"/>
      <c r="S76" s="108"/>
      <c r="T76" s="108"/>
      <c r="U76" s="108"/>
      <c r="V76" s="108"/>
      <c r="W76" s="108"/>
      <c r="X76" s="108"/>
      <c r="Y76" s="105"/>
      <c r="Z76" s="112"/>
    </row>
    <row r="77" spans="1:26" x14ac:dyDescent="0.2">
      <c r="A77" s="85"/>
      <c r="B77" s="94" t="s">
        <v>11</v>
      </c>
      <c r="C77" s="514">
        <v>30.3</v>
      </c>
      <c r="D77" s="210"/>
      <c r="E77" s="209"/>
      <c r="H77" s="211"/>
      <c r="I77" s="211"/>
      <c r="Y77" s="105"/>
    </row>
    <row r="78" spans="1:26" x14ac:dyDescent="0.2">
      <c r="A78" s="85"/>
      <c r="B78" s="94" t="s">
        <v>12</v>
      </c>
      <c r="C78" s="514">
        <v>30.23</v>
      </c>
      <c r="F78" s="690" t="s">
        <v>581</v>
      </c>
      <c r="G78" s="691"/>
      <c r="N78" s="111"/>
      <c r="O78" s="108"/>
      <c r="P78" s="108"/>
      <c r="Q78" s="108"/>
      <c r="R78" s="108"/>
      <c r="S78" s="108"/>
      <c r="T78" s="108"/>
      <c r="U78" s="108"/>
      <c r="V78" s="108"/>
      <c r="W78" s="108"/>
      <c r="X78" s="108"/>
      <c r="Y78" s="105"/>
      <c r="Z78" s="109"/>
    </row>
    <row r="79" spans="1:26" x14ac:dyDescent="0.2">
      <c r="A79" s="85"/>
      <c r="B79" s="94" t="s">
        <v>13</v>
      </c>
      <c r="C79" s="514">
        <v>35.770000000000003</v>
      </c>
      <c r="D79" s="119"/>
      <c r="E79" s="90"/>
      <c r="F79" s="90" t="s">
        <v>20</v>
      </c>
      <c r="G79" s="90" t="s">
        <v>21</v>
      </c>
      <c r="H79" s="120"/>
      <c r="I79" s="120"/>
      <c r="N79" s="111"/>
      <c r="O79" s="108"/>
      <c r="P79" s="108"/>
      <c r="Q79" s="108"/>
      <c r="R79" s="108"/>
      <c r="S79" s="108"/>
      <c r="T79" s="108"/>
      <c r="U79" s="108"/>
      <c r="V79" s="108"/>
      <c r="W79" s="108"/>
      <c r="X79" s="108"/>
      <c r="Y79" s="105"/>
      <c r="Z79" s="112"/>
    </row>
    <row r="80" spans="1:26" x14ac:dyDescent="0.2">
      <c r="A80" s="85"/>
      <c r="B80" s="94" t="s">
        <v>14</v>
      </c>
      <c r="C80" s="514">
        <v>32.56</v>
      </c>
      <c r="D80" s="119"/>
      <c r="E80" s="499" t="s">
        <v>53</v>
      </c>
      <c r="F80" s="515">
        <v>0.94</v>
      </c>
      <c r="G80" s="515">
        <v>0.9</v>
      </c>
      <c r="H80" s="120"/>
      <c r="I80" s="120"/>
    </row>
    <row r="81" spans="1:21" x14ac:dyDescent="0.2">
      <c r="A81" s="85"/>
      <c r="B81" s="94" t="s">
        <v>15</v>
      </c>
      <c r="C81" s="514">
        <v>30.95</v>
      </c>
      <c r="D81" s="119"/>
      <c r="E81" s="499" t="s">
        <v>54</v>
      </c>
      <c r="F81" s="515">
        <v>0.96</v>
      </c>
      <c r="G81" s="515">
        <v>0.96</v>
      </c>
      <c r="H81" s="120"/>
      <c r="I81" s="120"/>
    </row>
    <row r="82" spans="1:21" x14ac:dyDescent="0.2">
      <c r="A82" s="85"/>
      <c r="B82" s="94" t="s">
        <v>16</v>
      </c>
      <c r="C82" s="514">
        <v>29.6</v>
      </c>
      <c r="D82" s="119"/>
      <c r="E82" s="209"/>
      <c r="H82" s="211"/>
      <c r="I82" s="211"/>
    </row>
    <row r="83" spans="1:21" x14ac:dyDescent="0.2">
      <c r="A83" s="85"/>
      <c r="B83" s="94" t="s">
        <v>17</v>
      </c>
      <c r="C83" s="514">
        <v>30.09</v>
      </c>
      <c r="D83" s="210"/>
      <c r="E83" s="209"/>
      <c r="H83" s="211"/>
      <c r="I83" s="211"/>
    </row>
    <row r="84" spans="1:21" x14ac:dyDescent="0.2">
      <c r="A84" s="85"/>
      <c r="B84" s="94" t="s">
        <v>18</v>
      </c>
      <c r="C84" s="514">
        <v>33.46</v>
      </c>
      <c r="D84" s="210"/>
      <c r="E84" s="209"/>
      <c r="H84" s="211"/>
      <c r="I84" s="211"/>
    </row>
    <row r="85" spans="1:21" x14ac:dyDescent="0.2">
      <c r="A85" s="85"/>
      <c r="B85" s="97"/>
      <c r="C85" s="121"/>
      <c r="D85" s="121"/>
      <c r="G85" s="122"/>
      <c r="K85" s="122"/>
    </row>
    <row r="86" spans="1:21" x14ac:dyDescent="0.2">
      <c r="A86" s="85"/>
      <c r="B86" s="123"/>
      <c r="C86" s="123"/>
      <c r="D86" s="121"/>
      <c r="G86" s="122"/>
      <c r="K86" s="122"/>
    </row>
    <row r="87" spans="1:21" x14ac:dyDescent="0.2">
      <c r="A87" s="85"/>
      <c r="E87" s="126"/>
      <c r="F87" s="126"/>
      <c r="G87" s="126"/>
      <c r="H87" s="126"/>
      <c r="I87" s="126"/>
      <c r="J87" s="126"/>
      <c r="K87" s="126"/>
      <c r="L87" s="126"/>
      <c r="M87" s="126"/>
    </row>
    <row r="88" spans="1:21" x14ac:dyDescent="0.2">
      <c r="A88" s="83" t="s">
        <v>67</v>
      </c>
      <c r="B88" s="93" t="s">
        <v>322</v>
      </c>
      <c r="C88" s="93" t="s">
        <v>323</v>
      </c>
      <c r="D88" s="93" t="s">
        <v>321</v>
      </c>
      <c r="E88" s="126"/>
      <c r="F88" s="126"/>
      <c r="G88" s="126"/>
      <c r="H88" s="126"/>
      <c r="I88" s="126"/>
      <c r="J88" s="126"/>
      <c r="K88" s="126"/>
      <c r="L88" s="126"/>
      <c r="M88" s="126"/>
    </row>
    <row r="89" spans="1:21" x14ac:dyDescent="0.2">
      <c r="A89" s="85"/>
      <c r="B89" s="93" t="s">
        <v>319</v>
      </c>
      <c r="C89" s="516">
        <v>5.8326999999999997E-2</v>
      </c>
      <c r="D89" s="201" t="s">
        <v>631</v>
      </c>
      <c r="E89" s="212"/>
      <c r="F89" s="212"/>
      <c r="G89" s="212"/>
      <c r="H89" s="212"/>
      <c r="I89" s="212"/>
      <c r="J89" s="212"/>
      <c r="K89" s="212"/>
      <c r="L89" s="212"/>
      <c r="M89" s="126"/>
    </row>
    <row r="90" spans="1:21" x14ac:dyDescent="0.2">
      <c r="A90" s="85"/>
      <c r="B90" s="93" t="s">
        <v>320</v>
      </c>
      <c r="C90" s="510">
        <v>4.5599999999999998E-3</v>
      </c>
      <c r="D90" s="93" t="s">
        <v>630</v>
      </c>
      <c r="E90" s="125"/>
      <c r="F90" s="125"/>
      <c r="G90" s="125"/>
      <c r="H90" s="125"/>
      <c r="I90" s="125"/>
      <c r="J90" s="125"/>
      <c r="K90" s="125"/>
      <c r="L90" s="125"/>
      <c r="M90" s="126"/>
    </row>
    <row r="91" spans="1:21" x14ac:dyDescent="0.2">
      <c r="A91" s="85"/>
      <c r="B91" s="93" t="s">
        <v>327</v>
      </c>
      <c r="C91" s="517">
        <v>1.0525E-2</v>
      </c>
      <c r="D91" s="93" t="s">
        <v>326</v>
      </c>
      <c r="E91" s="125"/>
      <c r="F91" s="125"/>
      <c r="G91" s="125"/>
      <c r="H91" s="125"/>
      <c r="I91" s="125"/>
      <c r="J91" s="125"/>
      <c r="K91" s="125"/>
      <c r="L91" s="125"/>
      <c r="M91" s="126"/>
    </row>
    <row r="92" spans="1:21" x14ac:dyDescent="0.2">
      <c r="A92" s="85"/>
      <c r="C92" s="127"/>
      <c r="D92" s="126"/>
      <c r="E92" s="126"/>
      <c r="F92" s="126"/>
      <c r="G92" s="126"/>
      <c r="H92" s="126"/>
      <c r="I92" s="126"/>
      <c r="J92" s="126"/>
      <c r="K92" s="126"/>
      <c r="L92" s="126"/>
      <c r="M92" s="126"/>
    </row>
    <row r="93" spans="1:21" x14ac:dyDescent="0.2">
      <c r="A93" s="85"/>
    </row>
    <row r="94" spans="1:21" x14ac:dyDescent="0.2">
      <c r="A94" s="85"/>
      <c r="T94" s="108"/>
      <c r="U94" s="108"/>
    </row>
    <row r="95" spans="1:21" x14ac:dyDescent="0.2">
      <c r="A95" s="85"/>
      <c r="T95" s="108"/>
      <c r="U95" s="108"/>
    </row>
    <row r="96" spans="1:21" x14ac:dyDescent="0.2">
      <c r="A96" s="83" t="s">
        <v>71</v>
      </c>
      <c r="B96" s="81" t="s">
        <v>159</v>
      </c>
      <c r="L96" s="79"/>
      <c r="T96" s="108"/>
      <c r="U96" s="108"/>
    </row>
    <row r="97" spans="1:22" x14ac:dyDescent="0.2">
      <c r="A97" s="85"/>
      <c r="B97" s="502" t="s">
        <v>645</v>
      </c>
      <c r="L97" s="79"/>
      <c r="T97" s="108"/>
      <c r="U97" s="108"/>
    </row>
    <row r="98" spans="1:22" x14ac:dyDescent="0.2">
      <c r="A98" s="85"/>
      <c r="B98" s="82" t="s">
        <v>77</v>
      </c>
      <c r="C98" s="79"/>
      <c r="D98" s="79"/>
      <c r="E98" s="79"/>
      <c r="F98" s="79"/>
      <c r="G98" s="79"/>
      <c r="H98" s="79"/>
      <c r="I98" s="79"/>
      <c r="J98" s="79"/>
      <c r="K98" s="79"/>
      <c r="L98" s="79"/>
      <c r="M98" s="79"/>
      <c r="T98" s="108"/>
      <c r="U98" s="108"/>
    </row>
    <row r="99" spans="1:22" ht="12.75" customHeight="1" x14ac:dyDescent="0.2">
      <c r="A99" s="85"/>
      <c r="B99" s="82"/>
      <c r="C99" s="79"/>
      <c r="D99" s="79"/>
      <c r="E99" s="79"/>
      <c r="F99" s="79"/>
      <c r="G99" s="79"/>
      <c r="H99" s="79"/>
      <c r="I99" s="79"/>
      <c r="J99" s="79"/>
      <c r="K99" s="79"/>
      <c r="M99" s="79"/>
      <c r="R99" s="128"/>
      <c r="S99" s="128"/>
      <c r="T99" s="128"/>
      <c r="U99" s="128"/>
      <c r="V99" s="128"/>
    </row>
    <row r="100" spans="1:22" x14ac:dyDescent="0.2">
      <c r="A100" s="85"/>
      <c r="B100" s="93"/>
      <c r="C100" s="90" t="s">
        <v>0</v>
      </c>
      <c r="D100" s="90" t="s">
        <v>1</v>
      </c>
      <c r="E100" s="90" t="s">
        <v>2</v>
      </c>
      <c r="F100" s="90" t="s">
        <v>3</v>
      </c>
      <c r="G100" s="90" t="s">
        <v>4</v>
      </c>
      <c r="H100" s="90" t="s">
        <v>6</v>
      </c>
      <c r="I100" s="90" t="s">
        <v>37</v>
      </c>
      <c r="J100" s="90" t="s">
        <v>38</v>
      </c>
      <c r="K100" s="90" t="s">
        <v>5</v>
      </c>
      <c r="L100" s="90" t="s">
        <v>36</v>
      </c>
    </row>
    <row r="101" spans="1:22" x14ac:dyDescent="0.2">
      <c r="A101" s="129"/>
      <c r="B101" s="505" t="s">
        <v>332</v>
      </c>
      <c r="C101" s="518">
        <v>3904.1169483376193</v>
      </c>
      <c r="D101" s="518">
        <v>20.23385310982194</v>
      </c>
      <c r="E101" s="518">
        <v>67.956924969644461</v>
      </c>
      <c r="F101" s="518">
        <v>0</v>
      </c>
      <c r="G101" s="518">
        <v>0</v>
      </c>
      <c r="H101" s="518">
        <v>3.8705097097770289</v>
      </c>
      <c r="I101" s="518">
        <v>0</v>
      </c>
      <c r="J101" s="518">
        <v>0</v>
      </c>
      <c r="K101" s="518">
        <v>1646.4166590995444</v>
      </c>
      <c r="L101" s="518">
        <v>1377.0476936878042</v>
      </c>
      <c r="M101" s="130"/>
      <c r="V101" s="131"/>
    </row>
    <row r="102" spans="1:22" x14ac:dyDescent="0.2">
      <c r="A102" s="78"/>
      <c r="B102" s="505" t="s">
        <v>315</v>
      </c>
      <c r="C102" s="518">
        <v>4225.8068167284737</v>
      </c>
      <c r="D102" s="518">
        <v>21.909658389490048</v>
      </c>
      <c r="E102" s="518">
        <v>74.221401071794475</v>
      </c>
      <c r="F102" s="518">
        <v>0</v>
      </c>
      <c r="G102" s="518">
        <v>0</v>
      </c>
      <c r="H102" s="518">
        <v>4.255448492699049</v>
      </c>
      <c r="I102" s="518">
        <v>0</v>
      </c>
      <c r="J102" s="518">
        <v>0</v>
      </c>
      <c r="K102" s="518">
        <v>1768.4981307815306</v>
      </c>
      <c r="L102" s="518">
        <v>1406.9734684466575</v>
      </c>
      <c r="V102" s="131"/>
    </row>
    <row r="103" spans="1:22" x14ac:dyDescent="0.2">
      <c r="A103" s="129"/>
      <c r="C103" s="213"/>
      <c r="D103" s="213"/>
      <c r="E103" s="213"/>
      <c r="F103" s="213"/>
      <c r="G103" s="213"/>
      <c r="H103" s="213"/>
      <c r="I103" s="213"/>
      <c r="J103" s="213"/>
      <c r="K103" s="213"/>
      <c r="L103" s="213"/>
      <c r="M103" s="130"/>
      <c r="V103" s="131"/>
    </row>
    <row r="104" spans="1:22" x14ac:dyDescent="0.2">
      <c r="A104" s="78"/>
      <c r="B104" s="505" t="s">
        <v>316</v>
      </c>
      <c r="C104" s="519">
        <v>1.1050543994531257</v>
      </c>
      <c r="D104" s="132"/>
      <c r="E104" s="132"/>
      <c r="F104" s="132"/>
      <c r="G104" s="132"/>
      <c r="H104" s="132"/>
      <c r="I104" s="132"/>
      <c r="J104" s="132"/>
      <c r="K104" s="132"/>
      <c r="M104" s="132"/>
      <c r="V104" s="131"/>
    </row>
    <row r="105" spans="1:22" x14ac:dyDescent="0.2">
      <c r="A105" s="85"/>
      <c r="B105" s="201" t="str">
        <f>"PJM June 1, "&amp;(Input!D2-1)&amp;" (through May 31, "&amp;(Input!D2)&amp;") Forecast Pool Requirement"</f>
        <v>PJM June 1, -1 (through May 31, ) Forecast Pool Requirement</v>
      </c>
      <c r="C105" s="519">
        <v>1.0894999999999999</v>
      </c>
      <c r="I105" s="132"/>
      <c r="K105" s="79"/>
      <c r="M105" s="132"/>
    </row>
    <row r="106" spans="1:22" x14ac:dyDescent="0.2">
      <c r="A106" s="85"/>
      <c r="D106" s="111"/>
      <c r="E106" s="214"/>
      <c r="G106" s="111"/>
      <c r="H106" s="133"/>
      <c r="I106" s="132"/>
    </row>
    <row r="107" spans="1:22" x14ac:dyDescent="0.2">
      <c r="A107" s="85"/>
      <c r="B107" s="133" t="s">
        <v>313</v>
      </c>
      <c r="C107" s="93"/>
      <c r="D107" s="201" t="s">
        <v>314</v>
      </c>
      <c r="E107" s="93" t="s">
        <v>313</v>
      </c>
      <c r="G107" s="111"/>
      <c r="H107" s="133"/>
      <c r="I107" s="132"/>
    </row>
    <row r="108" spans="1:22" x14ac:dyDescent="0.2">
      <c r="A108" s="85"/>
      <c r="B108" s="520"/>
      <c r="C108" s="521">
        <v>2018</v>
      </c>
      <c r="D108" s="93">
        <v>29</v>
      </c>
      <c r="E108" s="522">
        <v>101197</v>
      </c>
      <c r="F108" s="111"/>
      <c r="G108" s="111"/>
      <c r="H108" s="133"/>
      <c r="I108" s="132"/>
    </row>
    <row r="109" spans="1:22" x14ac:dyDescent="0.2">
      <c r="A109" s="85"/>
      <c r="B109" s="85"/>
      <c r="C109" s="521">
        <v>2019</v>
      </c>
      <c r="D109" s="93">
        <v>28</v>
      </c>
      <c r="E109" s="522">
        <v>104709.15</v>
      </c>
      <c r="F109" s="111"/>
      <c r="G109" s="111"/>
      <c r="H109" s="523"/>
    </row>
    <row r="110" spans="1:22" x14ac:dyDescent="0.2">
      <c r="A110" s="85"/>
      <c r="C110" s="521">
        <v>2020</v>
      </c>
      <c r="D110" s="93">
        <v>28</v>
      </c>
      <c r="E110" s="522">
        <v>104709.15</v>
      </c>
      <c r="F110" s="134"/>
      <c r="G110" s="134"/>
      <c r="H110" s="133"/>
      <c r="I110" s="132"/>
    </row>
    <row r="111" spans="1:22" x14ac:dyDescent="0.2">
      <c r="A111" s="85"/>
      <c r="C111" s="523"/>
      <c r="E111" s="524"/>
      <c r="F111" s="111"/>
      <c r="G111" s="111"/>
      <c r="I111" s="132"/>
    </row>
    <row r="112" spans="1:22" ht="25.5" x14ac:dyDescent="0.2">
      <c r="A112" s="85"/>
      <c r="B112" s="133"/>
      <c r="C112" s="111"/>
      <c r="E112" s="501" t="s">
        <v>408</v>
      </c>
      <c r="F112" s="111"/>
      <c r="I112" s="132"/>
    </row>
    <row r="113" spans="1:18" x14ac:dyDescent="0.2">
      <c r="A113" s="85"/>
      <c r="B113" s="133" t="s">
        <v>102</v>
      </c>
      <c r="C113" s="687" t="s">
        <v>151</v>
      </c>
      <c r="D113" s="687"/>
      <c r="E113" s="172">
        <v>180.1</v>
      </c>
      <c r="F113" s="173" t="s">
        <v>98</v>
      </c>
      <c r="I113" s="132"/>
      <c r="J113" s="215"/>
    </row>
    <row r="114" spans="1:18" x14ac:dyDescent="0.2">
      <c r="A114" s="85"/>
      <c r="C114" s="687" t="s">
        <v>152</v>
      </c>
      <c r="D114" s="687"/>
      <c r="E114" s="172">
        <v>180.1</v>
      </c>
      <c r="F114" s="173" t="s">
        <v>98</v>
      </c>
      <c r="P114" s="111"/>
    </row>
    <row r="115" spans="1:18" ht="18" customHeight="1" x14ac:dyDescent="0.2">
      <c r="A115" s="85"/>
      <c r="F115" s="133"/>
      <c r="G115" s="133"/>
      <c r="H115" s="133"/>
      <c r="I115" s="133"/>
      <c r="O115" s="111"/>
      <c r="P115" s="135"/>
    </row>
    <row r="116" spans="1:18" x14ac:dyDescent="0.2">
      <c r="A116" s="85"/>
      <c r="F116" s="133"/>
      <c r="G116" s="133"/>
      <c r="H116" s="133"/>
      <c r="I116" s="133"/>
      <c r="J116" s="133"/>
      <c r="P116" s="111"/>
      <c r="Q116" s="135"/>
    </row>
    <row r="117" spans="1:18" x14ac:dyDescent="0.2">
      <c r="A117" s="85"/>
      <c r="F117" s="133"/>
      <c r="G117" s="133"/>
      <c r="H117" s="133"/>
      <c r="I117" s="133"/>
      <c r="J117" s="133"/>
      <c r="P117" s="111"/>
      <c r="Q117" s="135"/>
    </row>
    <row r="118" spans="1:18" x14ac:dyDescent="0.2">
      <c r="A118" s="83"/>
      <c r="B118" s="93"/>
      <c r="C118" s="90" t="s">
        <v>0</v>
      </c>
      <c r="D118" s="90" t="s">
        <v>1</v>
      </c>
      <c r="F118" s="133"/>
      <c r="G118" s="133"/>
      <c r="H118" s="133"/>
      <c r="I118" s="133"/>
      <c r="J118" s="216"/>
    </row>
    <row r="119" spans="1:18" x14ac:dyDescent="0.2">
      <c r="A119" s="83"/>
      <c r="B119" s="498" t="s">
        <v>185</v>
      </c>
      <c r="C119" s="500">
        <v>0.86519999999999975</v>
      </c>
      <c r="D119" s="500">
        <v>1.1569000000000003</v>
      </c>
      <c r="E119" s="133" t="s">
        <v>162</v>
      </c>
      <c r="F119" s="136" t="s">
        <v>188</v>
      </c>
      <c r="I119" s="133"/>
      <c r="J119" s="216"/>
      <c r="K119" s="137"/>
      <c r="Q119" s="138"/>
      <c r="R119" s="138"/>
    </row>
    <row r="120" spans="1:18" x14ac:dyDescent="0.2">
      <c r="A120" s="83"/>
      <c r="F120" s="133"/>
      <c r="H120" s="133"/>
      <c r="I120" s="133"/>
      <c r="J120" s="216"/>
      <c r="K120" s="137"/>
      <c r="Q120" s="138"/>
      <c r="R120" s="138"/>
    </row>
    <row r="121" spans="1:18" x14ac:dyDescent="0.2">
      <c r="A121" s="78"/>
      <c r="B121" s="133"/>
      <c r="C121" s="133"/>
      <c r="D121" s="133"/>
      <c r="E121" s="133"/>
      <c r="F121" s="133"/>
      <c r="G121" s="133"/>
      <c r="H121" s="133"/>
      <c r="I121" s="133"/>
      <c r="J121" s="133"/>
    </row>
    <row r="122" spans="1:18" x14ac:dyDescent="0.2">
      <c r="A122" s="83" t="s">
        <v>72</v>
      </c>
      <c r="B122" s="81" t="s">
        <v>577</v>
      </c>
      <c r="D122" s="133"/>
      <c r="I122" s="133"/>
      <c r="J122" s="133"/>
    </row>
    <row r="123" spans="1:18" x14ac:dyDescent="0.2">
      <c r="A123" s="83"/>
      <c r="B123" s="133" t="s">
        <v>578</v>
      </c>
      <c r="D123" s="172">
        <v>2</v>
      </c>
      <c r="E123" s="124" t="s">
        <v>143</v>
      </c>
      <c r="I123" s="133"/>
      <c r="J123" s="133"/>
    </row>
    <row r="124" spans="1:18" x14ac:dyDescent="0.2">
      <c r="A124" s="83"/>
      <c r="B124" s="133" t="s">
        <v>579</v>
      </c>
      <c r="D124" s="172">
        <v>16.25</v>
      </c>
      <c r="E124" s="124" t="s">
        <v>143</v>
      </c>
      <c r="I124" s="133"/>
      <c r="J124" s="133"/>
    </row>
    <row r="125" spans="1:18" x14ac:dyDescent="0.2">
      <c r="A125" s="85"/>
      <c r="B125" s="82"/>
      <c r="E125" s="124"/>
    </row>
    <row r="126" spans="1:18" x14ac:dyDescent="0.2">
      <c r="A126" s="85"/>
      <c r="B126" s="82"/>
      <c r="F126" s="124"/>
    </row>
    <row r="127" spans="1:18" x14ac:dyDescent="0.2">
      <c r="A127" s="85"/>
      <c r="B127" s="81"/>
      <c r="E127" s="139"/>
      <c r="F127" s="124"/>
    </row>
    <row r="128" spans="1:18" x14ac:dyDescent="0.2">
      <c r="A128" s="83"/>
      <c r="B128" s="81"/>
    </row>
    <row r="129" spans="1:9" x14ac:dyDescent="0.2">
      <c r="A129" s="83" t="s">
        <v>431</v>
      </c>
      <c r="B129" s="81" t="s">
        <v>429</v>
      </c>
    </row>
    <row r="130" spans="1:9" x14ac:dyDescent="0.2">
      <c r="A130" s="83"/>
      <c r="B130" s="81" t="s">
        <v>430</v>
      </c>
      <c r="C130" s="79"/>
      <c r="D130" s="172">
        <v>281.77999999999997</v>
      </c>
      <c r="E130" s="79" t="s">
        <v>142</v>
      </c>
      <c r="F130" s="79"/>
      <c r="G130" s="79"/>
      <c r="H130" s="79"/>
      <c r="I130" s="79"/>
    </row>
    <row r="131" spans="1:9" x14ac:dyDescent="0.2">
      <c r="A131" s="83"/>
      <c r="B131" s="81"/>
    </row>
    <row r="132" spans="1:9" x14ac:dyDescent="0.2">
      <c r="A132" s="85"/>
      <c r="B132" s="111"/>
      <c r="C132" s="135"/>
      <c r="D132" s="135"/>
      <c r="E132" s="135"/>
      <c r="F132" s="135"/>
      <c r="G132" s="135"/>
      <c r="H132" s="135"/>
      <c r="I132" s="135"/>
    </row>
    <row r="133" spans="1:9" x14ac:dyDescent="0.2">
      <c r="A133" s="85"/>
      <c r="B133" s="111"/>
      <c r="C133" s="135"/>
      <c r="D133" s="135"/>
      <c r="E133" s="135"/>
      <c r="F133" s="135"/>
      <c r="G133" s="135"/>
      <c r="H133" s="135"/>
      <c r="I133" s="135"/>
    </row>
    <row r="134" spans="1:9" x14ac:dyDescent="0.2">
      <c r="A134" s="85"/>
      <c r="B134" s="111"/>
      <c r="G134" s="135"/>
      <c r="H134" s="135"/>
      <c r="I134" s="135"/>
    </row>
    <row r="135" spans="1:9" ht="63.75" x14ac:dyDescent="0.2">
      <c r="A135" s="198" t="s">
        <v>434</v>
      </c>
      <c r="B135" s="201" t="s">
        <v>231</v>
      </c>
      <c r="C135" s="197" t="s">
        <v>634</v>
      </c>
      <c r="D135" s="197" t="s">
        <v>635</v>
      </c>
      <c r="E135" s="532" t="s">
        <v>646</v>
      </c>
      <c r="G135" s="135"/>
      <c r="H135" s="135"/>
      <c r="I135" s="135"/>
    </row>
    <row r="136" spans="1:9" x14ac:dyDescent="0.2">
      <c r="A136" s="85"/>
      <c r="B136" s="201" t="s">
        <v>205</v>
      </c>
      <c r="C136" s="525">
        <v>91.77</v>
      </c>
      <c r="D136" s="525">
        <v>98.04</v>
      </c>
      <c r="E136" s="525">
        <v>98.04</v>
      </c>
      <c r="F136" s="503"/>
      <c r="G136" s="135"/>
      <c r="H136" s="135"/>
      <c r="I136" s="135"/>
    </row>
    <row r="137" spans="1:9" x14ac:dyDescent="0.2">
      <c r="A137" s="85"/>
      <c r="B137" s="201" t="s">
        <v>333</v>
      </c>
      <c r="C137" s="526">
        <v>29</v>
      </c>
      <c r="D137" s="526">
        <v>28</v>
      </c>
      <c r="E137" s="526">
        <v>28</v>
      </c>
      <c r="F137" s="504"/>
      <c r="G137" s="135"/>
      <c r="H137" s="135"/>
      <c r="I137" s="135"/>
    </row>
    <row r="138" spans="1:9" x14ac:dyDescent="0.2">
      <c r="A138" s="85"/>
      <c r="B138" s="201" t="s">
        <v>626</v>
      </c>
      <c r="C138" s="93"/>
      <c r="D138" s="93"/>
      <c r="E138" s="527" t="s">
        <v>527</v>
      </c>
      <c r="G138" s="135"/>
      <c r="H138" s="135"/>
      <c r="I138" s="135"/>
    </row>
    <row r="139" spans="1:9" x14ac:dyDescent="0.2">
      <c r="A139" s="85"/>
      <c r="B139" s="81" t="s">
        <v>207</v>
      </c>
      <c r="F139" s="135"/>
      <c r="G139" s="135"/>
      <c r="H139" s="135"/>
      <c r="I139" s="135"/>
    </row>
    <row r="140" spans="1:9" x14ac:dyDescent="0.2">
      <c r="A140" s="83"/>
      <c r="B140" s="528" t="s">
        <v>208</v>
      </c>
      <c r="C140" s="529">
        <v>1</v>
      </c>
      <c r="D140" s="529">
        <v>1</v>
      </c>
      <c r="E140" s="529">
        <v>1</v>
      </c>
      <c r="F140" s="135"/>
      <c r="G140" s="135"/>
      <c r="H140" s="135"/>
      <c r="I140" s="135"/>
    </row>
    <row r="141" spans="1:9" x14ac:dyDescent="0.2">
      <c r="A141" s="85"/>
      <c r="B141" s="528" t="s">
        <v>209</v>
      </c>
      <c r="C141" s="529">
        <v>1</v>
      </c>
      <c r="D141" s="529">
        <v>1</v>
      </c>
      <c r="E141" s="529">
        <v>1</v>
      </c>
      <c r="F141" s="135"/>
      <c r="G141" s="135"/>
      <c r="H141" s="135"/>
      <c r="I141" s="135"/>
    </row>
    <row r="142" spans="1:9" x14ac:dyDescent="0.2">
      <c r="A142" s="85"/>
      <c r="B142" s="81"/>
    </row>
    <row r="143" spans="1:9" x14ac:dyDescent="0.2">
      <c r="A143" s="85"/>
      <c r="B143" s="82"/>
      <c r="G143" s="135"/>
    </row>
    <row r="144" spans="1:9" x14ac:dyDescent="0.2">
      <c r="A144" s="85"/>
      <c r="B144" s="82"/>
    </row>
    <row r="145" spans="1:11" x14ac:dyDescent="0.2">
      <c r="A145" s="85"/>
      <c r="C145" s="79"/>
      <c r="D145" s="79"/>
      <c r="E145" s="79"/>
      <c r="F145" s="79"/>
      <c r="G145" s="79"/>
      <c r="H145" s="79"/>
      <c r="I145" s="79"/>
    </row>
    <row r="146" spans="1:11" x14ac:dyDescent="0.2">
      <c r="A146" s="85"/>
      <c r="C146" s="79"/>
      <c r="D146" s="79"/>
      <c r="E146" s="217"/>
      <c r="F146" s="489"/>
      <c r="G146" s="79"/>
    </row>
    <row r="147" spans="1:11" x14ac:dyDescent="0.2">
      <c r="A147" s="85"/>
      <c r="B147" s="97"/>
      <c r="C147" s="217"/>
      <c r="D147" s="217"/>
      <c r="E147" s="217"/>
      <c r="F147" s="217"/>
      <c r="G147" s="217"/>
      <c r="H147" s="217"/>
      <c r="I147" s="217"/>
      <c r="J147" s="217"/>
      <c r="K147" s="217"/>
    </row>
    <row r="148" spans="1:11" x14ac:dyDescent="0.2">
      <c r="A148" s="85"/>
      <c r="B148" s="140"/>
      <c r="C148" s="217"/>
      <c r="D148" s="217"/>
      <c r="E148" s="217"/>
      <c r="F148" s="217"/>
      <c r="G148" s="217"/>
      <c r="H148" s="217"/>
      <c r="I148" s="217"/>
      <c r="J148" s="217"/>
    </row>
    <row r="149" spans="1:11" x14ac:dyDescent="0.2">
      <c r="A149" s="85"/>
      <c r="B149" s="140"/>
      <c r="C149" s="217"/>
      <c r="D149" s="217"/>
      <c r="E149" s="217"/>
      <c r="F149" s="217"/>
      <c r="G149" s="217"/>
      <c r="H149" s="217"/>
      <c r="I149" s="217"/>
      <c r="J149" s="217"/>
    </row>
    <row r="150" spans="1:11" x14ac:dyDescent="0.2">
      <c r="A150" s="85"/>
      <c r="B150" s="216"/>
      <c r="C150" s="217"/>
      <c r="D150" s="217"/>
      <c r="E150" s="217"/>
      <c r="F150" s="217"/>
      <c r="G150" s="217"/>
      <c r="H150" s="217"/>
      <c r="I150" s="217"/>
      <c r="J150" s="217"/>
    </row>
    <row r="151" spans="1:11" x14ac:dyDescent="0.2">
      <c r="A151" s="85"/>
      <c r="B151" s="216"/>
      <c r="C151" s="217"/>
      <c r="D151" s="217"/>
      <c r="E151" s="217"/>
      <c r="F151" s="217"/>
      <c r="G151" s="217"/>
      <c r="H151" s="217"/>
      <c r="I151" s="217"/>
      <c r="J151" s="217"/>
    </row>
    <row r="152" spans="1:11" x14ac:dyDescent="0.2">
      <c r="A152" s="85"/>
      <c r="C152" s="217"/>
      <c r="D152" s="217"/>
      <c r="E152" s="217"/>
      <c r="F152" s="217"/>
      <c r="G152" s="217"/>
      <c r="H152" s="217"/>
      <c r="I152" s="217"/>
      <c r="J152" s="217"/>
    </row>
    <row r="153" spans="1:11" x14ac:dyDescent="0.2">
      <c r="A153" s="85"/>
      <c r="B153" s="97"/>
      <c r="C153" s="217"/>
      <c r="D153" s="217"/>
      <c r="E153" s="217"/>
      <c r="F153" s="217"/>
      <c r="G153" s="217"/>
      <c r="H153" s="217"/>
      <c r="I153" s="217"/>
      <c r="J153" s="217"/>
      <c r="K153" s="217"/>
    </row>
    <row r="154" spans="1:11" x14ac:dyDescent="0.2">
      <c r="A154" s="85"/>
      <c r="B154" s="140"/>
      <c r="C154" s="217"/>
      <c r="D154" s="217"/>
      <c r="E154" s="217"/>
      <c r="F154" s="217"/>
      <c r="G154" s="217"/>
      <c r="H154" s="217"/>
      <c r="I154" s="217"/>
      <c r="J154" s="217"/>
    </row>
    <row r="155" spans="1:11" x14ac:dyDescent="0.2">
      <c r="A155" s="85"/>
      <c r="B155" s="140"/>
      <c r="C155" s="217"/>
      <c r="D155" s="217"/>
      <c r="E155" s="217"/>
      <c r="F155" s="217"/>
      <c r="G155" s="217"/>
      <c r="H155" s="217"/>
      <c r="I155" s="217"/>
      <c r="J155" s="217"/>
    </row>
    <row r="156" spans="1:11" x14ac:dyDescent="0.2">
      <c r="A156" s="85"/>
      <c r="C156" s="217"/>
      <c r="D156" s="217"/>
      <c r="E156" s="217"/>
      <c r="F156" s="217"/>
      <c r="G156" s="217"/>
      <c r="H156" s="217"/>
      <c r="I156" s="217"/>
      <c r="J156" s="217"/>
    </row>
    <row r="157" spans="1:11" x14ac:dyDescent="0.2">
      <c r="A157" s="85"/>
      <c r="C157" s="217"/>
      <c r="D157" s="217"/>
      <c r="E157" s="217"/>
      <c r="F157" s="217"/>
      <c r="G157" s="217"/>
      <c r="H157" s="217"/>
      <c r="I157" s="217"/>
      <c r="J157" s="217"/>
      <c r="K157" s="217"/>
    </row>
    <row r="158" spans="1:11" x14ac:dyDescent="0.2">
      <c r="A158" s="85"/>
      <c r="C158" s="217"/>
      <c r="D158" s="217"/>
      <c r="E158" s="217"/>
      <c r="F158" s="217"/>
      <c r="G158" s="217"/>
      <c r="H158" s="217"/>
      <c r="I158" s="217"/>
      <c r="J158" s="217"/>
      <c r="K158" s="217"/>
    </row>
    <row r="159" spans="1:11" x14ac:dyDescent="0.2">
      <c r="A159" s="85"/>
      <c r="B159" s="81"/>
      <c r="D159" s="133"/>
      <c r="F159" s="217"/>
    </row>
    <row r="160" spans="1:11" x14ac:dyDescent="0.2">
      <c r="A160" s="85"/>
      <c r="B160" s="82"/>
      <c r="D160" s="133"/>
      <c r="F160" s="217"/>
    </row>
    <row r="161" spans="1:15" x14ac:dyDescent="0.2">
      <c r="A161" s="85"/>
      <c r="B161" s="82"/>
      <c r="E161" s="486"/>
      <c r="F161" s="217"/>
    </row>
    <row r="162" spans="1:15" x14ac:dyDescent="0.2">
      <c r="A162" s="85"/>
      <c r="C162" s="79"/>
      <c r="D162" s="79"/>
      <c r="E162" s="79"/>
      <c r="H162" s="81"/>
      <c r="I162" s="79"/>
      <c r="J162" s="79"/>
    </row>
    <row r="163" spans="1:15" x14ac:dyDescent="0.2">
      <c r="A163" s="85"/>
      <c r="C163" s="79"/>
      <c r="D163" s="79"/>
      <c r="E163" s="486"/>
      <c r="F163" s="81"/>
    </row>
    <row r="164" spans="1:15" x14ac:dyDescent="0.2">
      <c r="A164" s="85"/>
      <c r="B164" s="97"/>
      <c r="C164" s="217"/>
      <c r="D164" s="217"/>
      <c r="E164" s="141"/>
      <c r="H164" s="142"/>
    </row>
    <row r="165" spans="1:15" x14ac:dyDescent="0.2">
      <c r="A165" s="85"/>
      <c r="B165" s="140"/>
      <c r="C165" s="217"/>
      <c r="D165" s="217"/>
      <c r="E165" s="486"/>
      <c r="H165" s="111"/>
      <c r="I165" s="218"/>
      <c r="J165" s="218"/>
      <c r="K165" s="124"/>
      <c r="O165" s="143"/>
    </row>
    <row r="166" spans="1:15" x14ac:dyDescent="0.2">
      <c r="A166" s="85"/>
      <c r="B166" s="140"/>
      <c r="C166" s="217"/>
      <c r="D166" s="217"/>
      <c r="H166" s="111"/>
      <c r="I166" s="218"/>
      <c r="J166" s="218"/>
      <c r="K166" s="124"/>
    </row>
    <row r="167" spans="1:15" x14ac:dyDescent="0.2">
      <c r="A167" s="85"/>
      <c r="C167" s="217"/>
      <c r="D167" s="217"/>
      <c r="H167" s="111"/>
      <c r="I167" s="218"/>
      <c r="J167" s="218"/>
      <c r="K167" s="124"/>
    </row>
    <row r="168" spans="1:15" x14ac:dyDescent="0.2">
      <c r="A168" s="85"/>
      <c r="B168" s="97"/>
      <c r="C168" s="217"/>
      <c r="D168" s="217"/>
    </row>
    <row r="169" spans="1:15" x14ac:dyDescent="0.2">
      <c r="A169" s="85"/>
      <c r="B169" s="140"/>
      <c r="C169" s="217"/>
      <c r="D169" s="217"/>
      <c r="H169" s="142"/>
      <c r="I169" s="144"/>
      <c r="J169" s="144"/>
      <c r="K169" s="124"/>
    </row>
    <row r="170" spans="1:15" x14ac:dyDescent="0.2">
      <c r="A170" s="85"/>
      <c r="B170" s="140"/>
      <c r="C170" s="217"/>
      <c r="D170" s="217"/>
      <c r="H170" s="111"/>
      <c r="I170" s="218"/>
      <c r="J170" s="218"/>
      <c r="K170" s="124"/>
    </row>
    <row r="171" spans="1:15" x14ac:dyDescent="0.2">
      <c r="A171" s="85"/>
      <c r="B171" s="140"/>
      <c r="C171" s="217"/>
      <c r="D171" s="217"/>
    </row>
    <row r="172" spans="1:15" x14ac:dyDescent="0.2">
      <c r="A172" s="85"/>
      <c r="C172" s="217"/>
      <c r="D172" s="217"/>
    </row>
    <row r="173" spans="1:15" x14ac:dyDescent="0.2">
      <c r="A173" s="85"/>
      <c r="C173" s="217"/>
      <c r="D173" s="217"/>
    </row>
    <row r="174" spans="1:15" x14ac:dyDescent="0.2">
      <c r="A174" s="85"/>
      <c r="B174" s="145"/>
      <c r="C174" s="217"/>
      <c r="D174" s="217"/>
    </row>
    <row r="175" spans="1:15" x14ac:dyDescent="0.2">
      <c r="A175" s="85"/>
      <c r="B175" s="97"/>
      <c r="C175" s="217"/>
      <c r="D175" s="217"/>
    </row>
    <row r="176" spans="1:15" x14ac:dyDescent="0.2">
      <c r="A176" s="85"/>
      <c r="B176" s="140"/>
      <c r="C176" s="217"/>
      <c r="D176" s="217"/>
    </row>
    <row r="177" spans="1:7" x14ac:dyDescent="0.2">
      <c r="A177" s="85"/>
      <c r="B177" s="140"/>
      <c r="C177" s="217"/>
      <c r="D177" s="217"/>
    </row>
    <row r="178" spans="1:7" x14ac:dyDescent="0.2">
      <c r="A178" s="85"/>
      <c r="C178" s="217"/>
      <c r="D178" s="217"/>
    </row>
    <row r="179" spans="1:7" x14ac:dyDescent="0.2">
      <c r="A179" s="85"/>
      <c r="B179" s="97"/>
      <c r="C179" s="217"/>
      <c r="D179" s="217"/>
    </row>
    <row r="180" spans="1:7" x14ac:dyDescent="0.2">
      <c r="A180" s="85"/>
      <c r="B180" s="140"/>
      <c r="C180" s="217"/>
      <c r="D180" s="217"/>
    </row>
    <row r="181" spans="1:7" x14ac:dyDescent="0.2">
      <c r="A181" s="85"/>
      <c r="B181" s="140"/>
      <c r="C181" s="217"/>
      <c r="D181" s="217"/>
    </row>
    <row r="182" spans="1:7" x14ac:dyDescent="0.2">
      <c r="A182" s="85"/>
      <c r="B182" s="140"/>
      <c r="C182" s="217"/>
      <c r="D182" s="217"/>
    </row>
    <row r="183" spans="1:7" x14ac:dyDescent="0.2">
      <c r="A183" s="85"/>
      <c r="C183" s="217"/>
      <c r="D183" s="217"/>
    </row>
    <row r="184" spans="1:7" x14ac:dyDescent="0.2">
      <c r="A184" s="85"/>
      <c r="C184" s="219"/>
      <c r="D184" s="219"/>
    </row>
    <row r="185" spans="1:7" x14ac:dyDescent="0.2">
      <c r="A185" s="85"/>
      <c r="B185" s="81"/>
      <c r="C185" s="217"/>
      <c r="D185" s="217"/>
    </row>
    <row r="186" spans="1:7" x14ac:dyDescent="0.2">
      <c r="A186" s="85"/>
      <c r="B186" s="111"/>
      <c r="C186" s="146"/>
      <c r="G186" s="147"/>
    </row>
    <row r="187" spans="1:7" x14ac:dyDescent="0.2">
      <c r="A187" s="85"/>
      <c r="C187" s="111"/>
      <c r="D187" s="135"/>
    </row>
    <row r="188" spans="1:7" x14ac:dyDescent="0.2">
      <c r="A188" s="85"/>
      <c r="C188" s="111"/>
      <c r="D188" s="135"/>
    </row>
    <row r="189" spans="1:7" x14ac:dyDescent="0.2">
      <c r="A189" s="85"/>
    </row>
    <row r="190" spans="1:7" x14ac:dyDescent="0.2">
      <c r="A190" s="85"/>
      <c r="E190" s="144"/>
    </row>
    <row r="191" spans="1:7" x14ac:dyDescent="0.2">
      <c r="A191" s="83"/>
      <c r="B191" s="81"/>
    </row>
    <row r="192" spans="1:7" x14ac:dyDescent="0.2">
      <c r="A192" s="85"/>
      <c r="B192" s="81"/>
    </row>
    <row r="193" spans="1:13" x14ac:dyDescent="0.2">
      <c r="A193" s="85"/>
      <c r="B193" s="81"/>
    </row>
    <row r="194" spans="1:13" x14ac:dyDescent="0.2">
      <c r="A194" s="85"/>
      <c r="B194" s="82"/>
    </row>
    <row r="195" spans="1:13" x14ac:dyDescent="0.2">
      <c r="A195" s="85"/>
      <c r="B195" s="81"/>
    </row>
    <row r="196" spans="1:13" x14ac:dyDescent="0.2">
      <c r="A196" s="85"/>
      <c r="C196" s="79"/>
      <c r="D196" s="79"/>
      <c r="E196" s="79"/>
      <c r="F196" s="79"/>
      <c r="G196" s="79"/>
      <c r="H196" s="79"/>
      <c r="I196" s="79"/>
      <c r="J196" s="79"/>
    </row>
    <row r="197" spans="1:13" x14ac:dyDescent="0.2">
      <c r="A197" s="85"/>
      <c r="C197" s="79"/>
      <c r="D197" s="79"/>
      <c r="E197" s="79"/>
      <c r="F197" s="79"/>
      <c r="G197" s="79"/>
    </row>
    <row r="198" spans="1:13" x14ac:dyDescent="0.2">
      <c r="A198" s="85"/>
      <c r="B198" s="97"/>
      <c r="E198" s="220"/>
      <c r="F198" s="148"/>
      <c r="G198" s="148"/>
      <c r="H198" s="148"/>
      <c r="I198" s="220"/>
      <c r="J198" s="220"/>
      <c r="K198" s="221"/>
      <c r="L198" s="221"/>
      <c r="M198" s="221"/>
    </row>
    <row r="199" spans="1:13" x14ac:dyDescent="0.2">
      <c r="A199" s="85"/>
      <c r="B199" s="140"/>
      <c r="C199" s="149"/>
      <c r="D199" s="222"/>
      <c r="E199" s="148"/>
      <c r="F199" s="220"/>
      <c r="G199" s="220"/>
      <c r="H199" s="220"/>
      <c r="I199" s="133"/>
      <c r="J199" s="223"/>
      <c r="K199" s="221"/>
      <c r="L199" s="221"/>
      <c r="M199" s="221"/>
    </row>
    <row r="200" spans="1:13" x14ac:dyDescent="0.2">
      <c r="A200" s="85"/>
      <c r="B200" s="140"/>
      <c r="C200" s="149"/>
      <c r="D200" s="222"/>
      <c r="E200" s="148"/>
      <c r="F200" s="220"/>
      <c r="G200" s="220"/>
      <c r="H200" s="150"/>
      <c r="I200" s="133"/>
      <c r="J200" s="223"/>
      <c r="K200" s="151"/>
      <c r="L200" s="221"/>
      <c r="M200" s="221"/>
    </row>
    <row r="201" spans="1:13" x14ac:dyDescent="0.2">
      <c r="A201" s="85"/>
      <c r="E201" s="149"/>
      <c r="F201" s="222"/>
      <c r="G201" s="222"/>
      <c r="L201" s="221"/>
      <c r="M201" s="221"/>
    </row>
    <row r="202" spans="1:13" x14ac:dyDescent="0.2">
      <c r="A202" s="85"/>
      <c r="B202" s="152"/>
      <c r="C202" s="148"/>
      <c r="D202" s="148"/>
      <c r="E202" s="149"/>
      <c r="F202" s="222"/>
      <c r="G202" s="222"/>
      <c r="H202" s="222"/>
      <c r="I202" s="222"/>
      <c r="J202" s="222"/>
      <c r="K202" s="221"/>
      <c r="L202" s="221"/>
      <c r="M202" s="221"/>
    </row>
    <row r="203" spans="1:13" x14ac:dyDescent="0.2">
      <c r="A203" s="83"/>
      <c r="B203" s="152"/>
      <c r="C203" s="153"/>
      <c r="D203" s="153"/>
      <c r="E203" s="156"/>
      <c r="F203" s="222"/>
      <c r="G203" s="222"/>
      <c r="H203" s="222"/>
      <c r="I203" s="222"/>
      <c r="J203" s="222"/>
      <c r="K203" s="221"/>
      <c r="L203" s="221"/>
      <c r="M203" s="221"/>
    </row>
    <row r="204" spans="1:13" x14ac:dyDescent="0.2">
      <c r="A204" s="83"/>
      <c r="B204" s="152"/>
      <c r="C204" s="153"/>
      <c r="D204" s="153"/>
      <c r="E204" s="156"/>
      <c r="F204" s="222"/>
      <c r="G204" s="222"/>
      <c r="H204" s="222"/>
      <c r="I204" s="222"/>
      <c r="J204" s="222"/>
      <c r="K204" s="221"/>
      <c r="L204" s="221"/>
      <c r="M204" s="221"/>
    </row>
    <row r="205" spans="1:13" x14ac:dyDescent="0.2">
      <c r="A205" s="85"/>
      <c r="G205" s="222"/>
      <c r="H205" s="222"/>
      <c r="I205" s="222"/>
      <c r="J205" s="222"/>
      <c r="K205" s="221"/>
      <c r="L205" s="221"/>
      <c r="M205" s="221"/>
    </row>
    <row r="206" spans="1:13" x14ac:dyDescent="0.2">
      <c r="A206" s="85"/>
      <c r="H206" s="222"/>
      <c r="I206" s="222"/>
      <c r="J206" s="222"/>
      <c r="K206" s="221"/>
      <c r="L206" s="221"/>
      <c r="M206" s="221"/>
    </row>
    <row r="207" spans="1:13" x14ac:dyDescent="0.2">
      <c r="A207" s="85"/>
      <c r="C207" s="222"/>
      <c r="D207" s="222"/>
      <c r="E207" s="222"/>
      <c r="F207" s="222"/>
      <c r="G207" s="222"/>
      <c r="H207" s="222"/>
      <c r="I207" s="222"/>
      <c r="J207" s="222"/>
      <c r="K207" s="221"/>
      <c r="L207" s="221"/>
      <c r="M207" s="221"/>
    </row>
    <row r="208" spans="1:13" x14ac:dyDescent="0.2">
      <c r="A208" s="85"/>
      <c r="B208" s="97"/>
      <c r="C208" s="148"/>
      <c r="D208" s="148"/>
      <c r="E208" s="220"/>
      <c r="F208" s="148"/>
      <c r="G208" s="148"/>
      <c r="H208" s="148"/>
      <c r="I208" s="220"/>
      <c r="J208" s="220"/>
      <c r="K208" s="221"/>
      <c r="L208" s="221"/>
      <c r="M208" s="221"/>
    </row>
    <row r="209" spans="1:13" x14ac:dyDescent="0.2">
      <c r="A209" s="85"/>
      <c r="B209" s="140"/>
      <c r="C209" s="222"/>
      <c r="D209" s="222"/>
      <c r="E209" s="148"/>
      <c r="F209" s="222"/>
      <c r="G209" s="222"/>
      <c r="H209" s="222"/>
      <c r="J209" s="223"/>
      <c r="K209" s="221"/>
      <c r="L209" s="221"/>
      <c r="M209" s="221"/>
    </row>
    <row r="210" spans="1:13" x14ac:dyDescent="0.2">
      <c r="A210" s="85"/>
      <c r="B210" s="140"/>
      <c r="C210" s="222"/>
      <c r="D210" s="222"/>
      <c r="E210" s="148"/>
      <c r="F210" s="222"/>
      <c r="G210" s="222"/>
      <c r="J210" s="223"/>
      <c r="K210" s="151"/>
      <c r="L210" s="221"/>
      <c r="M210" s="221"/>
    </row>
    <row r="211" spans="1:13" x14ac:dyDescent="0.2">
      <c r="A211" s="85"/>
      <c r="C211" s="222"/>
      <c r="D211" s="222"/>
      <c r="E211" s="222"/>
      <c r="F211" s="222"/>
      <c r="G211" s="222"/>
      <c r="K211" s="221"/>
      <c r="L211" s="221"/>
      <c r="M211" s="221"/>
    </row>
    <row r="212" spans="1:13" x14ac:dyDescent="0.2">
      <c r="A212" s="85"/>
      <c r="C212" s="220"/>
      <c r="D212" s="220"/>
      <c r="E212" s="220"/>
      <c r="F212" s="220"/>
      <c r="G212" s="220"/>
      <c r="H212" s="220"/>
      <c r="I212" s="220"/>
      <c r="J212" s="220"/>
      <c r="K212" s="221"/>
      <c r="L212" s="221"/>
      <c r="M212" s="221"/>
    </row>
    <row r="213" spans="1:13" x14ac:dyDescent="0.2">
      <c r="A213" s="85"/>
    </row>
    <row r="214" spans="1:13" x14ac:dyDescent="0.2">
      <c r="A214" s="85"/>
    </row>
    <row r="215" spans="1:13" x14ac:dyDescent="0.2">
      <c r="A215" s="85"/>
      <c r="B215" s="81"/>
    </row>
    <row r="216" spans="1:13" x14ac:dyDescent="0.2">
      <c r="A216" s="85"/>
      <c r="B216" s="82"/>
    </row>
    <row r="217" spans="1:13" x14ac:dyDescent="0.2">
      <c r="A217" s="85"/>
      <c r="B217" s="133"/>
    </row>
    <row r="218" spans="1:13" x14ac:dyDescent="0.2">
      <c r="A218" s="85"/>
      <c r="C218" s="79"/>
      <c r="D218" s="79"/>
      <c r="E218" s="79"/>
      <c r="F218" s="79"/>
      <c r="H218" s="81"/>
    </row>
    <row r="219" spans="1:13" x14ac:dyDescent="0.2">
      <c r="A219" s="85"/>
      <c r="C219" s="79"/>
      <c r="D219" s="154"/>
      <c r="E219" s="79"/>
      <c r="F219" s="154"/>
    </row>
    <row r="220" spans="1:13" x14ac:dyDescent="0.2">
      <c r="A220" s="85"/>
      <c r="B220" s="97"/>
      <c r="C220" s="148"/>
      <c r="D220" s="151"/>
      <c r="E220" s="150"/>
      <c r="F220" s="150"/>
      <c r="H220" s="142"/>
    </row>
    <row r="221" spans="1:13" x14ac:dyDescent="0.2">
      <c r="A221" s="85"/>
      <c r="B221" s="140"/>
      <c r="C221" s="220"/>
      <c r="D221" s="151"/>
      <c r="E221" s="148"/>
      <c r="F221" s="151"/>
      <c r="H221" s="111"/>
      <c r="I221" s="224"/>
      <c r="J221" s="224"/>
      <c r="K221" s="124"/>
    </row>
    <row r="222" spans="1:13" x14ac:dyDescent="0.2">
      <c r="A222" s="85"/>
      <c r="B222" s="140"/>
      <c r="C222" s="220"/>
      <c r="D222" s="151"/>
      <c r="E222" s="148"/>
      <c r="F222" s="151"/>
      <c r="H222" s="111"/>
      <c r="I222" s="224"/>
      <c r="J222" s="224"/>
      <c r="K222" s="124"/>
    </row>
    <row r="223" spans="1:13" x14ac:dyDescent="0.2">
      <c r="A223" s="85"/>
      <c r="C223" s="220"/>
      <c r="D223" s="151"/>
      <c r="E223" s="220"/>
      <c r="F223" s="151"/>
      <c r="H223" s="111"/>
      <c r="I223" s="224"/>
      <c r="J223" s="224"/>
      <c r="K223" s="124"/>
    </row>
    <row r="224" spans="1:13" x14ac:dyDescent="0.2">
      <c r="A224" s="85"/>
      <c r="B224" s="97"/>
      <c r="C224" s="148"/>
      <c r="D224" s="151"/>
      <c r="E224" s="148"/>
      <c r="F224" s="151"/>
    </row>
    <row r="225" spans="1:11" x14ac:dyDescent="0.2">
      <c r="A225" s="85"/>
      <c r="B225" s="140"/>
      <c r="C225" s="220"/>
      <c r="D225" s="150"/>
      <c r="E225" s="148"/>
      <c r="F225" s="151"/>
      <c r="H225" s="142"/>
      <c r="I225" s="144"/>
      <c r="J225" s="144"/>
    </row>
    <row r="226" spans="1:11" x14ac:dyDescent="0.2">
      <c r="A226" s="85"/>
      <c r="B226" s="140"/>
      <c r="C226" s="220"/>
      <c r="D226" s="150"/>
      <c r="E226" s="148"/>
      <c r="F226" s="151"/>
      <c r="H226" s="111"/>
      <c r="I226" s="224"/>
      <c r="J226" s="224"/>
      <c r="K226" s="124"/>
    </row>
    <row r="227" spans="1:11" x14ac:dyDescent="0.2">
      <c r="A227" s="85"/>
      <c r="C227" s="220"/>
      <c r="D227" s="150"/>
      <c r="E227" s="220"/>
      <c r="F227" s="150"/>
    </row>
    <row r="228" spans="1:11" x14ac:dyDescent="0.2">
      <c r="A228" s="85"/>
      <c r="C228" s="220"/>
      <c r="D228" s="150"/>
      <c r="E228" s="220"/>
      <c r="F228" s="150"/>
    </row>
    <row r="229" spans="1:11" x14ac:dyDescent="0.2">
      <c r="A229" s="85"/>
      <c r="C229" s="221"/>
      <c r="E229" s="221"/>
    </row>
    <row r="230" spans="1:11" x14ac:dyDescent="0.2">
      <c r="A230" s="85"/>
      <c r="C230" s="221"/>
      <c r="E230" s="221"/>
    </row>
    <row r="232" spans="1:11" x14ac:dyDescent="0.2">
      <c r="A232" s="81"/>
      <c r="E232" s="137"/>
    </row>
    <row r="233" spans="1:11" x14ac:dyDescent="0.2">
      <c r="A233" s="85"/>
      <c r="B233" s="111"/>
      <c r="C233" s="141"/>
      <c r="D233" s="124"/>
      <c r="E233" s="77"/>
    </row>
    <row r="234" spans="1:11" x14ac:dyDescent="0.2">
      <c r="A234" s="85"/>
      <c r="B234" s="111"/>
      <c r="C234" s="141"/>
      <c r="D234" s="124"/>
      <c r="E234" s="77"/>
    </row>
    <row r="235" spans="1:11" x14ac:dyDescent="0.2">
      <c r="A235" s="85"/>
      <c r="B235" s="111"/>
    </row>
    <row r="236" spans="1:11" x14ac:dyDescent="0.2">
      <c r="A236" s="85"/>
      <c r="B236" s="111"/>
      <c r="C236" s="141"/>
      <c r="D236" s="124"/>
      <c r="E236" s="139"/>
    </row>
    <row r="237" spans="1:11" x14ac:dyDescent="0.2">
      <c r="A237" s="85"/>
      <c r="B237" s="111"/>
      <c r="C237" s="155"/>
      <c r="E237" s="139"/>
    </row>
    <row r="238" spans="1:11" x14ac:dyDescent="0.2">
      <c r="A238" s="85"/>
      <c r="B238" s="111"/>
      <c r="C238" s="155"/>
      <c r="E238" s="139"/>
    </row>
    <row r="239" spans="1:11" x14ac:dyDescent="0.2">
      <c r="A239" s="85"/>
      <c r="B239" s="111"/>
      <c r="C239" s="166"/>
    </row>
    <row r="240" spans="1:11" x14ac:dyDescent="0.2">
      <c r="A240" s="85"/>
      <c r="B240" s="111"/>
      <c r="C240" s="133"/>
    </row>
    <row r="241" spans="1:13" x14ac:dyDescent="0.2">
      <c r="A241" s="85"/>
      <c r="B241" s="111"/>
      <c r="C241" s="156"/>
    </row>
    <row r="242" spans="1:13" x14ac:dyDescent="0.2">
      <c r="A242" s="85"/>
      <c r="B242" s="111"/>
      <c r="C242" s="77"/>
    </row>
    <row r="243" spans="1:13" x14ac:dyDescent="0.2">
      <c r="A243" s="85"/>
      <c r="B243" s="111"/>
    </row>
    <row r="244" spans="1:13" x14ac:dyDescent="0.2">
      <c r="A244" s="85"/>
      <c r="B244" s="111"/>
    </row>
    <row r="245" spans="1:13" x14ac:dyDescent="0.2">
      <c r="A245" s="85"/>
      <c r="B245" s="111"/>
    </row>
    <row r="247" spans="1:13" x14ac:dyDescent="0.2">
      <c r="B247" s="111"/>
    </row>
    <row r="248" spans="1:13" x14ac:dyDescent="0.2">
      <c r="A248" s="85"/>
      <c r="C248" s="221"/>
      <c r="E248" s="221"/>
    </row>
    <row r="249" spans="1:13" x14ac:dyDescent="0.2">
      <c r="A249" s="85"/>
      <c r="C249" s="221"/>
      <c r="E249" s="221"/>
    </row>
    <row r="250" spans="1:13" x14ac:dyDescent="0.2">
      <c r="A250" s="85"/>
      <c r="C250" s="221"/>
      <c r="E250" s="221"/>
    </row>
    <row r="251" spans="1:13" x14ac:dyDescent="0.2">
      <c r="A251" s="83"/>
      <c r="B251" s="81"/>
    </row>
    <row r="252" spans="1:13" x14ac:dyDescent="0.2">
      <c r="A252" s="85"/>
      <c r="B252" s="81"/>
    </row>
    <row r="253" spans="1:13" x14ac:dyDescent="0.2">
      <c r="A253" s="85"/>
      <c r="C253" s="79"/>
      <c r="D253" s="79"/>
      <c r="E253" s="79"/>
      <c r="F253" s="79"/>
      <c r="G253" s="79"/>
      <c r="H253" s="79"/>
      <c r="I253" s="79"/>
      <c r="J253" s="79"/>
      <c r="K253" s="79"/>
      <c r="L253" s="79"/>
      <c r="M253" s="79"/>
    </row>
    <row r="254" spans="1:13" x14ac:dyDescent="0.2">
      <c r="A254" s="85"/>
    </row>
    <row r="255" spans="1:13" x14ac:dyDescent="0.2">
      <c r="A255" s="85"/>
      <c r="B255" s="104"/>
      <c r="C255" s="225"/>
      <c r="D255" s="225"/>
      <c r="E255" s="146"/>
      <c r="F255" s="146"/>
      <c r="G255" s="146"/>
      <c r="H255" s="146"/>
      <c r="I255" s="146"/>
      <c r="J255" s="146"/>
      <c r="K255" s="146"/>
      <c r="L255" s="146"/>
      <c r="M255" s="146"/>
    </row>
    <row r="256" spans="1:13" x14ac:dyDescent="0.2">
      <c r="A256" s="85"/>
      <c r="B256" s="104"/>
      <c r="C256" s="146"/>
      <c r="D256" s="146"/>
      <c r="E256" s="146"/>
      <c r="F256" s="146"/>
      <c r="G256" s="146"/>
      <c r="H256" s="146"/>
      <c r="I256" s="146"/>
      <c r="J256" s="146"/>
      <c r="K256" s="146"/>
      <c r="L256" s="146"/>
      <c r="M256" s="146"/>
    </row>
    <row r="257" spans="1:13" x14ac:dyDescent="0.2">
      <c r="A257" s="85"/>
      <c r="B257" s="104"/>
      <c r="C257" s="147"/>
      <c r="D257" s="147"/>
      <c r="E257" s="147"/>
      <c r="F257" s="147"/>
      <c r="G257" s="147"/>
      <c r="H257" s="147"/>
      <c r="I257" s="147"/>
      <c r="J257" s="146"/>
      <c r="K257" s="146"/>
      <c r="L257" s="146"/>
      <c r="M257" s="146"/>
    </row>
    <row r="258" spans="1:13" x14ac:dyDescent="0.2">
      <c r="A258" s="85"/>
      <c r="B258" s="104"/>
    </row>
    <row r="259" spans="1:13" x14ac:dyDescent="0.2">
      <c r="A259" s="85"/>
    </row>
    <row r="260" spans="1:13" x14ac:dyDescent="0.2">
      <c r="A260" s="85"/>
      <c r="B260" s="104"/>
      <c r="C260" s="157"/>
      <c r="D260" s="157"/>
      <c r="E260" s="157"/>
      <c r="F260" s="157"/>
      <c r="G260" s="157"/>
      <c r="H260" s="157"/>
      <c r="I260" s="157"/>
      <c r="J260" s="157"/>
      <c r="K260" s="157"/>
      <c r="L260" s="157"/>
      <c r="M260" s="157"/>
    </row>
    <row r="261" spans="1:13" x14ac:dyDescent="0.2">
      <c r="A261" s="85"/>
      <c r="B261" s="104"/>
      <c r="C261" s="157"/>
      <c r="D261" s="157"/>
      <c r="E261" s="157"/>
      <c r="F261" s="157"/>
      <c r="G261" s="157"/>
      <c r="H261" s="157"/>
      <c r="I261" s="157"/>
      <c r="J261" s="157"/>
      <c r="K261" s="157"/>
      <c r="L261" s="157"/>
      <c r="M261" s="157"/>
    </row>
    <row r="262" spans="1:13" x14ac:dyDescent="0.2">
      <c r="A262" s="85"/>
    </row>
    <row r="263" spans="1:13" x14ac:dyDescent="0.2">
      <c r="A263" s="85"/>
    </row>
    <row r="264" spans="1:13" x14ac:dyDescent="0.2">
      <c r="A264" s="85"/>
      <c r="B264" s="104"/>
      <c r="C264" s="158"/>
    </row>
    <row r="265" spans="1:13" x14ac:dyDescent="0.2">
      <c r="A265" s="85"/>
      <c r="B265" s="104"/>
      <c r="C265" s="158"/>
    </row>
    <row r="266" spans="1:13" x14ac:dyDescent="0.2">
      <c r="A266" s="85"/>
      <c r="B266" s="104"/>
      <c r="C266" s="147"/>
      <c r="D266" s="143"/>
    </row>
    <row r="267" spans="1:13" x14ac:dyDescent="0.2">
      <c r="A267" s="85"/>
      <c r="L267" s="159"/>
    </row>
    <row r="268" spans="1:13" x14ac:dyDescent="0.2">
      <c r="A268" s="85"/>
      <c r="K268" s="104"/>
    </row>
    <row r="269" spans="1:13" x14ac:dyDescent="0.2">
      <c r="A269" s="85"/>
      <c r="B269" s="104"/>
      <c r="C269" s="157"/>
      <c r="E269" s="137"/>
      <c r="K269" s="104"/>
      <c r="L269" s="119"/>
      <c r="M269" s="160"/>
    </row>
    <row r="270" spans="1:13" x14ac:dyDescent="0.2">
      <c r="A270" s="85"/>
      <c r="B270" s="104"/>
      <c r="C270" s="157"/>
      <c r="E270" s="137"/>
      <c r="K270" s="104"/>
      <c r="L270" s="119"/>
      <c r="M270" s="160"/>
    </row>
    <row r="271" spans="1:13" x14ac:dyDescent="0.2">
      <c r="A271" s="85"/>
    </row>
    <row r="272" spans="1:13" x14ac:dyDescent="0.2">
      <c r="A272" s="85"/>
      <c r="C272" s="221"/>
      <c r="E272" s="221"/>
    </row>
    <row r="273" spans="1:12" x14ac:dyDescent="0.2">
      <c r="A273" s="83"/>
      <c r="B273" s="81"/>
      <c r="C273" s="221"/>
      <c r="E273" s="221"/>
    </row>
    <row r="274" spans="1:12" x14ac:dyDescent="0.2">
      <c r="A274" s="85"/>
      <c r="C274" s="221"/>
      <c r="E274" s="221"/>
    </row>
    <row r="275" spans="1:12" x14ac:dyDescent="0.2">
      <c r="A275" s="85"/>
      <c r="B275" s="111"/>
      <c r="C275" s="217"/>
      <c r="E275" s="161"/>
    </row>
    <row r="276" spans="1:12" x14ac:dyDescent="0.2">
      <c r="A276" s="85"/>
      <c r="B276" s="111"/>
      <c r="C276" s="226"/>
      <c r="E276" s="221"/>
    </row>
    <row r="277" spans="1:12" x14ac:dyDescent="0.2">
      <c r="A277" s="85"/>
      <c r="B277" s="111"/>
      <c r="C277" s="226"/>
      <c r="E277" s="221"/>
    </row>
    <row r="278" spans="1:12" x14ac:dyDescent="0.2">
      <c r="A278" s="85"/>
      <c r="C278" s="221"/>
      <c r="E278" s="221"/>
    </row>
    <row r="279" spans="1:12" x14ac:dyDescent="0.2">
      <c r="A279" s="85"/>
      <c r="C279" s="79"/>
      <c r="D279" s="79"/>
      <c r="E279" s="79"/>
      <c r="F279" s="79"/>
      <c r="G279" s="79"/>
      <c r="H279" s="79"/>
      <c r="I279" s="79"/>
      <c r="J279" s="79"/>
      <c r="K279" s="79"/>
      <c r="L279" s="79"/>
    </row>
    <row r="280" spans="1:12" x14ac:dyDescent="0.2">
      <c r="A280" s="85"/>
    </row>
    <row r="281" spans="1:12" x14ac:dyDescent="0.2">
      <c r="A281" s="85"/>
      <c r="B281" s="104"/>
      <c r="C281" s="146"/>
      <c r="D281" s="146"/>
      <c r="E281" s="162"/>
      <c r="F281" s="146"/>
      <c r="G281" s="146"/>
      <c r="H281" s="146"/>
      <c r="I281" s="146"/>
      <c r="J281" s="146"/>
      <c r="K281" s="162"/>
      <c r="L281" s="162"/>
    </row>
    <row r="282" spans="1:12" x14ac:dyDescent="0.2">
      <c r="A282" s="85"/>
      <c r="B282" s="104"/>
      <c r="C282" s="146"/>
      <c r="D282" s="146"/>
      <c r="E282" s="162"/>
      <c r="F282" s="146"/>
      <c r="G282" s="146"/>
      <c r="H282" s="146"/>
      <c r="I282" s="146"/>
      <c r="J282" s="146"/>
      <c r="K282" s="162"/>
      <c r="L282" s="162"/>
    </row>
    <row r="283" spans="1:12" x14ac:dyDescent="0.2">
      <c r="A283" s="85"/>
      <c r="B283" s="104"/>
      <c r="C283" s="147"/>
      <c r="D283" s="147"/>
      <c r="E283" s="147"/>
      <c r="F283" s="147"/>
      <c r="G283" s="147"/>
      <c r="H283" s="147"/>
      <c r="I283" s="147"/>
      <c r="J283" s="147"/>
      <c r="K283" s="147"/>
      <c r="L283" s="147"/>
    </row>
    <row r="284" spans="1:12" x14ac:dyDescent="0.2">
      <c r="A284" s="85"/>
      <c r="B284" s="104"/>
      <c r="C284" s="147"/>
      <c r="D284" s="147"/>
      <c r="E284" s="147"/>
      <c r="F284" s="147"/>
      <c r="G284" s="147"/>
      <c r="H284" s="147"/>
      <c r="I284" s="147"/>
      <c r="J284" s="147"/>
      <c r="K284" s="147"/>
      <c r="L284" s="147"/>
    </row>
    <row r="285" spans="1:12" x14ac:dyDescent="0.2">
      <c r="A285" s="85"/>
      <c r="B285" s="104"/>
      <c r="C285" s="147"/>
      <c r="D285" s="147"/>
      <c r="E285" s="147"/>
      <c r="F285" s="147"/>
      <c r="G285" s="147"/>
      <c r="H285" s="147"/>
      <c r="I285" s="147"/>
      <c r="J285" s="147"/>
      <c r="K285" s="147"/>
      <c r="L285" s="147"/>
    </row>
    <row r="286" spans="1:12" x14ac:dyDescent="0.2">
      <c r="A286" s="85"/>
      <c r="B286" s="104"/>
      <c r="C286" s="147"/>
      <c r="E286" s="221"/>
    </row>
    <row r="287" spans="1:12" x14ac:dyDescent="0.2">
      <c r="A287" s="85"/>
      <c r="B287" s="104"/>
      <c r="C287" s="147"/>
      <c r="E287" s="221"/>
    </row>
    <row r="288" spans="1:12" x14ac:dyDescent="0.2">
      <c r="A288" s="85"/>
      <c r="B288" s="104"/>
      <c r="C288" s="221"/>
      <c r="E288" s="221"/>
    </row>
    <row r="289" spans="1:12" x14ac:dyDescent="0.2">
      <c r="A289" s="85"/>
      <c r="C289" s="79"/>
      <c r="D289" s="79"/>
      <c r="E289" s="79"/>
      <c r="F289" s="79"/>
      <c r="G289" s="79"/>
      <c r="H289" s="79"/>
      <c r="I289" s="79"/>
      <c r="J289" s="79"/>
      <c r="K289" s="79"/>
      <c r="L289" s="79"/>
    </row>
    <row r="290" spans="1:12" x14ac:dyDescent="0.2">
      <c r="A290" s="85"/>
    </row>
    <row r="291" spans="1:12" x14ac:dyDescent="0.2">
      <c r="A291" s="85"/>
      <c r="B291" s="104"/>
      <c r="C291" s="146"/>
      <c r="D291" s="146"/>
      <c r="E291" s="146"/>
      <c r="F291" s="146"/>
      <c r="G291" s="146"/>
      <c r="H291" s="146"/>
      <c r="I291" s="146"/>
      <c r="J291" s="146"/>
      <c r="K291" s="146"/>
      <c r="L291" s="146"/>
    </row>
    <row r="292" spans="1:12" x14ac:dyDescent="0.2">
      <c r="A292" s="85"/>
      <c r="B292" s="104"/>
      <c r="C292" s="146"/>
      <c r="D292" s="146"/>
      <c r="E292" s="146"/>
      <c r="F292" s="146"/>
      <c r="G292" s="146"/>
      <c r="H292" s="146"/>
      <c r="I292" s="146"/>
      <c r="J292" s="146"/>
      <c r="K292" s="146"/>
      <c r="L292" s="146"/>
    </row>
    <row r="293" spans="1:12" x14ac:dyDescent="0.2">
      <c r="A293" s="85"/>
      <c r="B293" s="104"/>
      <c r="C293" s="147"/>
      <c r="D293" s="147"/>
      <c r="E293" s="147"/>
      <c r="F293" s="147"/>
      <c r="G293" s="147"/>
      <c r="H293" s="147"/>
      <c r="I293" s="147"/>
      <c r="J293" s="146"/>
      <c r="K293" s="146"/>
      <c r="L293" s="146"/>
    </row>
    <row r="294" spans="1:12" x14ac:dyDescent="0.2">
      <c r="A294" s="85"/>
      <c r="C294" s="221"/>
      <c r="D294" s="221"/>
      <c r="E294" s="221"/>
      <c r="F294" s="221"/>
      <c r="G294" s="221"/>
      <c r="H294" s="221"/>
      <c r="I294" s="221"/>
      <c r="J294" s="221"/>
      <c r="K294" s="221"/>
      <c r="L294" s="221"/>
    </row>
    <row r="295" spans="1:12" x14ac:dyDescent="0.2">
      <c r="A295" s="85"/>
      <c r="B295" s="104"/>
      <c r="C295" s="147"/>
    </row>
    <row r="296" spans="1:12" x14ac:dyDescent="0.2">
      <c r="A296" s="85"/>
      <c r="B296" s="104"/>
      <c r="C296" s="147"/>
    </row>
    <row r="297" spans="1:12" x14ac:dyDescent="0.2">
      <c r="A297" s="85"/>
      <c r="B297" s="104"/>
      <c r="C297" s="147"/>
    </row>
    <row r="298" spans="1:12" x14ac:dyDescent="0.2">
      <c r="A298" s="85"/>
      <c r="C298" s="221"/>
      <c r="E298" s="221"/>
    </row>
    <row r="299" spans="1:12" x14ac:dyDescent="0.2">
      <c r="B299" s="111"/>
      <c r="C299" s="147"/>
    </row>
    <row r="303" spans="1:12" x14ac:dyDescent="0.2">
      <c r="A303" s="83"/>
      <c r="B303" s="81"/>
      <c r="C303" s="136"/>
    </row>
    <row r="304" spans="1:12" x14ac:dyDescent="0.2">
      <c r="B304" s="82"/>
    </row>
    <row r="305" spans="1:10" x14ac:dyDescent="0.2">
      <c r="B305" s="104"/>
      <c r="C305" s="108"/>
    </row>
    <row r="306" spans="1:10" x14ac:dyDescent="0.2">
      <c r="B306" s="104"/>
      <c r="C306" s="163"/>
    </row>
    <row r="307" spans="1:10" x14ac:dyDescent="0.2">
      <c r="B307" s="104"/>
      <c r="C307" s="108"/>
    </row>
    <row r="309" spans="1:10" x14ac:dyDescent="0.2">
      <c r="A309" s="164"/>
    </row>
    <row r="310" spans="1:10" x14ac:dyDescent="0.2">
      <c r="A310" s="83"/>
      <c r="B310" s="81"/>
    </row>
    <row r="312" spans="1:10" x14ac:dyDescent="0.2">
      <c r="A312" s="78"/>
      <c r="C312" s="165"/>
      <c r="D312" s="165"/>
      <c r="E312" s="165"/>
    </row>
    <row r="313" spans="1:10" x14ac:dyDescent="0.2">
      <c r="A313" s="78"/>
      <c r="C313" s="166"/>
      <c r="D313" s="166"/>
      <c r="E313" s="166"/>
    </row>
    <row r="314" spans="1:10" x14ac:dyDescent="0.2">
      <c r="A314" s="78"/>
      <c r="C314" s="141"/>
      <c r="D314" s="141"/>
      <c r="E314" s="141"/>
      <c r="F314" s="141"/>
      <c r="G314" s="141"/>
    </row>
    <row r="315" spans="1:10" x14ac:dyDescent="0.2">
      <c r="A315" s="78"/>
    </row>
    <row r="316" spans="1:10" x14ac:dyDescent="0.2">
      <c r="A316" s="78"/>
      <c r="C316" s="141"/>
      <c r="D316" s="141"/>
      <c r="E316" s="141"/>
      <c r="F316" s="141"/>
    </row>
    <row r="317" spans="1:10" x14ac:dyDescent="0.2">
      <c r="A317" s="78"/>
    </row>
    <row r="318" spans="1:10" x14ac:dyDescent="0.2">
      <c r="A318" s="78"/>
      <c r="C318" s="79"/>
      <c r="D318" s="79"/>
      <c r="E318" s="79"/>
      <c r="F318" s="79"/>
      <c r="G318" s="79"/>
      <c r="H318" s="79"/>
      <c r="I318" s="79"/>
      <c r="J318" s="79"/>
    </row>
    <row r="319" spans="1:10" x14ac:dyDescent="0.2">
      <c r="A319" s="78"/>
      <c r="C319" s="167"/>
      <c r="D319" s="167"/>
      <c r="E319" s="167"/>
      <c r="F319" s="167"/>
      <c r="G319" s="167"/>
      <c r="H319" s="167"/>
      <c r="I319" s="167"/>
      <c r="J319" s="167"/>
    </row>
    <row r="320" spans="1:10" x14ac:dyDescent="0.2">
      <c r="A320" s="78"/>
      <c r="C320" s="108"/>
      <c r="D320" s="108"/>
      <c r="E320" s="108"/>
      <c r="F320" s="108"/>
      <c r="G320" s="108"/>
      <c r="H320" s="108"/>
      <c r="I320" s="108"/>
      <c r="J320" s="108"/>
    </row>
    <row r="321" spans="1:12" x14ac:dyDescent="0.2">
      <c r="A321" s="78"/>
    </row>
    <row r="322" spans="1:12" x14ac:dyDescent="0.2">
      <c r="A322" s="78"/>
    </row>
    <row r="323" spans="1:12" x14ac:dyDescent="0.2">
      <c r="A323" s="78"/>
    </row>
    <row r="324" spans="1:12" x14ac:dyDescent="0.2">
      <c r="A324" s="78"/>
      <c r="C324" s="79"/>
      <c r="D324" s="79"/>
    </row>
    <row r="325" spans="1:12" x14ac:dyDescent="0.2">
      <c r="A325" s="78"/>
      <c r="C325" s="141"/>
      <c r="D325" s="141"/>
    </row>
    <row r="326" spans="1:12" x14ac:dyDescent="0.2">
      <c r="A326" s="78"/>
      <c r="C326" s="144"/>
      <c r="D326" s="144"/>
    </row>
    <row r="327" spans="1:12" x14ac:dyDescent="0.2">
      <c r="A327" s="78"/>
      <c r="C327" s="141"/>
      <c r="D327" s="141"/>
    </row>
    <row r="328" spans="1:12" x14ac:dyDescent="0.2">
      <c r="C328" s="141"/>
      <c r="D328" s="141"/>
    </row>
    <row r="329" spans="1:12" x14ac:dyDescent="0.2">
      <c r="C329" s="144"/>
      <c r="D329" s="144"/>
    </row>
    <row r="331" spans="1:12" x14ac:dyDescent="0.2">
      <c r="C331" s="144"/>
      <c r="D331" s="144"/>
    </row>
    <row r="333" spans="1:12" x14ac:dyDescent="0.2">
      <c r="C333" s="144"/>
    </row>
    <row r="334" spans="1:12" x14ac:dyDescent="0.2">
      <c r="A334" s="83"/>
      <c r="B334" s="81"/>
    </row>
    <row r="336" spans="1:12" x14ac:dyDescent="0.2">
      <c r="C336" s="79"/>
      <c r="D336" s="79"/>
      <c r="E336" s="79"/>
      <c r="F336" s="79"/>
      <c r="G336" s="79"/>
      <c r="H336" s="79"/>
      <c r="I336" s="79"/>
      <c r="J336" s="79"/>
      <c r="K336" s="79"/>
      <c r="L336" s="79"/>
    </row>
    <row r="337" spans="1:12" x14ac:dyDescent="0.2">
      <c r="C337" s="79"/>
      <c r="D337" s="79"/>
      <c r="E337" s="79"/>
      <c r="F337" s="79"/>
      <c r="G337" s="79"/>
      <c r="H337" s="79"/>
      <c r="I337" s="79"/>
      <c r="J337" s="79"/>
      <c r="K337" s="79"/>
      <c r="L337" s="79"/>
    </row>
    <row r="338" spans="1:12" x14ac:dyDescent="0.2">
      <c r="B338" s="104"/>
    </row>
    <row r="339" spans="1:12" x14ac:dyDescent="0.2">
      <c r="B339" s="104"/>
      <c r="C339" s="141"/>
      <c r="D339" s="141"/>
      <c r="E339" s="141"/>
      <c r="F339" s="141"/>
      <c r="G339" s="141"/>
      <c r="H339" s="141"/>
      <c r="I339" s="141"/>
      <c r="J339" s="141"/>
    </row>
    <row r="340" spans="1:12" x14ac:dyDescent="0.2">
      <c r="B340" s="104"/>
    </row>
    <row r="341" spans="1:12" x14ac:dyDescent="0.2">
      <c r="A341" s="78"/>
      <c r="B341" s="104"/>
      <c r="C341" s="79"/>
      <c r="D341" s="79"/>
    </row>
    <row r="342" spans="1:12" x14ac:dyDescent="0.2">
      <c r="A342" s="78"/>
      <c r="B342" s="104"/>
      <c r="C342" s="130"/>
      <c r="D342" s="130"/>
    </row>
    <row r="343" spans="1:12" x14ac:dyDescent="0.2">
      <c r="A343" s="78"/>
      <c r="B343" s="104"/>
      <c r="C343" s="144"/>
      <c r="D343" s="144"/>
    </row>
    <row r="344" spans="1:12" x14ac:dyDescent="0.2">
      <c r="A344" s="78"/>
      <c r="B344" s="104"/>
      <c r="C344" s="143"/>
      <c r="D344" s="143"/>
    </row>
    <row r="345" spans="1:12" x14ac:dyDescent="0.2">
      <c r="A345" s="78"/>
      <c r="B345" s="104"/>
    </row>
    <row r="346" spans="1:12" x14ac:dyDescent="0.2">
      <c r="A346" s="78"/>
      <c r="B346" s="104"/>
    </row>
    <row r="347" spans="1:12" x14ac:dyDescent="0.2">
      <c r="A347" s="78"/>
      <c r="B347" s="104"/>
      <c r="C347" s="141"/>
    </row>
    <row r="348" spans="1:12" x14ac:dyDescent="0.2">
      <c r="A348" s="78"/>
      <c r="B348" s="104"/>
      <c r="C348" s="141"/>
    </row>
    <row r="349" spans="1:12" x14ac:dyDescent="0.2">
      <c r="A349" s="78"/>
      <c r="B349" s="104"/>
      <c r="C349" s="141"/>
    </row>
    <row r="350" spans="1:12" x14ac:dyDescent="0.2">
      <c r="A350" s="78"/>
      <c r="B350" s="104"/>
      <c r="C350" s="141"/>
    </row>
    <row r="351" spans="1:12" x14ac:dyDescent="0.2">
      <c r="A351" s="78"/>
      <c r="C351" s="79"/>
      <c r="D351" s="79"/>
      <c r="E351" s="79"/>
      <c r="F351" s="79"/>
      <c r="G351" s="79"/>
      <c r="H351" s="79"/>
      <c r="I351" s="79"/>
      <c r="J351" s="79"/>
      <c r="K351" s="79"/>
      <c r="L351" s="79"/>
    </row>
    <row r="352" spans="1:12" x14ac:dyDescent="0.2">
      <c r="A352" s="78"/>
      <c r="C352" s="79"/>
      <c r="D352" s="79"/>
      <c r="E352" s="79"/>
      <c r="F352" s="79"/>
      <c r="G352" s="79"/>
      <c r="H352" s="79"/>
      <c r="I352" s="79"/>
      <c r="J352" s="79"/>
      <c r="K352" s="79"/>
      <c r="L352" s="79"/>
    </row>
    <row r="353" spans="1:12" x14ac:dyDescent="0.2">
      <c r="A353" s="78"/>
      <c r="B353" s="104"/>
      <c r="C353" s="130"/>
      <c r="D353" s="130"/>
      <c r="E353" s="130"/>
      <c r="F353" s="130"/>
      <c r="G353" s="130"/>
      <c r="H353" s="130"/>
      <c r="I353" s="130"/>
      <c r="J353" s="130"/>
      <c r="K353" s="130"/>
      <c r="L353" s="130"/>
    </row>
    <row r="354" spans="1:12" x14ac:dyDescent="0.2">
      <c r="A354" s="78"/>
      <c r="B354" s="104"/>
      <c r="C354" s="141"/>
      <c r="D354" s="141"/>
      <c r="E354" s="141"/>
      <c r="F354" s="141"/>
      <c r="G354" s="141"/>
      <c r="H354" s="141"/>
      <c r="I354" s="141"/>
      <c r="J354" s="141"/>
      <c r="K354" s="141"/>
      <c r="L354" s="141"/>
    </row>
    <row r="355" spans="1:12" x14ac:dyDescent="0.2">
      <c r="A355" s="78"/>
      <c r="B355" s="104"/>
      <c r="C355" s="141"/>
      <c r="D355" s="141"/>
      <c r="E355" s="141"/>
      <c r="F355" s="141"/>
      <c r="G355" s="141"/>
      <c r="H355" s="141"/>
      <c r="I355" s="141"/>
      <c r="J355" s="141"/>
      <c r="K355" s="141"/>
      <c r="L355" s="141"/>
    </row>
    <row r="356" spans="1:12" x14ac:dyDescent="0.2">
      <c r="A356" s="78"/>
      <c r="B356" s="104"/>
      <c r="C356" s="141"/>
      <c r="D356" s="141"/>
      <c r="E356" s="141"/>
      <c r="F356" s="141"/>
      <c r="G356" s="141"/>
      <c r="H356" s="141"/>
      <c r="I356" s="141"/>
      <c r="J356" s="141"/>
      <c r="K356" s="141"/>
      <c r="L356" s="141"/>
    </row>
    <row r="357" spans="1:12" x14ac:dyDescent="0.2">
      <c r="B357" s="104"/>
      <c r="C357" s="141"/>
      <c r="D357" s="141"/>
      <c r="E357" s="141"/>
      <c r="F357" s="141"/>
      <c r="G357" s="141"/>
      <c r="H357" s="141"/>
      <c r="I357" s="141"/>
      <c r="J357" s="141"/>
      <c r="K357" s="141"/>
      <c r="L357" s="141"/>
    </row>
    <row r="358" spans="1:12" x14ac:dyDescent="0.2">
      <c r="B358" s="104"/>
      <c r="C358" s="141"/>
      <c r="D358" s="141"/>
      <c r="E358" s="141"/>
      <c r="F358" s="141"/>
      <c r="G358" s="141"/>
      <c r="H358" s="141"/>
      <c r="I358" s="141"/>
      <c r="J358" s="141"/>
      <c r="K358" s="141"/>
      <c r="L358" s="141"/>
    </row>
    <row r="359" spans="1:12" x14ac:dyDescent="0.2">
      <c r="B359" s="104"/>
      <c r="C359" s="141"/>
      <c r="D359" s="141"/>
      <c r="E359" s="141"/>
      <c r="F359" s="141"/>
      <c r="G359" s="141"/>
      <c r="H359" s="141"/>
      <c r="I359" s="141"/>
      <c r="J359" s="141"/>
      <c r="K359" s="141"/>
      <c r="L359" s="141"/>
    </row>
    <row r="360" spans="1:12" x14ac:dyDescent="0.2">
      <c r="B360" s="104"/>
      <c r="C360" s="141"/>
    </row>
    <row r="361" spans="1:12" x14ac:dyDescent="0.2">
      <c r="B361" s="104"/>
      <c r="C361" s="141"/>
    </row>
    <row r="363" spans="1:12" x14ac:dyDescent="0.2">
      <c r="B363" s="111"/>
      <c r="C363" s="147"/>
    </row>
    <row r="368" spans="1:12" x14ac:dyDescent="0.2">
      <c r="A368" s="168"/>
    </row>
    <row r="369" spans="1:4" x14ac:dyDescent="0.2">
      <c r="A369" s="111"/>
      <c r="C369" s="227"/>
    </row>
    <row r="370" spans="1:4" x14ac:dyDescent="0.2">
      <c r="A370" s="111"/>
      <c r="C370" s="228"/>
    </row>
    <row r="371" spans="1:4" x14ac:dyDescent="0.2">
      <c r="A371" s="111"/>
      <c r="C371" s="228"/>
    </row>
    <row r="372" spans="1:4" x14ac:dyDescent="0.2">
      <c r="A372" s="111"/>
      <c r="C372" s="169"/>
      <c r="D372" s="124"/>
    </row>
    <row r="373" spans="1:4" x14ac:dyDescent="0.2">
      <c r="A373" s="111"/>
      <c r="C373" s="132"/>
    </row>
    <row r="374" spans="1:4" x14ac:dyDescent="0.2">
      <c r="A374" s="111"/>
      <c r="C374" s="170"/>
      <c r="D374" s="124"/>
    </row>
    <row r="377" spans="1:4" x14ac:dyDescent="0.2">
      <c r="A377" s="111"/>
      <c r="C377" s="130"/>
      <c r="D377" s="124"/>
    </row>
    <row r="378" spans="1:4" x14ac:dyDescent="0.2">
      <c r="A378" s="111"/>
      <c r="C378" s="171"/>
      <c r="D378" s="124"/>
    </row>
    <row r="380" spans="1:4" x14ac:dyDescent="0.2">
      <c r="A380" s="117"/>
      <c r="C380" s="131"/>
    </row>
    <row r="381" spans="1:4" x14ac:dyDescent="0.2">
      <c r="A381" s="117"/>
      <c r="C381" s="171"/>
      <c r="D381" s="124"/>
    </row>
    <row r="382" spans="1:4" x14ac:dyDescent="0.2">
      <c r="A382" s="117"/>
    </row>
    <row r="383" spans="1:4" x14ac:dyDescent="0.2">
      <c r="A383" s="117"/>
      <c r="C383" s="171"/>
      <c r="D383" s="124"/>
    </row>
    <row r="384" spans="1:4" x14ac:dyDescent="0.2">
      <c r="A384" s="117"/>
      <c r="C384" s="171"/>
    </row>
    <row r="385" spans="1:3" x14ac:dyDescent="0.2">
      <c r="A385" s="117"/>
      <c r="C385" s="171"/>
    </row>
    <row r="386" spans="1:3" collapsed="1" x14ac:dyDescent="0.2">
      <c r="A386" s="117"/>
    </row>
    <row r="387" spans="1:3" x14ac:dyDescent="0.2">
      <c r="A387" s="117"/>
    </row>
    <row r="388" spans="1:3" x14ac:dyDescent="0.2">
      <c r="A388" s="117"/>
    </row>
    <row r="389" spans="1:3" x14ac:dyDescent="0.2">
      <c r="A389" s="117"/>
    </row>
    <row r="392" spans="1:3" x14ac:dyDescent="0.2">
      <c r="A392" s="78"/>
    </row>
    <row r="393" spans="1:3" x14ac:dyDescent="0.2">
      <c r="A393" s="78"/>
    </row>
    <row r="394" spans="1:3" x14ac:dyDescent="0.2">
      <c r="A394" s="78"/>
    </row>
  </sheetData>
  <customSheetViews>
    <customSheetView guid="{782F5CFE-DE26-4D5A-B82E-30A424B0A39B}" scale="80" hiddenRows="1">
      <selection activeCell="B5" sqref="B5:L5"/>
      <pageMargins left="0.7" right="0.7" top="0.75" bottom="0.75" header="0.3" footer="0.3"/>
      <pageSetup orientation="portrait" r:id="rId1"/>
    </customSheetView>
    <customSheetView guid="{88B031DE-0423-45A5-B384-E560A52FDD07}" scale="85" hiddenRows="1">
      <selection activeCell="B5" sqref="B5:L5"/>
      <pageMargins left="0.7" right="0.7" top="0.75" bottom="0.75" header="0.3" footer="0.3"/>
      <pageSetup orientation="portrait" r:id="rId2"/>
    </customSheetView>
    <customSheetView guid="{D5524E47-947F-4D9F-AE8B-3F0380261994}" scale="85" hiddenRows="1">
      <selection activeCell="B5" sqref="B5:L5"/>
      <pageMargins left="0.7" right="0.7" top="0.75" bottom="0.75" header="0.3" footer="0.3"/>
      <pageSetup orientation="portrait" r:id="rId3"/>
    </customSheetView>
    <customSheetView guid="{9BF7FAF1-D686-4A6B-A2BE-0DAD43841920}" scale="80" hiddenRows="1">
      <selection activeCell="B5" sqref="B5:L5"/>
      <pageMargins left="0.7" right="0.7" top="0.75" bottom="0.75" header="0.3" footer="0.3"/>
      <pageSetup orientation="portrait" r:id="rId4"/>
    </customSheetView>
  </customSheetViews>
  <mergeCells count="4">
    <mergeCell ref="C113:D113"/>
    <mergeCell ref="C114:D114"/>
    <mergeCell ref="B5:L5"/>
    <mergeCell ref="F78:G78"/>
  </mergeCells>
  <hyperlinks>
    <hyperlink ref="P10" r:id="rId5" display="\\njnwkfp06\PSE&amp;G\Customer Operations\CS\regulato\2015 BGS-RSCP for 2016-2017\2015-07 Initial Filing\BGS-FP Initial Filing Supporting Documents\Table1&amp;2 - OnPeak%\Table 1 - Time period usage for 2016-17 Spreadsheet.xls" xr:uid="{00000000-0004-0000-0400-000000000000}"/>
    <hyperlink ref="P28" r:id="rId6" display="\\njnwkfp06\PSE&amp;G\Customer Operations\CS\regulato\2015 BGS-RSCP for 2016-2017\2015-07 Initial Filing\BGS-FP Initial Filing Supporting Documents\Table1&amp;2 - OnPeak%\Table 2 - 001.2014 - 012.2014 KWH (RLM, LPLS-H-O).xls" xr:uid="{00000000-0004-0000-0400-000001000000}"/>
    <hyperlink ref="P46" r:id="rId7" display="\\njnwkfp06\PSE&amp;G\Customer Operations\CS\regulato\2015 BGS-RSCP for 2016-2017\2015-07 Initial Filing\BGS-FP Initial Filing Supporting Documents\Table3 - kWh forecast\Net Sales Forecast used in 15-16 BGS.xls" xr:uid="{00000000-0004-0000-0400-000002000000}"/>
    <hyperlink ref="P63" r:id="rId8" display="\\njnwkfp06\PSE&amp;G\Customer Operations\CS\regulato\2015 BGS-RSCP for 2016-2017\2015-07 Initial Filing\BGS-FP Initial Filing Supporting Documents\Table3 - kWh forecast\LPLS Split Mar 2015.xls" xr:uid="{00000000-0004-0000-0400-000003000000}"/>
    <hyperlink ref="P70" r:id="rId9" display="\\njnwkfp06\PSE&amp;G\Customer Operations\CS\regulato\2015 BGS-RSCP for 2016-2017\2015-07 Initial Filing\BGS-FP Initial Filing Supporting Documents\Table4&amp;5&amp;6 - NERA Inputs\2016 Inputs to FP Pricing_3 JUN 2015_DRAFT.xlsx" xr:uid="{00000000-0004-0000-0400-000004000000}"/>
    <hyperlink ref="P91" r:id="rId10" display="\\njnwkfp06\PSE&amp;G\Customer Operations\CS\regulato\2015 BGS-RSCP for 2016-2017\2015-07 Initial Filing\BGS-FP Initial Filing Supporting Documents\Table4&amp;5&amp;6 - NERA Inputs\2016 Inputs to FP Pricing_3 JUN 2015_DRAFT.xlsx" xr:uid="{00000000-0004-0000-0400-000005000000}"/>
    <hyperlink ref="P100" r:id="rId11" display="\\njnwkfp06\PSE&amp;G\Customer Operations\CS\regulato\2015 BGS-RSCP for 2016-2017\2015-07 Initial Filing\BGS-FP Initial Filing Supporting Documents\Table10 - Gen and Trans Obs\CAP AND TRAN LOADS FOR 2015 For Myron - Copy.xls" xr:uid="{00000000-0004-0000-0400-000006000000}"/>
    <hyperlink ref="K108" r:id="rId12" display="\\njnwkfp06\PSE&amp;G\Customer Operations\CS\regulato\2014 BGS-FP for 2015-2016\BGS-FP Bid Factors for 2015-16FINAL(02-13-15).xlsx" xr:uid="{00000000-0004-0000-0400-000007000000}"/>
    <hyperlink ref="P113" r:id="rId13" display="\\njnwkfp06\PSE&amp;G\Customer Operations\CS\regulato\2015 BGS-RSCP for 2016-2017\2015-07 Initial Filing\BGS-FP Initial Filing Supporting Documents\Table4&amp;5&amp;6 - NERA Inputs\2016 Inputs to FP Pricing_3 JUN 2015_DRAFT.xlsx" xr:uid="{00000000-0004-0000-0400-000008000000}"/>
    <hyperlink ref="P122" r:id="rId14" display="\\njnwkfp06\PSE&amp;G\Customer Operations\CS\regulato\2015 BGS-RSCP for 2016-2017\2015-07 Initial Filing\BGS-FP Initial Filing Supporting Documents\Table4&amp;5&amp;6 - NERA Inputs\2016 Inputs to FP Pricing_3 JUN 2015_DRAFT.xlsx" xr:uid="{00000000-0004-0000-0400-000009000000}"/>
    <hyperlink ref="K135" r:id="rId15" display="\\njnwkfp06\PSE&amp;G\Customer Operations\CS\regulato\2014 BGS-FP for 2015-2016\BGS-FP Bid Factors for 2015-16FINAL(02-13-15).xlsx" xr:uid="{00000000-0004-0000-0400-00000A000000}"/>
  </hyperlinks>
  <pageMargins left="0.7" right="0.7" top="0.75" bottom="0.75" header="0.3" footer="0.3"/>
  <pageSetup scale="46" orientation="portrait" r:id="rId16"/>
  <rowBreaks count="1" manualBreakCount="1">
    <brk id="94" max="11" man="1"/>
  </rowBreaks>
  <colBreaks count="1" manualBreakCount="1">
    <brk id="12" max="1048575" man="1"/>
  </colBreaks>
  <legacyDrawing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AM354"/>
  <sheetViews>
    <sheetView view="pageBreakPreview" zoomScale="80" zoomScaleNormal="100" zoomScaleSheetLayoutView="80" workbookViewId="0">
      <selection activeCell="A2" sqref="A2"/>
    </sheetView>
  </sheetViews>
  <sheetFormatPr defaultColWidth="9.140625" defaultRowHeight="12.75" x14ac:dyDescent="0.2"/>
  <cols>
    <col min="1" max="1" width="13.140625" style="534" customWidth="1"/>
    <col min="2" max="2" width="36.28515625" style="535" customWidth="1"/>
    <col min="3" max="3" width="13.42578125" style="535" customWidth="1"/>
    <col min="4" max="4" width="12.5703125" style="535" customWidth="1"/>
    <col min="5" max="5" width="11.5703125" style="535" customWidth="1"/>
    <col min="6" max="6" width="12.7109375" style="535" customWidth="1"/>
    <col min="7" max="7" width="10.7109375" style="535" customWidth="1"/>
    <col min="8" max="8" width="11.140625" style="535" customWidth="1"/>
    <col min="9" max="9" width="11" style="535" customWidth="1"/>
    <col min="10" max="10" width="10.7109375" style="535" customWidth="1"/>
    <col min="11" max="11" width="12.28515625" style="535" customWidth="1"/>
    <col min="12" max="12" width="16" style="535" customWidth="1"/>
    <col min="13" max="13" width="16.5703125" style="535" customWidth="1"/>
    <col min="14" max="14" width="14.7109375" style="535" bestFit="1" customWidth="1"/>
    <col min="15" max="16" width="11.5703125" style="535" customWidth="1"/>
    <col min="17" max="17" width="15.7109375" style="535" customWidth="1"/>
    <col min="18" max="18" width="29" style="535" bestFit="1" customWidth="1"/>
    <col min="19" max="19" width="16.42578125" style="535" customWidth="1"/>
    <col min="20" max="20" width="23.85546875" style="535" bestFit="1" customWidth="1"/>
    <col min="21" max="21" width="18" style="535" bestFit="1" customWidth="1"/>
    <col min="22" max="24" width="11.5703125" style="535" customWidth="1"/>
    <col min="25" max="25" width="11.28515625" style="535" bestFit="1" customWidth="1"/>
    <col min="26" max="26" width="10.140625" style="535" customWidth="1"/>
    <col min="27" max="27" width="10.7109375" style="535" customWidth="1"/>
    <col min="28" max="28" width="12.85546875" style="535" bestFit="1" customWidth="1"/>
    <col min="29" max="29" width="9.140625" style="535"/>
    <col min="30" max="30" width="17.5703125" style="535" customWidth="1"/>
    <col min="31" max="31" width="9.140625" style="535"/>
    <col min="32" max="32" width="10.28515625" style="535" bestFit="1" customWidth="1"/>
    <col min="33" max="33" width="10.5703125" style="535" customWidth="1"/>
    <col min="34" max="16384" width="9.140625" style="535"/>
  </cols>
  <sheetData>
    <row r="1" spans="1:24" x14ac:dyDescent="0.2">
      <c r="A1" s="534" t="s">
        <v>307</v>
      </c>
      <c r="C1" s="536"/>
      <c r="D1" s="536"/>
      <c r="E1" s="536"/>
      <c r="F1" s="536"/>
      <c r="G1" s="536"/>
      <c r="H1" s="536"/>
      <c r="I1" s="536"/>
      <c r="J1" s="536"/>
      <c r="K1" s="536"/>
      <c r="L1" s="536"/>
    </row>
    <row r="2" spans="1:24" ht="15.75" x14ac:dyDescent="0.25">
      <c r="B2" s="509" t="str">
        <f>Input!B7</f>
        <v>Development of BGS-RSCP Cost and Bid Factors for 2020/2021 BGS Filing</v>
      </c>
      <c r="C2" s="537"/>
      <c r="D2" s="537"/>
      <c r="E2" s="537"/>
      <c r="F2" s="537"/>
    </row>
    <row r="3" spans="1:24" x14ac:dyDescent="0.2">
      <c r="A3" s="538"/>
      <c r="B3" s="530" t="s">
        <v>91</v>
      </c>
      <c r="C3" s="537"/>
      <c r="D3" s="537"/>
      <c r="E3" s="537"/>
      <c r="F3" s="537"/>
    </row>
    <row r="4" spans="1:24" x14ac:dyDescent="0.2">
      <c r="B4" s="537"/>
      <c r="C4" s="537"/>
      <c r="D4" s="537"/>
      <c r="E4" s="539" t="str">
        <f>+Input!E9</f>
        <v>Based on average of year 2016, 2017 &amp; 2018 Load Profile Information</v>
      </c>
      <c r="F4" s="537"/>
    </row>
    <row r="5" spans="1:24" x14ac:dyDescent="0.2">
      <c r="A5" s="540" t="s">
        <v>64</v>
      </c>
      <c r="B5" s="84" t="s">
        <v>130</v>
      </c>
      <c r="C5" s="541"/>
      <c r="D5" s="537"/>
      <c r="E5" s="539" t="str">
        <f>+Input!E10</f>
        <v>On-Peak periods defined as the 16 hr PJM Trading period, adj for NERC holidays</v>
      </c>
      <c r="F5" s="537"/>
      <c r="N5" s="84"/>
      <c r="O5" s="84" t="s">
        <v>174</v>
      </c>
      <c r="P5" s="537"/>
      <c r="Q5" s="537"/>
      <c r="R5" s="537"/>
      <c r="S5" s="537"/>
      <c r="T5" s="537"/>
      <c r="U5" s="537"/>
      <c r="V5" s="537"/>
      <c r="W5" s="537"/>
      <c r="X5" s="537"/>
    </row>
    <row r="6" spans="1:24" ht="25.5" x14ac:dyDescent="0.2">
      <c r="A6" s="542"/>
      <c r="B6" s="537"/>
      <c r="C6" s="543" t="s">
        <v>50</v>
      </c>
      <c r="D6" s="543" t="s">
        <v>50</v>
      </c>
      <c r="E6" s="543" t="s">
        <v>50</v>
      </c>
      <c r="F6" s="543" t="s">
        <v>50</v>
      </c>
      <c r="G6" s="543" t="s">
        <v>50</v>
      </c>
      <c r="H6" s="543" t="s">
        <v>50</v>
      </c>
      <c r="I6" s="539" t="s">
        <v>96</v>
      </c>
      <c r="J6" s="544"/>
      <c r="K6" s="543" t="s">
        <v>50</v>
      </c>
      <c r="L6" s="543" t="s">
        <v>50</v>
      </c>
      <c r="M6" s="543"/>
      <c r="N6" s="539"/>
      <c r="O6" s="543" t="s">
        <v>50</v>
      </c>
      <c r="P6" s="543" t="s">
        <v>50</v>
      </c>
      <c r="Q6" s="543" t="s">
        <v>50</v>
      </c>
      <c r="R6" s="543" t="s">
        <v>50</v>
      </c>
      <c r="S6" s="543" t="s">
        <v>50</v>
      </c>
      <c r="T6" s="543" t="s">
        <v>50</v>
      </c>
      <c r="U6" s="539" t="s">
        <v>43</v>
      </c>
      <c r="V6" s="544"/>
      <c r="W6" s="543" t="s">
        <v>50</v>
      </c>
      <c r="X6" s="543" t="s">
        <v>50</v>
      </c>
    </row>
    <row r="7" spans="1:24" x14ac:dyDescent="0.2">
      <c r="A7" s="542"/>
      <c r="B7" s="545" t="s">
        <v>235</v>
      </c>
      <c r="C7" s="536" t="s">
        <v>0</v>
      </c>
      <c r="D7" s="536" t="s">
        <v>1</v>
      </c>
      <c r="E7" s="536" t="s">
        <v>2</v>
      </c>
      <c r="F7" s="536" t="s">
        <v>3</v>
      </c>
      <c r="G7" s="536" t="s">
        <v>4</v>
      </c>
      <c r="H7" s="536" t="s">
        <v>6</v>
      </c>
      <c r="I7" s="536" t="s">
        <v>37</v>
      </c>
      <c r="J7" s="536" t="s">
        <v>38</v>
      </c>
      <c r="K7" s="536" t="s">
        <v>5</v>
      </c>
      <c r="L7" s="536" t="s">
        <v>36</v>
      </c>
      <c r="M7" s="546"/>
      <c r="N7" s="547"/>
      <c r="O7" s="536" t="str">
        <f>+C7</f>
        <v>RS</v>
      </c>
      <c r="P7" s="536" t="str">
        <f t="shared" ref="P7:X7" si="0">+D7</f>
        <v>RHS</v>
      </c>
      <c r="Q7" s="536" t="str">
        <f t="shared" si="0"/>
        <v>RLM</v>
      </c>
      <c r="R7" s="536" t="str">
        <f t="shared" si="0"/>
        <v>WH</v>
      </c>
      <c r="S7" s="536" t="str">
        <f t="shared" si="0"/>
        <v>WHS</v>
      </c>
      <c r="T7" s="536" t="str">
        <f t="shared" si="0"/>
        <v>HS</v>
      </c>
      <c r="U7" s="536" t="str">
        <f t="shared" si="0"/>
        <v>PSAL</v>
      </c>
      <c r="V7" s="536" t="str">
        <f t="shared" si="0"/>
        <v>BPL</v>
      </c>
      <c r="W7" s="536" t="str">
        <f t="shared" si="0"/>
        <v>GLP</v>
      </c>
      <c r="X7" s="536" t="str">
        <f t="shared" si="0"/>
        <v>LPL-S</v>
      </c>
    </row>
    <row r="8" spans="1:24" x14ac:dyDescent="0.2">
      <c r="A8" s="542"/>
      <c r="C8" s="536"/>
      <c r="D8" s="536"/>
      <c r="E8" s="536"/>
      <c r="F8" s="536"/>
      <c r="G8" s="536"/>
      <c r="H8" s="536"/>
      <c r="I8" s="536"/>
      <c r="J8" s="536"/>
      <c r="K8" s="536"/>
      <c r="L8" s="536"/>
      <c r="O8" s="537"/>
      <c r="P8" s="537"/>
      <c r="Q8" s="537"/>
      <c r="R8" s="537"/>
      <c r="S8" s="537"/>
      <c r="T8" s="537"/>
      <c r="U8" s="537"/>
      <c r="V8" s="537"/>
      <c r="W8" s="537"/>
      <c r="X8" s="537"/>
    </row>
    <row r="9" spans="1:24" x14ac:dyDescent="0.2">
      <c r="A9" s="542"/>
      <c r="B9" s="548" t="s">
        <v>7</v>
      </c>
      <c r="C9" s="549">
        <f>Input!C14</f>
        <v>0.46870000000000001</v>
      </c>
      <c r="D9" s="549">
        <f>Input!D14</f>
        <v>0.46700000000000003</v>
      </c>
      <c r="E9" s="549">
        <f>Input!E14</f>
        <v>0.47870000000000001</v>
      </c>
      <c r="F9" s="549">
        <f>Input!F14</f>
        <v>0.46870000000000001</v>
      </c>
      <c r="G9" s="549">
        <f>Input!G14</f>
        <v>0.46870000000000001</v>
      </c>
      <c r="H9" s="549">
        <f>Input!H14</f>
        <v>0.45800000000000002</v>
      </c>
      <c r="I9" s="549">
        <f>Input!I14</f>
        <v>0.3</v>
      </c>
      <c r="J9" s="549">
        <f>Input!J14</f>
        <v>0.3</v>
      </c>
      <c r="K9" s="549">
        <f>Input!K14</f>
        <v>0.54600000000000004</v>
      </c>
      <c r="L9" s="549">
        <f>Input!L14</f>
        <v>0.52429999999999999</v>
      </c>
      <c r="M9" s="550"/>
      <c r="N9" s="551"/>
      <c r="O9" s="552">
        <f t="shared" ref="O9:X9" si="1">1-C9</f>
        <v>0.53129999999999999</v>
      </c>
      <c r="P9" s="552">
        <f t="shared" si="1"/>
        <v>0.53299999999999992</v>
      </c>
      <c r="Q9" s="552">
        <f t="shared" si="1"/>
        <v>0.52129999999999999</v>
      </c>
      <c r="R9" s="552">
        <f t="shared" si="1"/>
        <v>0.53129999999999999</v>
      </c>
      <c r="S9" s="552">
        <f t="shared" si="1"/>
        <v>0.53129999999999999</v>
      </c>
      <c r="T9" s="552">
        <f t="shared" si="1"/>
        <v>0.54200000000000004</v>
      </c>
      <c r="U9" s="552">
        <f t="shared" si="1"/>
        <v>0.7</v>
      </c>
      <c r="V9" s="552">
        <f t="shared" si="1"/>
        <v>0.7</v>
      </c>
      <c r="W9" s="552">
        <f t="shared" si="1"/>
        <v>0.45399999999999996</v>
      </c>
      <c r="X9" s="552">
        <f t="shared" si="1"/>
        <v>0.47570000000000001</v>
      </c>
    </row>
    <row r="10" spans="1:24" x14ac:dyDescent="0.2">
      <c r="A10" s="542"/>
      <c r="B10" s="548" t="s">
        <v>8</v>
      </c>
      <c r="C10" s="549">
        <f>Input!C15</f>
        <v>0.49869999999999998</v>
      </c>
      <c r="D10" s="549">
        <f>Input!D15</f>
        <v>0.49070000000000003</v>
      </c>
      <c r="E10" s="549">
        <f>Input!E15</f>
        <v>0.50670000000000004</v>
      </c>
      <c r="F10" s="549">
        <f>Input!F15</f>
        <v>0.49869999999999998</v>
      </c>
      <c r="G10" s="549">
        <f>Input!G15</f>
        <v>0.49869999999999998</v>
      </c>
      <c r="H10" s="549">
        <f>Input!H15</f>
        <v>0.47799999999999998</v>
      </c>
      <c r="I10" s="549">
        <f>Input!I15</f>
        <v>0.29730000000000001</v>
      </c>
      <c r="J10" s="549">
        <f>Input!J15</f>
        <v>0.29730000000000001</v>
      </c>
      <c r="K10" s="549">
        <f>Input!K15</f>
        <v>0.56969999999999998</v>
      </c>
      <c r="L10" s="549">
        <f>Input!L15</f>
        <v>0.55030000000000001</v>
      </c>
      <c r="M10" s="550"/>
      <c r="N10" s="551"/>
      <c r="O10" s="552">
        <f t="shared" ref="O10:O20" si="2">1-C10</f>
        <v>0.50130000000000008</v>
      </c>
      <c r="P10" s="552">
        <f t="shared" ref="P10:P20" si="3">1-D10</f>
        <v>0.50929999999999997</v>
      </c>
      <c r="Q10" s="552">
        <f t="shared" ref="Q10:Q20" si="4">1-E10</f>
        <v>0.49329999999999996</v>
      </c>
      <c r="R10" s="552">
        <f t="shared" ref="R10:R20" si="5">1-F10</f>
        <v>0.50130000000000008</v>
      </c>
      <c r="S10" s="552">
        <f t="shared" ref="S10:S20" si="6">1-G10</f>
        <v>0.50130000000000008</v>
      </c>
      <c r="T10" s="552">
        <f t="shared" ref="T10:T20" si="7">1-H10</f>
        <v>0.52200000000000002</v>
      </c>
      <c r="U10" s="552">
        <f t="shared" ref="U10:U20" si="8">1-I10</f>
        <v>0.70269999999999999</v>
      </c>
      <c r="V10" s="552">
        <f t="shared" ref="V10:V20" si="9">1-J10</f>
        <v>0.70269999999999999</v>
      </c>
      <c r="W10" s="552">
        <f t="shared" ref="W10:W20" si="10">1-K10</f>
        <v>0.43030000000000002</v>
      </c>
      <c r="X10" s="552">
        <f t="shared" ref="X10:X20" si="11">1-L10</f>
        <v>0.44969999999999999</v>
      </c>
    </row>
    <row r="11" spans="1:24" x14ac:dyDescent="0.2">
      <c r="A11" s="542"/>
      <c r="B11" s="548" t="s">
        <v>9</v>
      </c>
      <c r="C11" s="549">
        <f>Input!C16</f>
        <v>0.50429999999999997</v>
      </c>
      <c r="D11" s="549">
        <f>Input!D16</f>
        <v>0.49569999999999997</v>
      </c>
      <c r="E11" s="549">
        <f>Input!E16</f>
        <v>0.51400000000000001</v>
      </c>
      <c r="F11" s="549">
        <f>Input!F16</f>
        <v>0.50429999999999997</v>
      </c>
      <c r="G11" s="549">
        <f>Input!G16</f>
        <v>0.50429999999999997</v>
      </c>
      <c r="H11" s="549">
        <f>Input!H16</f>
        <v>0.48630000000000001</v>
      </c>
      <c r="I11" s="549">
        <f>Input!I16</f>
        <v>0.26400000000000001</v>
      </c>
      <c r="J11" s="549">
        <f>Input!J16</f>
        <v>0.26400000000000001</v>
      </c>
      <c r="K11" s="549">
        <f>Input!K16</f>
        <v>0.57999999999999996</v>
      </c>
      <c r="L11" s="549">
        <f>Input!L16</f>
        <v>0.56000000000000005</v>
      </c>
      <c r="M11" s="550"/>
      <c r="N11" s="551"/>
      <c r="O11" s="552">
        <f t="shared" si="2"/>
        <v>0.49570000000000003</v>
      </c>
      <c r="P11" s="552">
        <f t="shared" si="3"/>
        <v>0.50429999999999997</v>
      </c>
      <c r="Q11" s="552">
        <f t="shared" si="4"/>
        <v>0.48599999999999999</v>
      </c>
      <c r="R11" s="552">
        <f t="shared" si="5"/>
        <v>0.49570000000000003</v>
      </c>
      <c r="S11" s="552">
        <f t="shared" si="6"/>
        <v>0.49570000000000003</v>
      </c>
      <c r="T11" s="552">
        <f t="shared" si="7"/>
        <v>0.51370000000000005</v>
      </c>
      <c r="U11" s="552">
        <f t="shared" si="8"/>
        <v>0.73599999999999999</v>
      </c>
      <c r="V11" s="552">
        <f t="shared" si="9"/>
        <v>0.73599999999999999</v>
      </c>
      <c r="W11" s="552">
        <f t="shared" si="10"/>
        <v>0.42000000000000004</v>
      </c>
      <c r="X11" s="552">
        <f t="shared" si="11"/>
        <v>0.43999999999999995</v>
      </c>
    </row>
    <row r="12" spans="1:24" x14ac:dyDescent="0.2">
      <c r="A12" s="542"/>
      <c r="B12" s="548" t="s">
        <v>10</v>
      </c>
      <c r="C12" s="549">
        <f>Input!C17</f>
        <v>0.4763</v>
      </c>
      <c r="D12" s="549">
        <f>Input!D17</f>
        <v>0.48130000000000001</v>
      </c>
      <c r="E12" s="549">
        <f>Input!E17</f>
        <v>0.49030000000000001</v>
      </c>
      <c r="F12" s="549">
        <f>Input!F17</f>
        <v>0.4763</v>
      </c>
      <c r="G12" s="549">
        <f>Input!G17</f>
        <v>0.4763</v>
      </c>
      <c r="H12" s="549">
        <f>Input!H17</f>
        <v>0.49270000000000003</v>
      </c>
      <c r="I12" s="549">
        <f>Input!I17</f>
        <v>0.219</v>
      </c>
      <c r="J12" s="549">
        <f>Input!J17</f>
        <v>0.219</v>
      </c>
      <c r="K12" s="549">
        <f>Input!K17</f>
        <v>0.56599999999999995</v>
      </c>
      <c r="L12" s="549">
        <f>Input!L17</f>
        <v>0.54330000000000001</v>
      </c>
      <c r="M12" s="550"/>
      <c r="N12" s="551"/>
      <c r="O12" s="552">
        <f t="shared" si="2"/>
        <v>0.52370000000000005</v>
      </c>
      <c r="P12" s="552">
        <f t="shared" si="3"/>
        <v>0.51869999999999994</v>
      </c>
      <c r="Q12" s="552">
        <f t="shared" si="4"/>
        <v>0.50970000000000004</v>
      </c>
      <c r="R12" s="552">
        <f t="shared" si="5"/>
        <v>0.52370000000000005</v>
      </c>
      <c r="S12" s="552">
        <f t="shared" si="6"/>
        <v>0.52370000000000005</v>
      </c>
      <c r="T12" s="552">
        <f t="shared" si="7"/>
        <v>0.50729999999999997</v>
      </c>
      <c r="U12" s="552">
        <f t="shared" si="8"/>
        <v>0.78100000000000003</v>
      </c>
      <c r="V12" s="552">
        <f t="shared" si="9"/>
        <v>0.78100000000000003</v>
      </c>
      <c r="W12" s="552">
        <f t="shared" si="10"/>
        <v>0.43400000000000005</v>
      </c>
      <c r="X12" s="552">
        <f t="shared" si="11"/>
        <v>0.45669999999999999</v>
      </c>
    </row>
    <row r="13" spans="1:24" x14ac:dyDescent="0.2">
      <c r="A13" s="542"/>
      <c r="B13" s="548" t="s">
        <v>11</v>
      </c>
      <c r="C13" s="549">
        <f>Input!C18</f>
        <v>0.49769999999999998</v>
      </c>
      <c r="D13" s="549">
        <f>Input!D18</f>
        <v>0.50870000000000004</v>
      </c>
      <c r="E13" s="549">
        <f>Input!E18</f>
        <v>0.51729999999999998</v>
      </c>
      <c r="F13" s="549">
        <f>Input!F18</f>
        <v>0.49769999999999998</v>
      </c>
      <c r="G13" s="549">
        <f>Input!G18</f>
        <v>0.49769999999999998</v>
      </c>
      <c r="H13" s="549">
        <f>Input!H18</f>
        <v>0.5857</v>
      </c>
      <c r="I13" s="549">
        <f>Input!I18</f>
        <v>0.21199999999999999</v>
      </c>
      <c r="J13" s="549">
        <f>Input!J18</f>
        <v>0.21199999999999999</v>
      </c>
      <c r="K13" s="549">
        <f>Input!K18</f>
        <v>0.58899999999999997</v>
      </c>
      <c r="L13" s="549">
        <f>Input!L18</f>
        <v>0.56430000000000002</v>
      </c>
      <c r="M13" s="550"/>
      <c r="N13" s="551"/>
      <c r="O13" s="552">
        <f t="shared" si="2"/>
        <v>0.50229999999999997</v>
      </c>
      <c r="P13" s="552">
        <f t="shared" si="3"/>
        <v>0.49129999999999996</v>
      </c>
      <c r="Q13" s="552">
        <f t="shared" si="4"/>
        <v>0.48270000000000002</v>
      </c>
      <c r="R13" s="552">
        <f t="shared" si="5"/>
        <v>0.50229999999999997</v>
      </c>
      <c r="S13" s="552">
        <f t="shared" si="6"/>
        <v>0.50229999999999997</v>
      </c>
      <c r="T13" s="552">
        <f t="shared" si="7"/>
        <v>0.4143</v>
      </c>
      <c r="U13" s="552">
        <f t="shared" si="8"/>
        <v>0.78800000000000003</v>
      </c>
      <c r="V13" s="552">
        <f t="shared" si="9"/>
        <v>0.78800000000000003</v>
      </c>
      <c r="W13" s="552">
        <f t="shared" si="10"/>
        <v>0.41100000000000003</v>
      </c>
      <c r="X13" s="552">
        <f t="shared" si="11"/>
        <v>0.43569999999999998</v>
      </c>
    </row>
    <row r="14" spans="1:24" x14ac:dyDescent="0.2">
      <c r="A14" s="542"/>
      <c r="B14" s="548" t="s">
        <v>12</v>
      </c>
      <c r="C14" s="549">
        <f>Input!C19</f>
        <v>0.52300000000000002</v>
      </c>
      <c r="D14" s="549">
        <f>Input!D19</f>
        <v>0.53</v>
      </c>
      <c r="E14" s="549">
        <f>Input!E19</f>
        <v>0.54369999999999996</v>
      </c>
      <c r="F14" s="549">
        <f>Input!F19</f>
        <v>0.52300000000000002</v>
      </c>
      <c r="G14" s="549">
        <f>Input!G19</f>
        <v>0.52300000000000002</v>
      </c>
      <c r="H14" s="549">
        <f>Input!H19</f>
        <v>0.62829999999999997</v>
      </c>
      <c r="I14" s="549">
        <f>Input!I19</f>
        <v>0.20369999999999999</v>
      </c>
      <c r="J14" s="549">
        <f>Input!J19</f>
        <v>0.20369999999999999</v>
      </c>
      <c r="K14" s="549">
        <f>Input!K19</f>
        <v>0.60499999999999998</v>
      </c>
      <c r="L14" s="549">
        <f>Input!L19</f>
        <v>0.57699999999999996</v>
      </c>
      <c r="M14" s="550"/>
      <c r="N14" s="551"/>
      <c r="O14" s="552">
        <f t="shared" si="2"/>
        <v>0.47699999999999998</v>
      </c>
      <c r="P14" s="552">
        <f t="shared" si="3"/>
        <v>0.47</v>
      </c>
      <c r="Q14" s="552">
        <f t="shared" si="4"/>
        <v>0.45630000000000004</v>
      </c>
      <c r="R14" s="552">
        <f t="shared" si="5"/>
        <v>0.47699999999999998</v>
      </c>
      <c r="S14" s="552">
        <f t="shared" si="6"/>
        <v>0.47699999999999998</v>
      </c>
      <c r="T14" s="552">
        <f t="shared" si="7"/>
        <v>0.37170000000000003</v>
      </c>
      <c r="U14" s="552">
        <f t="shared" si="8"/>
        <v>0.79630000000000001</v>
      </c>
      <c r="V14" s="552">
        <f t="shared" si="9"/>
        <v>0.79630000000000001</v>
      </c>
      <c r="W14" s="552">
        <f t="shared" si="10"/>
        <v>0.39500000000000002</v>
      </c>
      <c r="X14" s="552">
        <f t="shared" si="11"/>
        <v>0.42300000000000004</v>
      </c>
    </row>
    <row r="15" spans="1:24" x14ac:dyDescent="0.2">
      <c r="A15" s="542"/>
      <c r="B15" s="548" t="s">
        <v>13</v>
      </c>
      <c r="C15" s="549">
        <f>Input!C20</f>
        <v>0.48830000000000001</v>
      </c>
      <c r="D15" s="549">
        <f>Input!D20</f>
        <v>0.49730000000000002</v>
      </c>
      <c r="E15" s="549">
        <f>Input!E20</f>
        <v>0.50729999999999997</v>
      </c>
      <c r="F15" s="549">
        <f>Input!F20</f>
        <v>0.48830000000000001</v>
      </c>
      <c r="G15" s="549">
        <f>Input!G20</f>
        <v>0.48830000000000001</v>
      </c>
      <c r="H15" s="549">
        <f>Input!H20</f>
        <v>0.58330000000000004</v>
      </c>
      <c r="I15" s="549">
        <f>Input!I20</f>
        <v>0.183</v>
      </c>
      <c r="J15" s="549">
        <f>Input!J20</f>
        <v>0.183</v>
      </c>
      <c r="K15" s="549">
        <f>Input!K20</f>
        <v>0.56200000000000006</v>
      </c>
      <c r="L15" s="549">
        <f>Input!L20</f>
        <v>0.52869999999999995</v>
      </c>
      <c r="M15" s="550"/>
      <c r="N15" s="551"/>
      <c r="O15" s="552">
        <f t="shared" si="2"/>
        <v>0.51170000000000004</v>
      </c>
      <c r="P15" s="552">
        <f t="shared" si="3"/>
        <v>0.50269999999999992</v>
      </c>
      <c r="Q15" s="552">
        <f t="shared" si="4"/>
        <v>0.49270000000000003</v>
      </c>
      <c r="R15" s="552">
        <f t="shared" si="5"/>
        <v>0.51170000000000004</v>
      </c>
      <c r="S15" s="552">
        <f t="shared" si="6"/>
        <v>0.51170000000000004</v>
      </c>
      <c r="T15" s="552">
        <f t="shared" si="7"/>
        <v>0.41669999999999996</v>
      </c>
      <c r="U15" s="552">
        <f t="shared" si="8"/>
        <v>0.81699999999999995</v>
      </c>
      <c r="V15" s="552">
        <f t="shared" si="9"/>
        <v>0.81699999999999995</v>
      </c>
      <c r="W15" s="552">
        <f t="shared" si="10"/>
        <v>0.43799999999999994</v>
      </c>
      <c r="X15" s="552">
        <f t="shared" si="11"/>
        <v>0.47130000000000005</v>
      </c>
    </row>
    <row r="16" spans="1:24" x14ac:dyDescent="0.2">
      <c r="A16" s="542"/>
      <c r="B16" s="548" t="s">
        <v>14</v>
      </c>
      <c r="C16" s="549">
        <f>Input!C21</f>
        <v>0.54430000000000001</v>
      </c>
      <c r="D16" s="549">
        <f>Input!D21</f>
        <v>0.55369999999999997</v>
      </c>
      <c r="E16" s="549">
        <f>Input!E21</f>
        <v>0.56369999999999998</v>
      </c>
      <c r="F16" s="549">
        <f>Input!F21</f>
        <v>0.54430000000000001</v>
      </c>
      <c r="G16" s="549">
        <f>Input!G21</f>
        <v>0.54430000000000001</v>
      </c>
      <c r="H16" s="549">
        <f>Input!H21</f>
        <v>0.63929999999999998</v>
      </c>
      <c r="I16" s="549">
        <f>Input!I21</f>
        <v>0.2253</v>
      </c>
      <c r="J16" s="549">
        <f>Input!J21</f>
        <v>0.2253</v>
      </c>
      <c r="K16" s="549">
        <f>Input!K21</f>
        <v>0.61799999999999999</v>
      </c>
      <c r="L16" s="549">
        <f>Input!L21</f>
        <v>0.57999999999999996</v>
      </c>
      <c r="M16" s="550"/>
      <c r="N16" s="551"/>
      <c r="O16" s="552">
        <f t="shared" si="2"/>
        <v>0.45569999999999999</v>
      </c>
      <c r="P16" s="552">
        <f t="shared" si="3"/>
        <v>0.44630000000000003</v>
      </c>
      <c r="Q16" s="552">
        <f t="shared" si="4"/>
        <v>0.43630000000000002</v>
      </c>
      <c r="R16" s="552">
        <f t="shared" si="5"/>
        <v>0.45569999999999999</v>
      </c>
      <c r="S16" s="552">
        <f t="shared" si="6"/>
        <v>0.45569999999999999</v>
      </c>
      <c r="T16" s="552">
        <f t="shared" si="7"/>
        <v>0.36070000000000002</v>
      </c>
      <c r="U16" s="552">
        <f t="shared" si="8"/>
        <v>0.77469999999999994</v>
      </c>
      <c r="V16" s="552">
        <f t="shared" si="9"/>
        <v>0.77469999999999994</v>
      </c>
      <c r="W16" s="552">
        <f t="shared" si="10"/>
        <v>0.38200000000000001</v>
      </c>
      <c r="X16" s="552">
        <f t="shared" si="11"/>
        <v>0.42000000000000004</v>
      </c>
    </row>
    <row r="17" spans="1:24" x14ac:dyDescent="0.2">
      <c r="A17" s="542"/>
      <c r="B17" s="548" t="s">
        <v>15</v>
      </c>
      <c r="C17" s="549">
        <f>Input!C22</f>
        <v>0.48699999999999999</v>
      </c>
      <c r="D17" s="549">
        <f>Input!D22</f>
        <v>0.49630000000000002</v>
      </c>
      <c r="E17" s="549">
        <f>Input!E22</f>
        <v>0.50470000000000004</v>
      </c>
      <c r="F17" s="549">
        <f>Input!F22</f>
        <v>0.48699999999999999</v>
      </c>
      <c r="G17" s="549">
        <f>Input!G22</f>
        <v>0.48699999999999999</v>
      </c>
      <c r="H17" s="549">
        <f>Input!H22</f>
        <v>0.59499999999999997</v>
      </c>
      <c r="I17" s="549">
        <f>Input!I22</f>
        <v>0.22670000000000001</v>
      </c>
      <c r="J17" s="549">
        <f>Input!J22</f>
        <v>0.22670000000000001</v>
      </c>
      <c r="K17" s="549">
        <f>Input!K22</f>
        <v>0.57069999999999999</v>
      </c>
      <c r="L17" s="549">
        <f>Input!L22</f>
        <v>0.54169999999999996</v>
      </c>
      <c r="M17" s="550"/>
      <c r="N17" s="551"/>
      <c r="O17" s="552">
        <f t="shared" si="2"/>
        <v>0.51300000000000001</v>
      </c>
      <c r="P17" s="552">
        <f t="shared" si="3"/>
        <v>0.50370000000000004</v>
      </c>
      <c r="Q17" s="552">
        <f t="shared" si="4"/>
        <v>0.49529999999999996</v>
      </c>
      <c r="R17" s="552">
        <f t="shared" si="5"/>
        <v>0.51300000000000001</v>
      </c>
      <c r="S17" s="552">
        <f t="shared" si="6"/>
        <v>0.51300000000000001</v>
      </c>
      <c r="T17" s="552">
        <f t="shared" si="7"/>
        <v>0.40500000000000003</v>
      </c>
      <c r="U17" s="552">
        <f t="shared" si="8"/>
        <v>0.77329999999999999</v>
      </c>
      <c r="V17" s="552">
        <f t="shared" si="9"/>
        <v>0.77329999999999999</v>
      </c>
      <c r="W17" s="552">
        <f t="shared" si="10"/>
        <v>0.42930000000000001</v>
      </c>
      <c r="X17" s="552">
        <f t="shared" si="11"/>
        <v>0.45830000000000004</v>
      </c>
    </row>
    <row r="18" spans="1:24" x14ac:dyDescent="0.2">
      <c r="A18" s="542"/>
      <c r="B18" s="548" t="s">
        <v>16</v>
      </c>
      <c r="C18" s="549">
        <f>Input!C23</f>
        <v>0.49930000000000002</v>
      </c>
      <c r="D18" s="549">
        <f>Input!D23</f>
        <v>0.51770000000000005</v>
      </c>
      <c r="E18" s="549">
        <f>Input!E23</f>
        <v>0.51829999999999998</v>
      </c>
      <c r="F18" s="549">
        <f>Input!F23</f>
        <v>0.49930000000000002</v>
      </c>
      <c r="G18" s="549">
        <f>Input!G23</f>
        <v>0.49930000000000002</v>
      </c>
      <c r="H18" s="549">
        <f>Input!H23</f>
        <v>0.57169999999999999</v>
      </c>
      <c r="I18" s="549">
        <f>Input!I23</f>
        <v>0.26929999999999998</v>
      </c>
      <c r="J18" s="549">
        <f>Input!J23</f>
        <v>0.26929999999999998</v>
      </c>
      <c r="K18" s="549">
        <f>Input!K23</f>
        <v>0.58799999999999997</v>
      </c>
      <c r="L18" s="549">
        <f>Input!L23</f>
        <v>0.56469999999999998</v>
      </c>
      <c r="M18" s="550"/>
      <c r="N18" s="551"/>
      <c r="O18" s="552">
        <f t="shared" si="2"/>
        <v>0.50069999999999992</v>
      </c>
      <c r="P18" s="552">
        <f t="shared" si="3"/>
        <v>0.48229999999999995</v>
      </c>
      <c r="Q18" s="552">
        <f t="shared" si="4"/>
        <v>0.48170000000000002</v>
      </c>
      <c r="R18" s="552">
        <f t="shared" si="5"/>
        <v>0.50069999999999992</v>
      </c>
      <c r="S18" s="552">
        <f t="shared" si="6"/>
        <v>0.50069999999999992</v>
      </c>
      <c r="T18" s="552">
        <f t="shared" si="7"/>
        <v>0.42830000000000001</v>
      </c>
      <c r="U18" s="552">
        <f t="shared" si="8"/>
        <v>0.73070000000000002</v>
      </c>
      <c r="V18" s="552">
        <f t="shared" si="9"/>
        <v>0.73070000000000002</v>
      </c>
      <c r="W18" s="552">
        <f t="shared" si="10"/>
        <v>0.41200000000000003</v>
      </c>
      <c r="X18" s="552">
        <f t="shared" si="11"/>
        <v>0.43530000000000002</v>
      </c>
    </row>
    <row r="19" spans="1:24" x14ac:dyDescent="0.2">
      <c r="A19" s="542"/>
      <c r="B19" s="548" t="s">
        <v>17</v>
      </c>
      <c r="C19" s="549">
        <f>Input!C24</f>
        <v>0.48199999999999998</v>
      </c>
      <c r="D19" s="549">
        <f>Input!D24</f>
        <v>0.48270000000000002</v>
      </c>
      <c r="E19" s="549">
        <f>Input!E24</f>
        <v>0.50170000000000003</v>
      </c>
      <c r="F19" s="549">
        <f>Input!F24</f>
        <v>0.48199999999999998</v>
      </c>
      <c r="G19" s="549">
        <f>Input!G24</f>
        <v>0.48199999999999998</v>
      </c>
      <c r="H19" s="549">
        <f>Input!H24</f>
        <v>0.48899999999999999</v>
      </c>
      <c r="I19" s="549">
        <f>Input!I24</f>
        <v>0.31</v>
      </c>
      <c r="J19" s="549">
        <f>Input!J24</f>
        <v>0.31</v>
      </c>
      <c r="K19" s="549">
        <f>Input!K24</f>
        <v>0.56469999999999998</v>
      </c>
      <c r="L19" s="549">
        <f>Input!L24</f>
        <v>0.54200000000000004</v>
      </c>
      <c r="M19" s="550"/>
      <c r="N19" s="551"/>
      <c r="O19" s="552">
        <f t="shared" si="2"/>
        <v>0.51800000000000002</v>
      </c>
      <c r="P19" s="552">
        <f t="shared" si="3"/>
        <v>0.51729999999999998</v>
      </c>
      <c r="Q19" s="552">
        <f t="shared" si="4"/>
        <v>0.49829999999999997</v>
      </c>
      <c r="R19" s="552">
        <f t="shared" si="5"/>
        <v>0.51800000000000002</v>
      </c>
      <c r="S19" s="552">
        <f t="shared" si="6"/>
        <v>0.51800000000000002</v>
      </c>
      <c r="T19" s="552">
        <f t="shared" si="7"/>
        <v>0.51100000000000001</v>
      </c>
      <c r="U19" s="552">
        <f t="shared" si="8"/>
        <v>0.69</v>
      </c>
      <c r="V19" s="552">
        <f t="shared" si="9"/>
        <v>0.69</v>
      </c>
      <c r="W19" s="552">
        <f t="shared" si="10"/>
        <v>0.43530000000000002</v>
      </c>
      <c r="X19" s="552">
        <f t="shared" si="11"/>
        <v>0.45799999999999996</v>
      </c>
    </row>
    <row r="20" spans="1:24" x14ac:dyDescent="0.2">
      <c r="A20" s="542"/>
      <c r="B20" s="548" t="s">
        <v>18</v>
      </c>
      <c r="C20" s="549">
        <f>Input!C25</f>
        <v>0.45469999999999999</v>
      </c>
      <c r="D20" s="549">
        <f>Input!D25</f>
        <v>0.45229999999999998</v>
      </c>
      <c r="E20" s="549">
        <f>Input!E25</f>
        <v>0.46829999999999999</v>
      </c>
      <c r="F20" s="549">
        <f>Input!F25</f>
        <v>0.45469999999999999</v>
      </c>
      <c r="G20" s="549">
        <f>Input!G25</f>
        <v>0.45469999999999999</v>
      </c>
      <c r="H20" s="549">
        <f>Input!H25</f>
        <v>0.45429999999999998</v>
      </c>
      <c r="I20" s="549">
        <f>Input!I25</f>
        <v>0.29870000000000002</v>
      </c>
      <c r="J20" s="549">
        <f>Input!J25</f>
        <v>0.29870000000000002</v>
      </c>
      <c r="K20" s="549">
        <f>Input!K25</f>
        <v>0.52629999999999999</v>
      </c>
      <c r="L20" s="549">
        <f>Input!L25</f>
        <v>0.50329999999999997</v>
      </c>
      <c r="M20" s="550"/>
      <c r="N20" s="551"/>
      <c r="O20" s="552">
        <f t="shared" si="2"/>
        <v>0.54530000000000001</v>
      </c>
      <c r="P20" s="552">
        <f t="shared" si="3"/>
        <v>0.54770000000000008</v>
      </c>
      <c r="Q20" s="552">
        <f t="shared" si="4"/>
        <v>0.53170000000000006</v>
      </c>
      <c r="R20" s="552">
        <f t="shared" si="5"/>
        <v>0.54530000000000001</v>
      </c>
      <c r="S20" s="552">
        <f t="shared" si="6"/>
        <v>0.54530000000000001</v>
      </c>
      <c r="T20" s="552">
        <f t="shared" si="7"/>
        <v>0.54570000000000007</v>
      </c>
      <c r="U20" s="552">
        <f t="shared" si="8"/>
        <v>0.70130000000000003</v>
      </c>
      <c r="V20" s="552">
        <f t="shared" si="9"/>
        <v>0.70130000000000003</v>
      </c>
      <c r="W20" s="552">
        <f t="shared" si="10"/>
        <v>0.47370000000000001</v>
      </c>
      <c r="X20" s="552">
        <f t="shared" si="11"/>
        <v>0.49670000000000003</v>
      </c>
    </row>
    <row r="21" spans="1:24" x14ac:dyDescent="0.2">
      <c r="A21" s="542"/>
      <c r="B21" s="548"/>
      <c r="C21" s="551"/>
      <c r="D21" s="551"/>
      <c r="E21" s="551"/>
      <c r="F21" s="551"/>
      <c r="G21" s="551"/>
      <c r="H21" s="551"/>
      <c r="I21" s="551"/>
      <c r="J21" s="551"/>
      <c r="K21" s="551"/>
      <c r="L21" s="551"/>
      <c r="M21" s="551"/>
      <c r="N21" s="551"/>
      <c r="O21" s="552"/>
      <c r="P21" s="552"/>
      <c r="Q21" s="552"/>
      <c r="R21" s="552"/>
      <c r="S21" s="552"/>
      <c r="T21" s="552"/>
      <c r="U21" s="552"/>
      <c r="V21" s="552"/>
      <c r="W21" s="552"/>
      <c r="X21" s="552"/>
    </row>
    <row r="22" spans="1:24" x14ac:dyDescent="0.2">
      <c r="A22" s="542"/>
      <c r="B22" s="548"/>
      <c r="C22" s="551"/>
      <c r="D22" s="551"/>
      <c r="E22" s="539" t="str">
        <f>+Input!E27</f>
        <v>Based on average of year 2016, 2017 &amp; 2018 Load Profile Information</v>
      </c>
      <c r="K22" s="551"/>
      <c r="L22" s="551"/>
      <c r="M22" s="551"/>
      <c r="N22" s="551"/>
      <c r="O22" s="552"/>
      <c r="P22" s="552"/>
      <c r="Q22" s="552"/>
      <c r="R22" s="552"/>
      <c r="S22" s="552"/>
      <c r="T22" s="552"/>
      <c r="U22" s="552"/>
      <c r="V22" s="552"/>
      <c r="W22" s="552"/>
      <c r="X22" s="552"/>
    </row>
    <row r="23" spans="1:24" x14ac:dyDescent="0.2">
      <c r="A23" s="540" t="s">
        <v>65</v>
      </c>
      <c r="B23" s="84" t="s">
        <v>131</v>
      </c>
      <c r="C23" s="551"/>
      <c r="D23" s="551"/>
      <c r="E23" s="539" t="str">
        <f>+Input!E28</f>
        <v>On-Peak periods as defined in specified rate schedule (average of %s for 2016,2017 &amp; 2018)</v>
      </c>
      <c r="G23" s="551"/>
      <c r="H23" s="551"/>
      <c r="I23" s="553"/>
      <c r="J23" s="553"/>
      <c r="K23" s="551"/>
      <c r="L23" s="551"/>
      <c r="M23" s="551"/>
      <c r="N23" s="551"/>
      <c r="O23" s="552"/>
      <c r="P23" s="552"/>
      <c r="Q23" s="552"/>
      <c r="R23" s="552"/>
      <c r="S23" s="552"/>
      <c r="T23" s="552"/>
      <c r="U23" s="552"/>
      <c r="V23" s="552"/>
      <c r="W23" s="552"/>
      <c r="X23" s="552"/>
    </row>
    <row r="24" spans="1:24" ht="25.5" x14ac:dyDescent="0.2">
      <c r="A24" s="542"/>
      <c r="C24" s="543" t="s">
        <v>79</v>
      </c>
      <c r="D24" s="543" t="s">
        <v>79</v>
      </c>
      <c r="E24" s="543" t="s">
        <v>50</v>
      </c>
      <c r="F24" s="543" t="s">
        <v>79</v>
      </c>
      <c r="G24" s="543" t="s">
        <v>79</v>
      </c>
      <c r="H24" s="543" t="s">
        <v>79</v>
      </c>
      <c r="I24" s="543" t="s">
        <v>79</v>
      </c>
      <c r="J24" s="543" t="s">
        <v>79</v>
      </c>
      <c r="K24" s="543" t="s">
        <v>79</v>
      </c>
      <c r="L24" s="543" t="s">
        <v>50</v>
      </c>
      <c r="M24" s="543"/>
      <c r="N24" s="539"/>
      <c r="O24" s="543" t="s">
        <v>79</v>
      </c>
      <c r="P24" s="543" t="s">
        <v>79</v>
      </c>
      <c r="Q24" s="543" t="s">
        <v>222</v>
      </c>
      <c r="R24" s="543" t="s">
        <v>79</v>
      </c>
      <c r="S24" s="543" t="s">
        <v>79</v>
      </c>
      <c r="T24" s="543" t="s">
        <v>79</v>
      </c>
      <c r="U24" s="543" t="s">
        <v>79</v>
      </c>
      <c r="V24" s="543" t="s">
        <v>79</v>
      </c>
      <c r="W24" s="543" t="s">
        <v>79</v>
      </c>
      <c r="X24" s="543" t="s">
        <v>222</v>
      </c>
    </row>
    <row r="25" spans="1:24" x14ac:dyDescent="0.2">
      <c r="A25" s="542"/>
      <c r="B25" s="545" t="s">
        <v>235</v>
      </c>
      <c r="C25" s="536" t="str">
        <f>+C7</f>
        <v>RS</v>
      </c>
      <c r="D25" s="536" t="str">
        <f t="shared" ref="D25:L25" si="12">+D7</f>
        <v>RHS</v>
      </c>
      <c r="E25" s="536" t="str">
        <f t="shared" si="12"/>
        <v>RLM</v>
      </c>
      <c r="F25" s="536" t="str">
        <f t="shared" si="12"/>
        <v>WH</v>
      </c>
      <c r="G25" s="536" t="str">
        <f t="shared" si="12"/>
        <v>WHS</v>
      </c>
      <c r="H25" s="536" t="str">
        <f t="shared" si="12"/>
        <v>HS</v>
      </c>
      <c r="I25" s="536" t="str">
        <f t="shared" si="12"/>
        <v>PSAL</v>
      </c>
      <c r="J25" s="536" t="str">
        <f t="shared" si="12"/>
        <v>BPL</v>
      </c>
      <c r="K25" s="536" t="str">
        <f t="shared" si="12"/>
        <v>GLP</v>
      </c>
      <c r="L25" s="536" t="str">
        <f t="shared" si="12"/>
        <v>LPL-S</v>
      </c>
      <c r="M25" s="536"/>
      <c r="N25" s="547"/>
      <c r="O25" s="536" t="str">
        <f>+C7</f>
        <v>RS</v>
      </c>
      <c r="P25" s="536" t="str">
        <f t="shared" ref="P25:X25" si="13">+D7</f>
        <v>RHS</v>
      </c>
      <c r="Q25" s="536" t="str">
        <f t="shared" si="13"/>
        <v>RLM</v>
      </c>
      <c r="R25" s="536" t="str">
        <f t="shared" si="13"/>
        <v>WH</v>
      </c>
      <c r="S25" s="536" t="str">
        <f t="shared" si="13"/>
        <v>WHS</v>
      </c>
      <c r="T25" s="536" t="str">
        <f t="shared" si="13"/>
        <v>HS</v>
      </c>
      <c r="U25" s="536" t="str">
        <f t="shared" si="13"/>
        <v>PSAL</v>
      </c>
      <c r="V25" s="536" t="str">
        <f t="shared" si="13"/>
        <v>BPL</v>
      </c>
      <c r="W25" s="536" t="str">
        <f t="shared" si="13"/>
        <v>GLP</v>
      </c>
      <c r="X25" s="536" t="str">
        <f t="shared" si="13"/>
        <v>LPL-S</v>
      </c>
    </row>
    <row r="26" spans="1:24" x14ac:dyDescent="0.2">
      <c r="A26" s="542"/>
      <c r="O26" s="537"/>
      <c r="P26" s="537"/>
      <c r="Q26" s="537"/>
      <c r="R26" s="537"/>
      <c r="S26" s="537"/>
      <c r="T26" s="537"/>
      <c r="U26" s="537"/>
      <c r="V26" s="537"/>
      <c r="W26" s="537"/>
      <c r="X26" s="537"/>
    </row>
    <row r="27" spans="1:24" x14ac:dyDescent="0.2">
      <c r="A27" s="542"/>
      <c r="B27" s="548" t="s">
        <v>7</v>
      </c>
      <c r="C27" s="554">
        <v>0</v>
      </c>
      <c r="D27" s="554">
        <v>0</v>
      </c>
      <c r="E27" s="554">
        <f>Input!C32</f>
        <v>0.42699999999999999</v>
      </c>
      <c r="F27" s="554">
        <v>0</v>
      </c>
      <c r="G27" s="554">
        <v>0</v>
      </c>
      <c r="H27" s="554">
        <v>0</v>
      </c>
      <c r="I27" s="554">
        <v>0</v>
      </c>
      <c r="J27" s="554">
        <v>0</v>
      </c>
      <c r="K27" s="554">
        <v>0</v>
      </c>
      <c r="L27" s="554">
        <f>Input!D32</f>
        <v>0.4783</v>
      </c>
      <c r="M27" s="550"/>
      <c r="N27" s="551"/>
      <c r="O27" s="552"/>
      <c r="P27" s="552"/>
      <c r="Q27" s="552">
        <f t="shared" ref="Q27:Q38" si="14">1-E27</f>
        <v>0.57299999999999995</v>
      </c>
      <c r="R27" s="552"/>
      <c r="S27" s="552"/>
      <c r="T27" s="552"/>
      <c r="U27" s="552"/>
      <c r="V27" s="552"/>
      <c r="W27" s="552"/>
      <c r="X27" s="552">
        <f t="shared" ref="X27:X38" si="15">1-L27</f>
        <v>0.52170000000000005</v>
      </c>
    </row>
    <row r="28" spans="1:24" x14ac:dyDescent="0.2">
      <c r="A28" s="542"/>
      <c r="B28" s="548" t="s">
        <v>8</v>
      </c>
      <c r="C28" s="554">
        <v>0</v>
      </c>
      <c r="D28" s="554">
        <v>0</v>
      </c>
      <c r="E28" s="554">
        <f>Input!C33</f>
        <v>0.42320000000000002</v>
      </c>
      <c r="F28" s="554">
        <v>0</v>
      </c>
      <c r="G28" s="554">
        <v>0</v>
      </c>
      <c r="H28" s="554">
        <v>0</v>
      </c>
      <c r="I28" s="554">
        <v>0</v>
      </c>
      <c r="J28" s="554">
        <v>0</v>
      </c>
      <c r="K28" s="554">
        <v>0</v>
      </c>
      <c r="L28" s="554">
        <f>Input!D33</f>
        <v>0.48259999999999997</v>
      </c>
      <c r="M28" s="550"/>
      <c r="N28" s="551"/>
      <c r="O28" s="552"/>
      <c r="P28" s="552"/>
      <c r="Q28" s="552">
        <f t="shared" si="14"/>
        <v>0.57679999999999998</v>
      </c>
      <c r="R28" s="552"/>
      <c r="S28" s="552"/>
      <c r="T28" s="552"/>
      <c r="U28" s="552"/>
      <c r="V28" s="552"/>
      <c r="W28" s="552"/>
      <c r="X28" s="552">
        <f t="shared" si="15"/>
        <v>0.51740000000000008</v>
      </c>
    </row>
    <row r="29" spans="1:24" x14ac:dyDescent="0.2">
      <c r="A29" s="542"/>
      <c r="B29" s="548" t="s">
        <v>9</v>
      </c>
      <c r="C29" s="554">
        <v>0</v>
      </c>
      <c r="D29" s="554">
        <v>0</v>
      </c>
      <c r="E29" s="554">
        <f>Input!C34</f>
        <v>0.41849999999999998</v>
      </c>
      <c r="F29" s="554">
        <v>0</v>
      </c>
      <c r="G29" s="554">
        <v>0</v>
      </c>
      <c r="H29" s="554">
        <v>0</v>
      </c>
      <c r="I29" s="554">
        <v>0</v>
      </c>
      <c r="J29" s="554">
        <v>0</v>
      </c>
      <c r="K29" s="554">
        <v>0</v>
      </c>
      <c r="L29" s="554">
        <f>Input!D34</f>
        <v>0.48110000000000003</v>
      </c>
      <c r="M29" s="550"/>
      <c r="N29" s="551"/>
      <c r="O29" s="552"/>
      <c r="P29" s="552"/>
      <c r="Q29" s="552">
        <f t="shared" si="14"/>
        <v>0.58150000000000002</v>
      </c>
      <c r="R29" s="552"/>
      <c r="S29" s="552"/>
      <c r="T29" s="552"/>
      <c r="U29" s="552"/>
      <c r="V29" s="552"/>
      <c r="W29" s="552"/>
      <c r="X29" s="552">
        <f t="shared" si="15"/>
        <v>0.51889999999999992</v>
      </c>
    </row>
    <row r="30" spans="1:24" x14ac:dyDescent="0.2">
      <c r="A30" s="542"/>
      <c r="B30" s="548" t="s">
        <v>10</v>
      </c>
      <c r="C30" s="554">
        <v>0</v>
      </c>
      <c r="D30" s="554">
        <v>0</v>
      </c>
      <c r="E30" s="554">
        <f>Input!C35</f>
        <v>0.41930000000000001</v>
      </c>
      <c r="F30" s="554">
        <v>0</v>
      </c>
      <c r="G30" s="554">
        <v>0</v>
      </c>
      <c r="H30" s="554">
        <v>0</v>
      </c>
      <c r="I30" s="554">
        <v>0</v>
      </c>
      <c r="J30" s="554">
        <v>0</v>
      </c>
      <c r="K30" s="554">
        <v>0</v>
      </c>
      <c r="L30" s="554">
        <f>Input!D35</f>
        <v>0.4894</v>
      </c>
      <c r="M30" s="550"/>
      <c r="N30" s="551"/>
      <c r="O30" s="552"/>
      <c r="P30" s="552"/>
      <c r="Q30" s="552">
        <f t="shared" si="14"/>
        <v>0.58069999999999999</v>
      </c>
      <c r="R30" s="552"/>
      <c r="S30" s="552"/>
      <c r="T30" s="552"/>
      <c r="U30" s="552"/>
      <c r="V30" s="552"/>
      <c r="W30" s="552"/>
      <c r="X30" s="552">
        <f t="shared" si="15"/>
        <v>0.51059999999999994</v>
      </c>
    </row>
    <row r="31" spans="1:24" x14ac:dyDescent="0.2">
      <c r="A31" s="542"/>
      <c r="B31" s="548" t="s">
        <v>11</v>
      </c>
      <c r="C31" s="554">
        <v>0</v>
      </c>
      <c r="D31" s="554">
        <v>0</v>
      </c>
      <c r="E31" s="554">
        <f>Input!C36</f>
        <v>0.44369999999999998</v>
      </c>
      <c r="F31" s="554">
        <v>0</v>
      </c>
      <c r="G31" s="554">
        <v>0</v>
      </c>
      <c r="H31" s="554">
        <v>0</v>
      </c>
      <c r="I31" s="554">
        <v>0</v>
      </c>
      <c r="J31" s="554">
        <v>0</v>
      </c>
      <c r="K31" s="554">
        <v>0</v>
      </c>
      <c r="L31" s="554">
        <f>Input!D36</f>
        <v>0.50139999999999996</v>
      </c>
      <c r="M31" s="550"/>
      <c r="N31" s="555"/>
      <c r="O31" s="552"/>
      <c r="P31" s="552"/>
      <c r="Q31" s="552">
        <f t="shared" si="14"/>
        <v>0.55630000000000002</v>
      </c>
      <c r="R31" s="552"/>
      <c r="S31" s="552"/>
      <c r="T31" s="552"/>
      <c r="U31" s="552"/>
      <c r="V31" s="552"/>
      <c r="W31" s="552"/>
      <c r="X31" s="552">
        <f t="shared" si="15"/>
        <v>0.49860000000000004</v>
      </c>
    </row>
    <row r="32" spans="1:24" x14ac:dyDescent="0.2">
      <c r="A32" s="542"/>
      <c r="B32" s="548" t="s">
        <v>12</v>
      </c>
      <c r="C32" s="554">
        <v>0</v>
      </c>
      <c r="D32" s="554">
        <v>0</v>
      </c>
      <c r="E32" s="554">
        <f>Input!C37</f>
        <v>0.46</v>
      </c>
      <c r="F32" s="554">
        <v>0</v>
      </c>
      <c r="G32" s="554">
        <v>0</v>
      </c>
      <c r="H32" s="554">
        <v>0</v>
      </c>
      <c r="I32" s="554">
        <v>0</v>
      </c>
      <c r="J32" s="554">
        <v>0</v>
      </c>
      <c r="K32" s="554">
        <v>0</v>
      </c>
      <c r="L32" s="554">
        <f>Input!D37</f>
        <v>0.50729999999999997</v>
      </c>
      <c r="M32" s="550"/>
      <c r="N32" s="555"/>
      <c r="O32" s="552"/>
      <c r="P32" s="552"/>
      <c r="Q32" s="552">
        <f t="shared" si="14"/>
        <v>0.54</v>
      </c>
      <c r="R32" s="552"/>
      <c r="S32" s="552"/>
      <c r="T32" s="552"/>
      <c r="U32" s="552"/>
      <c r="V32" s="552"/>
      <c r="W32" s="552"/>
      <c r="X32" s="552">
        <f t="shared" si="15"/>
        <v>0.49270000000000003</v>
      </c>
    </row>
    <row r="33" spans="1:32" x14ac:dyDescent="0.2">
      <c r="A33" s="542"/>
      <c r="B33" s="548" t="s">
        <v>13</v>
      </c>
      <c r="C33" s="554">
        <v>0</v>
      </c>
      <c r="D33" s="554">
        <v>0</v>
      </c>
      <c r="E33" s="554">
        <f>Input!C38</f>
        <v>0.48649999999999999</v>
      </c>
      <c r="F33" s="554">
        <v>0</v>
      </c>
      <c r="G33" s="554">
        <v>0</v>
      </c>
      <c r="H33" s="554">
        <v>0</v>
      </c>
      <c r="I33" s="554">
        <v>0</v>
      </c>
      <c r="J33" s="554">
        <v>0</v>
      </c>
      <c r="K33" s="554">
        <v>0</v>
      </c>
      <c r="L33" s="554">
        <f>Input!D38</f>
        <v>0.50639999999999996</v>
      </c>
      <c r="M33" s="550"/>
      <c r="N33" s="555"/>
      <c r="O33" s="552"/>
      <c r="P33" s="552"/>
      <c r="Q33" s="552">
        <f t="shared" si="14"/>
        <v>0.51350000000000007</v>
      </c>
      <c r="R33" s="552"/>
      <c r="S33" s="552"/>
      <c r="T33" s="552"/>
      <c r="U33" s="552"/>
      <c r="V33" s="552"/>
      <c r="W33" s="552"/>
      <c r="X33" s="552">
        <f t="shared" si="15"/>
        <v>0.49360000000000004</v>
      </c>
    </row>
    <row r="34" spans="1:32" x14ac:dyDescent="0.2">
      <c r="A34" s="542"/>
      <c r="B34" s="548" t="s">
        <v>14</v>
      </c>
      <c r="C34" s="554">
        <v>0</v>
      </c>
      <c r="D34" s="554">
        <v>0</v>
      </c>
      <c r="E34" s="554">
        <f>Input!C39</f>
        <v>0.48620000000000002</v>
      </c>
      <c r="F34" s="554">
        <v>0</v>
      </c>
      <c r="G34" s="554">
        <v>0</v>
      </c>
      <c r="H34" s="554">
        <v>0</v>
      </c>
      <c r="I34" s="554">
        <v>0</v>
      </c>
      <c r="J34" s="554">
        <v>0</v>
      </c>
      <c r="K34" s="554">
        <v>0</v>
      </c>
      <c r="L34" s="554">
        <f>Input!D39</f>
        <v>0.49940000000000001</v>
      </c>
      <c r="M34" s="550"/>
      <c r="N34" s="555"/>
      <c r="O34" s="552"/>
      <c r="P34" s="552"/>
      <c r="Q34" s="552">
        <f t="shared" si="14"/>
        <v>0.51380000000000003</v>
      </c>
      <c r="R34" s="552"/>
      <c r="S34" s="552"/>
      <c r="T34" s="552"/>
      <c r="U34" s="552"/>
      <c r="V34" s="552"/>
      <c r="W34" s="552"/>
      <c r="X34" s="552">
        <f t="shared" si="15"/>
        <v>0.50059999999999993</v>
      </c>
    </row>
    <row r="35" spans="1:32" x14ac:dyDescent="0.2">
      <c r="A35" s="542"/>
      <c r="B35" s="548" t="s">
        <v>15</v>
      </c>
      <c r="C35" s="554">
        <v>0</v>
      </c>
      <c r="D35" s="554">
        <v>0</v>
      </c>
      <c r="E35" s="554">
        <f>Input!C40</f>
        <v>0.48749999999999999</v>
      </c>
      <c r="F35" s="554">
        <v>0</v>
      </c>
      <c r="G35" s="554">
        <v>0</v>
      </c>
      <c r="H35" s="554">
        <v>0</v>
      </c>
      <c r="I35" s="554">
        <v>0</v>
      </c>
      <c r="J35" s="554">
        <v>0</v>
      </c>
      <c r="K35" s="554">
        <v>0</v>
      </c>
      <c r="L35" s="554">
        <f>Input!D40</f>
        <v>0.50780000000000003</v>
      </c>
      <c r="M35" s="550"/>
      <c r="N35" s="555"/>
      <c r="O35" s="552"/>
      <c r="P35" s="552"/>
      <c r="Q35" s="552">
        <f t="shared" si="14"/>
        <v>0.51249999999999996</v>
      </c>
      <c r="R35" s="552"/>
      <c r="S35" s="552"/>
      <c r="T35" s="552"/>
      <c r="U35" s="552"/>
      <c r="V35" s="552"/>
      <c r="W35" s="552"/>
      <c r="X35" s="552">
        <f t="shared" si="15"/>
        <v>0.49219999999999997</v>
      </c>
    </row>
    <row r="36" spans="1:32" x14ac:dyDescent="0.2">
      <c r="A36" s="542"/>
      <c r="B36" s="548" t="s">
        <v>16</v>
      </c>
      <c r="C36" s="554">
        <v>0</v>
      </c>
      <c r="D36" s="554">
        <v>0</v>
      </c>
      <c r="E36" s="554">
        <f>Input!C41</f>
        <v>0.46179999999999999</v>
      </c>
      <c r="F36" s="554">
        <v>0</v>
      </c>
      <c r="G36" s="554">
        <v>0</v>
      </c>
      <c r="H36" s="554">
        <v>0</v>
      </c>
      <c r="I36" s="554">
        <v>0</v>
      </c>
      <c r="J36" s="554">
        <v>0</v>
      </c>
      <c r="K36" s="554">
        <v>0</v>
      </c>
      <c r="L36" s="554">
        <f>Input!D41</f>
        <v>0.50619999999999998</v>
      </c>
      <c r="M36" s="550"/>
      <c r="N36" s="555"/>
      <c r="O36" s="552"/>
      <c r="P36" s="552"/>
      <c r="Q36" s="552">
        <f t="shared" si="14"/>
        <v>0.53820000000000001</v>
      </c>
      <c r="R36" s="552"/>
      <c r="S36" s="552"/>
      <c r="T36" s="552"/>
      <c r="U36" s="552"/>
      <c r="V36" s="552"/>
      <c r="W36" s="552"/>
      <c r="X36" s="552">
        <f t="shared" si="15"/>
        <v>0.49380000000000002</v>
      </c>
    </row>
    <row r="37" spans="1:32" x14ac:dyDescent="0.2">
      <c r="A37" s="542"/>
      <c r="B37" s="548" t="s">
        <v>17</v>
      </c>
      <c r="C37" s="554">
        <v>0</v>
      </c>
      <c r="D37" s="554">
        <v>0</v>
      </c>
      <c r="E37" s="554">
        <f>Input!C42</f>
        <v>0.43609999999999999</v>
      </c>
      <c r="F37" s="554">
        <v>0</v>
      </c>
      <c r="G37" s="554">
        <v>0</v>
      </c>
      <c r="H37" s="554">
        <v>0</v>
      </c>
      <c r="I37" s="554">
        <v>0</v>
      </c>
      <c r="J37" s="554">
        <v>0</v>
      </c>
      <c r="K37" s="554">
        <v>0</v>
      </c>
      <c r="L37" s="554">
        <f>Input!D42</f>
        <v>0.49680000000000002</v>
      </c>
      <c r="M37" s="550"/>
      <c r="N37" s="555"/>
      <c r="O37" s="552"/>
      <c r="P37" s="552"/>
      <c r="Q37" s="552">
        <f t="shared" si="14"/>
        <v>0.56390000000000007</v>
      </c>
      <c r="R37" s="552"/>
      <c r="S37" s="552"/>
      <c r="T37" s="552"/>
      <c r="U37" s="552"/>
      <c r="V37" s="552"/>
      <c r="W37" s="552"/>
      <c r="X37" s="552">
        <f t="shared" si="15"/>
        <v>0.50319999999999998</v>
      </c>
    </row>
    <row r="38" spans="1:32" x14ac:dyDescent="0.2">
      <c r="A38" s="542"/>
      <c r="B38" s="548" t="s">
        <v>18</v>
      </c>
      <c r="C38" s="554">
        <v>0</v>
      </c>
      <c r="D38" s="554">
        <v>0</v>
      </c>
      <c r="E38" s="554">
        <f>Input!C43</f>
        <v>0.42849999999999999</v>
      </c>
      <c r="F38" s="554">
        <v>0</v>
      </c>
      <c r="G38" s="554">
        <v>0</v>
      </c>
      <c r="H38" s="554">
        <v>0</v>
      </c>
      <c r="I38" s="554">
        <v>0</v>
      </c>
      <c r="J38" s="554">
        <v>0</v>
      </c>
      <c r="K38" s="554">
        <v>0</v>
      </c>
      <c r="L38" s="554">
        <f>Input!D43</f>
        <v>0.48530000000000001</v>
      </c>
      <c r="M38" s="550"/>
      <c r="N38" s="555"/>
      <c r="O38" s="552"/>
      <c r="P38" s="552"/>
      <c r="Q38" s="552">
        <f t="shared" si="14"/>
        <v>0.57150000000000001</v>
      </c>
      <c r="R38" s="552"/>
      <c r="S38" s="552"/>
      <c r="T38" s="552"/>
      <c r="U38" s="552"/>
      <c r="V38" s="552"/>
      <c r="W38" s="552"/>
      <c r="X38" s="552">
        <f t="shared" si="15"/>
        <v>0.51469999999999994</v>
      </c>
    </row>
    <row r="39" spans="1:32" x14ac:dyDescent="0.2">
      <c r="A39" s="542"/>
      <c r="B39" s="548"/>
      <c r="C39" s="551"/>
      <c r="D39" s="551"/>
      <c r="E39" s="551"/>
      <c r="F39" s="551"/>
      <c r="G39" s="551"/>
      <c r="H39" s="551"/>
      <c r="I39" s="553"/>
      <c r="J39" s="553"/>
      <c r="K39" s="551"/>
      <c r="L39" s="551"/>
      <c r="M39" s="551"/>
      <c r="N39" s="555"/>
      <c r="O39" s="552"/>
      <c r="P39" s="552"/>
      <c r="Q39" s="552"/>
      <c r="R39" s="552"/>
      <c r="S39" s="552"/>
      <c r="T39" s="552"/>
      <c r="U39" s="552"/>
      <c r="V39" s="552"/>
      <c r="W39" s="552"/>
      <c r="X39" s="552"/>
    </row>
    <row r="40" spans="1:32" x14ac:dyDescent="0.2">
      <c r="A40" s="542"/>
      <c r="B40" s="548"/>
      <c r="C40" s="551"/>
      <c r="D40" s="551"/>
      <c r="E40" s="551"/>
      <c r="F40" s="551"/>
      <c r="G40" s="551"/>
      <c r="H40" s="551"/>
      <c r="I40" s="553"/>
      <c r="J40" s="553"/>
      <c r="K40" s="551"/>
      <c r="L40" s="551"/>
      <c r="M40" s="551"/>
      <c r="N40" s="555"/>
      <c r="O40" s="552"/>
      <c r="P40" s="552"/>
      <c r="Q40" s="552"/>
      <c r="R40" s="552"/>
      <c r="S40" s="552"/>
      <c r="T40" s="552"/>
      <c r="U40" s="552"/>
      <c r="V40" s="552"/>
      <c r="W40" s="552"/>
      <c r="X40" s="552"/>
    </row>
    <row r="41" spans="1:32" x14ac:dyDescent="0.2">
      <c r="A41" s="540" t="s">
        <v>75</v>
      </c>
      <c r="B41" s="556" t="s">
        <v>132</v>
      </c>
      <c r="C41" s="536"/>
      <c r="D41" s="536"/>
      <c r="E41" s="536"/>
      <c r="F41" s="536"/>
      <c r="G41" s="536"/>
      <c r="H41" s="536"/>
      <c r="I41" s="536"/>
      <c r="J41" s="536"/>
      <c r="K41" s="536"/>
      <c r="L41" s="536"/>
      <c r="O41" s="530" t="s">
        <v>189</v>
      </c>
    </row>
    <row r="42" spans="1:32" x14ac:dyDescent="0.2">
      <c r="A42" s="542"/>
      <c r="B42" s="557" t="str">
        <f>Input!B47</f>
        <v>Calendar month sales forecasted for , less % for LPL-Sec &gt; 500 kW Peak Load Share</v>
      </c>
      <c r="G42" s="558"/>
      <c r="L42" s="536" t="s">
        <v>330</v>
      </c>
      <c r="AB42" s="559" t="s">
        <v>19</v>
      </c>
      <c r="AD42" s="530" t="s">
        <v>329</v>
      </c>
    </row>
    <row r="43" spans="1:32" x14ac:dyDescent="0.2">
      <c r="A43" s="542"/>
      <c r="B43" s="539" t="s">
        <v>78</v>
      </c>
      <c r="C43" s="536" t="str">
        <f>+C7</f>
        <v>RS</v>
      </c>
      <c r="D43" s="536" t="str">
        <f t="shared" ref="D43:L43" si="16">+D7</f>
        <v>RHS</v>
      </c>
      <c r="E43" s="536" t="str">
        <f t="shared" si="16"/>
        <v>RLM</v>
      </c>
      <c r="F43" s="536" t="str">
        <f t="shared" si="16"/>
        <v>WH</v>
      </c>
      <c r="G43" s="536" t="str">
        <f t="shared" si="16"/>
        <v>WHS</v>
      </c>
      <c r="H43" s="536" t="str">
        <f t="shared" si="16"/>
        <v>HS</v>
      </c>
      <c r="I43" s="536" t="str">
        <f t="shared" si="16"/>
        <v>PSAL</v>
      </c>
      <c r="J43" s="536" t="str">
        <f t="shared" si="16"/>
        <v>BPL</v>
      </c>
      <c r="K43" s="536" t="str">
        <f t="shared" si="16"/>
        <v>GLP</v>
      </c>
      <c r="L43" s="536" t="str">
        <f t="shared" si="16"/>
        <v>LPL-S</v>
      </c>
      <c r="M43" s="536"/>
      <c r="N43" s="536"/>
      <c r="O43" s="536" t="str">
        <f>+C7</f>
        <v>RS</v>
      </c>
      <c r="P43" s="536" t="str">
        <f t="shared" ref="P43:X43" si="17">+D7</f>
        <v>RHS</v>
      </c>
      <c r="Q43" s="536" t="str">
        <f t="shared" si="17"/>
        <v>RLM</v>
      </c>
      <c r="R43" s="536" t="str">
        <f t="shared" si="17"/>
        <v>WH</v>
      </c>
      <c r="S43" s="536" t="str">
        <f t="shared" si="17"/>
        <v>WHS</v>
      </c>
      <c r="T43" s="536" t="str">
        <f t="shared" si="17"/>
        <v>HS</v>
      </c>
      <c r="U43" s="536" t="str">
        <f t="shared" si="17"/>
        <v>PSAL</v>
      </c>
      <c r="V43" s="536" t="str">
        <f t="shared" si="17"/>
        <v>BPL</v>
      </c>
      <c r="W43" s="536" t="str">
        <f t="shared" si="17"/>
        <v>GLP</v>
      </c>
      <c r="X43" s="536" t="str">
        <f t="shared" si="17"/>
        <v>LPL-S</v>
      </c>
      <c r="Y43" s="536"/>
      <c r="Z43" s="536" t="s">
        <v>194</v>
      </c>
      <c r="AB43" s="559" t="s">
        <v>36</v>
      </c>
      <c r="AD43" s="560" t="s">
        <v>196</v>
      </c>
      <c r="AE43" s="560" t="s">
        <v>196</v>
      </c>
      <c r="AF43" s="559" t="s">
        <v>196</v>
      </c>
    </row>
    <row r="44" spans="1:32" x14ac:dyDescent="0.2">
      <c r="A44" s="542"/>
      <c r="C44" s="536"/>
      <c r="D44" s="536"/>
      <c r="E44" s="536"/>
      <c r="F44" s="536"/>
      <c r="G44" s="536"/>
      <c r="H44" s="536"/>
      <c r="I44" s="536"/>
      <c r="J44" s="536"/>
      <c r="K44" s="536"/>
      <c r="L44" s="536"/>
      <c r="Y44" s="561"/>
      <c r="AB44" s="559"/>
      <c r="AD44" s="559" t="s">
        <v>195</v>
      </c>
      <c r="AE44" s="559" t="s">
        <v>197</v>
      </c>
      <c r="AF44" s="559" t="s">
        <v>198</v>
      </c>
    </row>
    <row r="45" spans="1:32" x14ac:dyDescent="0.2">
      <c r="A45" s="542"/>
      <c r="B45" s="548" t="s">
        <v>7</v>
      </c>
      <c r="C45" s="562">
        <f>Input!C50</f>
        <v>1103241.022415668</v>
      </c>
      <c r="D45" s="562">
        <f>Input!D50</f>
        <v>17093.914011082521</v>
      </c>
      <c r="E45" s="562">
        <f>Input!E50</f>
        <v>15933.365083598062</v>
      </c>
      <c r="F45" s="562">
        <f>Input!F50</f>
        <v>94</v>
      </c>
      <c r="G45" s="562">
        <f>Input!G50</f>
        <v>2</v>
      </c>
      <c r="H45" s="562">
        <f>Input!H50</f>
        <v>2155.4355758420347</v>
      </c>
      <c r="I45" s="562">
        <f>Input!I50</f>
        <v>16719</v>
      </c>
      <c r="J45" s="562">
        <f>Input!J50</f>
        <v>31492</v>
      </c>
      <c r="K45" s="562">
        <f>Input!K50</f>
        <v>561707.37419042538</v>
      </c>
      <c r="L45" s="563">
        <f>AB45*$M$45</f>
        <v>425775.4507062714</v>
      </c>
      <c r="M45" s="564">
        <f>(1-AD45)</f>
        <v>0.63223557002469399</v>
      </c>
      <c r="N45" s="565" t="s">
        <v>61</v>
      </c>
      <c r="O45" s="566">
        <f>SUM(C45:C49,C54:C56)</f>
        <v>7016264.2427108828</v>
      </c>
      <c r="P45" s="567">
        <f t="shared" ref="P45:X45" si="18">SUM(D45:D49,D54:D56)</f>
        <v>83784.199577683336</v>
      </c>
      <c r="Q45" s="567">
        <f t="shared" si="18"/>
        <v>101616.43239716018</v>
      </c>
      <c r="R45" s="567">
        <f t="shared" si="18"/>
        <v>739</v>
      </c>
      <c r="S45" s="567">
        <f t="shared" si="18"/>
        <v>13</v>
      </c>
      <c r="T45" s="567">
        <f t="shared" si="18"/>
        <v>10055.568108375577</v>
      </c>
      <c r="U45" s="567">
        <f t="shared" si="18"/>
        <v>110832</v>
      </c>
      <c r="V45" s="567">
        <f t="shared" si="18"/>
        <v>210347</v>
      </c>
      <c r="W45" s="567">
        <f t="shared" si="18"/>
        <v>4097966.8887027944</v>
      </c>
      <c r="X45" s="567">
        <f t="shared" si="18"/>
        <v>3139975.8202649895</v>
      </c>
      <c r="Y45" s="561">
        <f>SUM(O45:X45)</f>
        <v>14771594.151761886</v>
      </c>
      <c r="Z45" s="568">
        <f>+Y45/(Y45+Y49)</f>
        <v>0.60178600435762097</v>
      </c>
      <c r="AB45" s="569">
        <f>Input!L50</f>
        <v>673444.31552568509</v>
      </c>
      <c r="AD45" s="570">
        <f>Input!C66</f>
        <v>0.36776442997530606</v>
      </c>
      <c r="AE45" s="571">
        <f>Input!D66</f>
        <v>0.35759013051564653</v>
      </c>
      <c r="AF45" s="572">
        <f>AE45</f>
        <v>0.35759013051564653</v>
      </c>
    </row>
    <row r="46" spans="1:32" x14ac:dyDescent="0.2">
      <c r="A46" s="542"/>
      <c r="B46" s="548" t="s">
        <v>8</v>
      </c>
      <c r="C46" s="562">
        <f>Input!C51</f>
        <v>884939.96852743544</v>
      </c>
      <c r="D46" s="562">
        <f>Input!D51</f>
        <v>14489.694391091827</v>
      </c>
      <c r="E46" s="562">
        <f>Input!E51</f>
        <v>12532.010134556667</v>
      </c>
      <c r="F46" s="562">
        <f>Input!F51</f>
        <v>88</v>
      </c>
      <c r="G46" s="562">
        <f>Input!G51</f>
        <v>2</v>
      </c>
      <c r="H46" s="562">
        <f>Input!H51</f>
        <v>2053.8124246830798</v>
      </c>
      <c r="I46" s="562">
        <f>Input!I51</f>
        <v>13249</v>
      </c>
      <c r="J46" s="562">
        <f>Input!J51</f>
        <v>27940</v>
      </c>
      <c r="K46" s="562">
        <f>Input!K51</f>
        <v>500731.3468146454</v>
      </c>
      <c r="L46" s="563">
        <f t="shared" ref="L46:L56" si="19">AB46*$M$45</f>
        <v>373602.52104401315</v>
      </c>
      <c r="M46" s="573"/>
      <c r="N46" s="565" t="s">
        <v>120</v>
      </c>
      <c r="O46" s="567"/>
      <c r="P46" s="567"/>
      <c r="Q46" s="567">
        <f>SUMPRODUCT(E27:E31,E45:E49)+SUMPRODUCT(E36:E38,E54:E56)</f>
        <v>43875.93908127927</v>
      </c>
      <c r="R46" s="567"/>
      <c r="X46" s="567">
        <f>SUMPRODUCT(L27:L31,L45:L49)+SUMPRODUCT(L36:L38,L54:L56)</f>
        <v>1538540.5968935811</v>
      </c>
      <c r="Y46" s="561"/>
      <c r="Z46" s="568"/>
      <c r="AB46" s="569">
        <f>Input!L51</f>
        <v>590922.97041974543</v>
      </c>
      <c r="AD46" s="574"/>
    </row>
    <row r="47" spans="1:32" x14ac:dyDescent="0.2">
      <c r="A47" s="542"/>
      <c r="B47" s="548" t="s">
        <v>9</v>
      </c>
      <c r="C47" s="562">
        <f>Input!C52</f>
        <v>900474.20353809127</v>
      </c>
      <c r="D47" s="562">
        <f>Input!D52</f>
        <v>12286.799954384289</v>
      </c>
      <c r="E47" s="562">
        <f>Input!E52</f>
        <v>13347.076973522584</v>
      </c>
      <c r="F47" s="562">
        <f>Input!F52</f>
        <v>165</v>
      </c>
      <c r="G47" s="562">
        <f>Input!G52</f>
        <v>2</v>
      </c>
      <c r="H47" s="562">
        <f>Input!H52</f>
        <v>1461.1530389325362</v>
      </c>
      <c r="I47" s="562">
        <f>Input!I52</f>
        <v>13900</v>
      </c>
      <c r="J47" s="562">
        <f>Input!J52</f>
        <v>27825</v>
      </c>
      <c r="K47" s="562">
        <f>Input!K52</f>
        <v>543590.67091787583</v>
      </c>
      <c r="L47" s="563">
        <f t="shared" si="19"/>
        <v>412033.30329388456</v>
      </c>
      <c r="M47" s="573"/>
      <c r="N47" s="565" t="s">
        <v>121</v>
      </c>
      <c r="O47" s="567">
        <f>+O45-O46</f>
        <v>7016264.2427108828</v>
      </c>
      <c r="P47" s="567">
        <f>+P45-P46</f>
        <v>83784.199577683336</v>
      </c>
      <c r="Q47" s="567">
        <f>+Q45-Q46</f>
        <v>57740.493315880914</v>
      </c>
      <c r="R47" s="567">
        <f>+R45-R46</f>
        <v>739</v>
      </c>
      <c r="X47" s="567">
        <f>+X45-X46</f>
        <v>1601435.2233714084</v>
      </c>
      <c r="Y47" s="561"/>
      <c r="Z47" s="575"/>
      <c r="AB47" s="569">
        <f>Input!L52</f>
        <v>651708.51313821413</v>
      </c>
    </row>
    <row r="48" spans="1:32" x14ac:dyDescent="0.2">
      <c r="A48" s="542"/>
      <c r="B48" s="548" t="s">
        <v>10</v>
      </c>
      <c r="C48" s="562">
        <f>Input!C53</f>
        <v>737564.85956618492</v>
      </c>
      <c r="D48" s="562">
        <f>Input!D53</f>
        <v>7198.4653312978608</v>
      </c>
      <c r="E48" s="562">
        <f>Input!E53</f>
        <v>11110.647962745927</v>
      </c>
      <c r="F48" s="562">
        <f>Input!F53</f>
        <v>70</v>
      </c>
      <c r="G48" s="562">
        <f>Input!G53</f>
        <v>2</v>
      </c>
      <c r="H48" s="562">
        <f>Input!H53</f>
        <v>882.15727014454114</v>
      </c>
      <c r="I48" s="562">
        <f>Input!I53</f>
        <v>11672</v>
      </c>
      <c r="J48" s="562">
        <f>Input!J53</f>
        <v>25198</v>
      </c>
      <c r="K48" s="562">
        <f>Input!K53</f>
        <v>482431.38921796548</v>
      </c>
      <c r="L48" s="563">
        <f t="shared" si="19"/>
        <v>362792.35612392175</v>
      </c>
      <c r="M48" s="573"/>
      <c r="Y48" s="561"/>
      <c r="AB48" s="569">
        <f>Input!L53</f>
        <v>573824.65227280988</v>
      </c>
    </row>
    <row r="49" spans="1:28" x14ac:dyDescent="0.2">
      <c r="A49" s="542"/>
      <c r="B49" s="548" t="s">
        <v>11</v>
      </c>
      <c r="C49" s="562">
        <f>Input!C54</f>
        <v>808596.18360793928</v>
      </c>
      <c r="D49" s="562">
        <f>Input!D54</f>
        <v>5010.2177990897071</v>
      </c>
      <c r="E49" s="562">
        <f>Input!E54</f>
        <v>13150.698296531966</v>
      </c>
      <c r="F49" s="562">
        <f>Input!F54</f>
        <v>104</v>
      </c>
      <c r="G49" s="562">
        <f>Input!G54</f>
        <v>2</v>
      </c>
      <c r="H49" s="562">
        <f>Input!H54</f>
        <v>405.63862857566022</v>
      </c>
      <c r="I49" s="562">
        <f>Input!I54</f>
        <v>10104</v>
      </c>
      <c r="J49" s="562">
        <f>Input!J54</f>
        <v>19612</v>
      </c>
      <c r="K49" s="562">
        <f>Input!K54</f>
        <v>489186.32439443091</v>
      </c>
      <c r="L49" s="563">
        <f t="shared" si="19"/>
        <v>389220.88557915203</v>
      </c>
      <c r="N49" s="565" t="s">
        <v>62</v>
      </c>
      <c r="O49" s="566">
        <f>SUM(C50:C53)</f>
        <v>5378288.9871439906</v>
      </c>
      <c r="P49" s="567">
        <f t="shared" ref="P49:X49" si="20">+SUM(D50:D53)</f>
        <v>26172.065419801485</v>
      </c>
      <c r="Q49" s="567">
        <f t="shared" si="20"/>
        <v>89216.930204844757</v>
      </c>
      <c r="R49" s="567">
        <f t="shared" si="20"/>
        <v>259</v>
      </c>
      <c r="S49" s="567">
        <f t="shared" si="20"/>
        <v>4</v>
      </c>
      <c r="T49" s="567">
        <f t="shared" si="20"/>
        <v>2604.6269834858181</v>
      </c>
      <c r="U49" s="567">
        <f t="shared" si="20"/>
        <v>42257</v>
      </c>
      <c r="V49" s="567">
        <f t="shared" si="20"/>
        <v>74265</v>
      </c>
      <c r="W49" s="567">
        <f t="shared" si="20"/>
        <v>2392035.128239349</v>
      </c>
      <c r="X49" s="567">
        <f t="shared" si="20"/>
        <v>1769560.4921043105</v>
      </c>
      <c r="Y49" s="561">
        <f>SUM(O49:X49)</f>
        <v>9774663.2300957832</v>
      </c>
      <c r="Z49" s="575">
        <f>1-Z45</f>
        <v>0.39821399564237903</v>
      </c>
      <c r="AB49" s="569">
        <f>Input!L54</f>
        <v>615626.36465384217</v>
      </c>
    </row>
    <row r="50" spans="1:28" x14ac:dyDescent="0.2">
      <c r="A50" s="542"/>
      <c r="B50" s="548" t="s">
        <v>12</v>
      </c>
      <c r="C50" s="562">
        <f>Input!C55</f>
        <v>1213518.8158535871</v>
      </c>
      <c r="D50" s="562">
        <f>Input!D55</f>
        <v>6546.1898509252387</v>
      </c>
      <c r="E50" s="562">
        <f>Input!E55</f>
        <v>20680.771935118843</v>
      </c>
      <c r="F50" s="562">
        <f>Input!F55</f>
        <v>74</v>
      </c>
      <c r="G50" s="562">
        <f>Input!G55</f>
        <v>1</v>
      </c>
      <c r="H50" s="562">
        <f>Input!H55</f>
        <v>649.02180572105635</v>
      </c>
      <c r="I50" s="562">
        <f>Input!I55</f>
        <v>9635</v>
      </c>
      <c r="J50" s="562">
        <f>Input!J55</f>
        <v>18056</v>
      </c>
      <c r="K50" s="562">
        <f>Input!K55</f>
        <v>569919.30450896779</v>
      </c>
      <c r="L50" s="563">
        <f t="shared" si="19"/>
        <v>424358.11610806448</v>
      </c>
      <c r="M50" s="573"/>
      <c r="N50" s="565" t="s">
        <v>120</v>
      </c>
      <c r="O50" s="566"/>
      <c r="Q50" s="567">
        <f>+SUMPRODUCT(E32:E35,E50:E53)</f>
        <v>42865.162873425237</v>
      </c>
      <c r="X50" s="567">
        <f>+SUMPRODUCT(L32:L35,L50:L53)</f>
        <v>893735.14405984548</v>
      </c>
      <c r="Y50" s="561"/>
      <c r="Z50" s="568"/>
      <c r="AB50" s="569">
        <f>Input!L55</f>
        <v>671202.5330866623</v>
      </c>
    </row>
    <row r="51" spans="1:28" x14ac:dyDescent="0.2">
      <c r="A51" s="542"/>
      <c r="B51" s="548" t="s">
        <v>13</v>
      </c>
      <c r="C51" s="562">
        <f>Input!C56</f>
        <v>1621529.3461963243</v>
      </c>
      <c r="D51" s="562">
        <f>Input!D56</f>
        <v>7259.9823301952783</v>
      </c>
      <c r="E51" s="562">
        <f>Input!E56</f>
        <v>26953.450064236666</v>
      </c>
      <c r="F51" s="562">
        <f>Input!F56</f>
        <v>59</v>
      </c>
      <c r="G51" s="562">
        <f>Input!G56</f>
        <v>1</v>
      </c>
      <c r="H51" s="562">
        <f>Input!H56</f>
        <v>690.01265660870206</v>
      </c>
      <c r="I51" s="562">
        <f>Input!I56</f>
        <v>9762</v>
      </c>
      <c r="J51" s="562">
        <f>Input!J56</f>
        <v>19121</v>
      </c>
      <c r="K51" s="562">
        <f>Input!K56</f>
        <v>639726.05371033144</v>
      </c>
      <c r="L51" s="563">
        <f t="shared" si="19"/>
        <v>464545.57113014389</v>
      </c>
      <c r="M51" s="573"/>
      <c r="N51" s="565" t="s">
        <v>121</v>
      </c>
      <c r="O51" s="566"/>
      <c r="Q51" s="567">
        <f>+Q49-Q50</f>
        <v>46351.76733141952</v>
      </c>
      <c r="X51" s="567">
        <f>+X49-X50</f>
        <v>875825.34804446506</v>
      </c>
      <c r="Y51" s="561"/>
      <c r="Z51" s="575"/>
      <c r="AB51" s="569">
        <f>Input!L56</f>
        <v>734766.58567628451</v>
      </c>
    </row>
    <row r="52" spans="1:28" x14ac:dyDescent="0.2">
      <c r="A52" s="542"/>
      <c r="B52" s="548" t="s">
        <v>14</v>
      </c>
      <c r="C52" s="562">
        <f>Input!C57</f>
        <v>1506520.1271832155</v>
      </c>
      <c r="D52" s="562">
        <f>Input!D57</f>
        <v>6941.6562724086398</v>
      </c>
      <c r="E52" s="562">
        <f>Input!E57</f>
        <v>24935.325505066085</v>
      </c>
      <c r="F52" s="562">
        <f>Input!F57</f>
        <v>63</v>
      </c>
      <c r="G52" s="562">
        <f>Input!G57</f>
        <v>1</v>
      </c>
      <c r="H52" s="562">
        <f>Input!H57</f>
        <v>690.86663266886137</v>
      </c>
      <c r="I52" s="562">
        <f>Input!I57</f>
        <v>10865</v>
      </c>
      <c r="J52" s="562">
        <f>Input!J57</f>
        <v>17559</v>
      </c>
      <c r="K52" s="562">
        <f>Input!K57</f>
        <v>646706.15339267894</v>
      </c>
      <c r="L52" s="563">
        <f t="shared" si="19"/>
        <v>474420.35393895925</v>
      </c>
      <c r="M52" s="573"/>
      <c r="AB52" s="569">
        <f>Input!L57</f>
        <v>750385.42029583885</v>
      </c>
    </row>
    <row r="53" spans="1:28" x14ac:dyDescent="0.2">
      <c r="A53" s="542"/>
      <c r="B53" s="548" t="s">
        <v>15</v>
      </c>
      <c r="C53" s="562">
        <f>Input!C58</f>
        <v>1036720.697910864</v>
      </c>
      <c r="D53" s="562">
        <f>Input!D58</f>
        <v>5424.2369662723295</v>
      </c>
      <c r="E53" s="562">
        <f>Input!E58</f>
        <v>16647.382700423175</v>
      </c>
      <c r="F53" s="562">
        <f>Input!F58</f>
        <v>63</v>
      </c>
      <c r="G53" s="562">
        <f>Input!G58</f>
        <v>1</v>
      </c>
      <c r="H53" s="562">
        <f>Input!H58</f>
        <v>574.72588848719863</v>
      </c>
      <c r="I53" s="562">
        <f>Input!I58</f>
        <v>11995</v>
      </c>
      <c r="J53" s="562">
        <f>Input!J58</f>
        <v>19529</v>
      </c>
      <c r="K53" s="562">
        <f>Input!K58</f>
        <v>535683.61662737094</v>
      </c>
      <c r="L53" s="563">
        <f t="shared" si="19"/>
        <v>406236.4509271431</v>
      </c>
      <c r="M53" s="573"/>
      <c r="N53" s="565" t="s">
        <v>163</v>
      </c>
      <c r="O53" s="566">
        <f>+O49*C163</f>
        <v>3474374.6856950182</v>
      </c>
      <c r="P53" s="566">
        <f>+P49*D163</f>
        <v>17299.735242488783</v>
      </c>
      <c r="AB53" s="569">
        <f>Input!L58</f>
        <v>642539.69594161911</v>
      </c>
    </row>
    <row r="54" spans="1:28" x14ac:dyDescent="0.2">
      <c r="A54" s="542"/>
      <c r="B54" s="548" t="s">
        <v>16</v>
      </c>
      <c r="C54" s="562">
        <f>Input!C59</f>
        <v>763663.10913754767</v>
      </c>
      <c r="D54" s="562">
        <f>Input!D59</f>
        <v>6421.2029325304848</v>
      </c>
      <c r="E54" s="562">
        <f>Input!E59</f>
        <v>11329.9057089005</v>
      </c>
      <c r="F54" s="562">
        <f>Input!F59</f>
        <v>65</v>
      </c>
      <c r="G54" s="562">
        <f>Input!G59</f>
        <v>1</v>
      </c>
      <c r="H54" s="562">
        <f>Input!H59</f>
        <v>706.23820175172852</v>
      </c>
      <c r="I54" s="562">
        <f>Input!I59</f>
        <v>14117</v>
      </c>
      <c r="J54" s="562">
        <f>Input!J59</f>
        <v>20385</v>
      </c>
      <c r="K54" s="562">
        <f>Input!K59</f>
        <v>518851.33716027346</v>
      </c>
      <c r="L54" s="563">
        <f t="shared" si="19"/>
        <v>398425.80057105818</v>
      </c>
      <c r="M54" s="573"/>
      <c r="N54" s="565" t="s">
        <v>164</v>
      </c>
      <c r="O54" s="567">
        <f>+O49-O53</f>
        <v>1903914.3014489724</v>
      </c>
      <c r="P54" s="567">
        <f>+P49-P53</f>
        <v>8872.3301773127023</v>
      </c>
      <c r="AB54" s="569">
        <f>Input!L59</f>
        <v>630185.6767652228</v>
      </c>
    </row>
    <row r="55" spans="1:28" x14ac:dyDescent="0.2">
      <c r="A55" s="542"/>
      <c r="B55" s="548" t="s">
        <v>17</v>
      </c>
      <c r="C55" s="562">
        <f>Input!C60</f>
        <v>815550.23840204242</v>
      </c>
      <c r="D55" s="562">
        <f>Input!D60</f>
        <v>8801.8131438305645</v>
      </c>
      <c r="E55" s="562">
        <f>Input!E60</f>
        <v>10806.547001775018</v>
      </c>
      <c r="F55" s="562">
        <f>Input!F60</f>
        <v>77</v>
      </c>
      <c r="G55" s="562">
        <f>Input!G60</f>
        <v>1</v>
      </c>
      <c r="H55" s="562">
        <f>Input!H60</f>
        <v>918.02426467123109</v>
      </c>
      <c r="I55" s="562">
        <f>Input!I60</f>
        <v>14980</v>
      </c>
      <c r="J55" s="562">
        <f>Input!J60</f>
        <v>21877</v>
      </c>
      <c r="K55" s="562">
        <f>Input!K60</f>
        <v>478026.71129267907</v>
      </c>
      <c r="L55" s="563">
        <f t="shared" si="19"/>
        <v>378175.82649658783</v>
      </c>
      <c r="M55" s="573"/>
      <c r="AB55" s="569">
        <f>Input!L60</f>
        <v>598156.51701124152</v>
      </c>
    </row>
    <row r="56" spans="1:28" x14ac:dyDescent="0.2">
      <c r="A56" s="542"/>
      <c r="B56" s="548" t="s">
        <v>18</v>
      </c>
      <c r="C56" s="562">
        <f>Input!C61</f>
        <v>1002234.6575159732</v>
      </c>
      <c r="D56" s="562">
        <f>Input!D61</f>
        <v>12482.092014376092</v>
      </c>
      <c r="E56" s="562">
        <f>Input!E61</f>
        <v>13406.18123552947</v>
      </c>
      <c r="F56" s="562">
        <f>Input!F61</f>
        <v>76</v>
      </c>
      <c r="G56" s="562">
        <f>Input!G61</f>
        <v>1</v>
      </c>
      <c r="H56" s="562">
        <f>Input!H61</f>
        <v>1473.1087037747661</v>
      </c>
      <c r="I56" s="562">
        <f>Input!I61</f>
        <v>16091</v>
      </c>
      <c r="J56" s="562">
        <f>Input!J61</f>
        <v>36018</v>
      </c>
      <c r="K56" s="562">
        <f>Input!K61</f>
        <v>523441.73471449921</v>
      </c>
      <c r="L56" s="563">
        <f t="shared" si="19"/>
        <v>399949.67645010096</v>
      </c>
      <c r="M56" s="573"/>
      <c r="AB56" s="569">
        <f>Input!L61</f>
        <v>632595.97436835081</v>
      </c>
    </row>
    <row r="57" spans="1:28" x14ac:dyDescent="0.2">
      <c r="A57" s="542"/>
      <c r="B57" s="576" t="s">
        <v>19</v>
      </c>
      <c r="C57" s="567">
        <f>SUM(C45:C56)</f>
        <v>12394553.229854874</v>
      </c>
      <c r="D57" s="567">
        <f>SUM(D45:D56)</f>
        <v>109956.26499748482</v>
      </c>
      <c r="E57" s="567">
        <f t="shared" ref="E57:K57" si="21">SUM(E45:E56)</f>
        <v>190833.36260200499</v>
      </c>
      <c r="F57" s="567">
        <f t="shared" si="21"/>
        <v>998</v>
      </c>
      <c r="G57" s="567">
        <f t="shared" si="21"/>
        <v>17</v>
      </c>
      <c r="H57" s="567">
        <f>SUM(H45:H56)</f>
        <v>12660.195091861395</v>
      </c>
      <c r="I57" s="567">
        <f>SUM(I45:I56)</f>
        <v>153089</v>
      </c>
      <c r="J57" s="567">
        <f>SUM(J45:J56)</f>
        <v>284612</v>
      </c>
      <c r="K57" s="567">
        <f t="shared" si="21"/>
        <v>6490002.0169421434</v>
      </c>
      <c r="L57" s="567">
        <f>SUM(L45:L56)</f>
        <v>4909536.3123693001</v>
      </c>
      <c r="M57" s="567"/>
      <c r="O57" s="530" t="s">
        <v>190</v>
      </c>
      <c r="AB57" s="567">
        <f>SUM(AB45:AB56)</f>
        <v>7765359.2191555165</v>
      </c>
    </row>
    <row r="58" spans="1:28" x14ac:dyDescent="0.2">
      <c r="A58" s="542"/>
      <c r="B58" s="548"/>
      <c r="C58" s="577"/>
      <c r="D58" s="577"/>
      <c r="E58" s="577"/>
      <c r="F58" s="577"/>
      <c r="G58" s="577"/>
      <c r="H58" s="577"/>
      <c r="I58" s="577"/>
      <c r="J58" s="577"/>
      <c r="K58" s="577"/>
      <c r="L58" s="577"/>
      <c r="O58" s="539" t="s">
        <v>191</v>
      </c>
      <c r="AB58" s="578"/>
    </row>
    <row r="59" spans="1:28" x14ac:dyDescent="0.2">
      <c r="A59" s="542"/>
      <c r="L59" s="567"/>
      <c r="Y59" s="536" t="s">
        <v>19</v>
      </c>
      <c r="Z59" s="536" t="s">
        <v>194</v>
      </c>
      <c r="AB59" s="578"/>
    </row>
    <row r="60" spans="1:28" x14ac:dyDescent="0.2">
      <c r="A60" s="540" t="s">
        <v>76</v>
      </c>
      <c r="B60" s="530" t="s">
        <v>39</v>
      </c>
      <c r="G60" s="579" t="s">
        <v>66</v>
      </c>
      <c r="H60" s="530" t="s">
        <v>179</v>
      </c>
      <c r="N60" s="559" t="s">
        <v>54</v>
      </c>
    </row>
    <row r="61" spans="1:28" s="580" customFormat="1" x14ac:dyDescent="0.2">
      <c r="A61" s="542"/>
      <c r="B61" s="539" t="s">
        <v>234</v>
      </c>
      <c r="D61" s="536" t="s">
        <v>178</v>
      </c>
      <c r="E61" s="536" t="s">
        <v>177</v>
      </c>
      <c r="G61" s="537"/>
      <c r="N61" s="565" t="s">
        <v>120</v>
      </c>
      <c r="O61" s="566">
        <f>SUMPRODUCT(C9:C13,C45:C49)+SUMPRODUCT(C18:C20,C54:C56)</f>
        <v>3396366.5376228355</v>
      </c>
      <c r="P61" s="566">
        <f t="shared" ref="P61:X61" si="22">SUMPRODUCT(D9:D13,D45:D49)+SUMPRODUCT(D18:D20,D54:D56)</f>
        <v>40415.378957423542</v>
      </c>
      <c r="Q61" s="566">
        <f t="shared" si="22"/>
        <v>50660.125322331281</v>
      </c>
      <c r="R61" s="566">
        <f t="shared" si="22"/>
        <v>360.38040000000001</v>
      </c>
      <c r="S61" s="566">
        <f t="shared" si="22"/>
        <v>6.3273999999999999</v>
      </c>
      <c r="T61" s="566">
        <f t="shared" si="22"/>
        <v>4873.5955168146074</v>
      </c>
      <c r="U61" s="566">
        <f t="shared" si="22"/>
        <v>30574.333500000001</v>
      </c>
      <c r="V61" s="566">
        <f t="shared" si="22"/>
        <v>57806.195099999997</v>
      </c>
      <c r="W61" s="566">
        <f t="shared" si="22"/>
        <v>2318942.0301837898</v>
      </c>
      <c r="X61" s="566">
        <f t="shared" si="22"/>
        <v>1707565.6384957992</v>
      </c>
      <c r="Y61" s="561">
        <f>SUM(O61:X61)</f>
        <v>7607570.5424989937</v>
      </c>
      <c r="Z61" s="568">
        <f>+Y61/(Y61+Y62)</f>
        <v>0.51501350933010837</v>
      </c>
    </row>
    <row r="62" spans="1:28" x14ac:dyDescent="0.2">
      <c r="A62" s="542"/>
      <c r="C62" s="536" t="s">
        <v>20</v>
      </c>
      <c r="D62" s="536" t="s">
        <v>176</v>
      </c>
      <c r="E62" s="536" t="s">
        <v>21</v>
      </c>
      <c r="G62" s="536"/>
      <c r="H62" s="536" t="s">
        <v>20</v>
      </c>
      <c r="I62" s="536" t="s">
        <v>21</v>
      </c>
      <c r="N62" s="565" t="s">
        <v>121</v>
      </c>
      <c r="O62" s="567">
        <f>+O45-O61</f>
        <v>3619897.7050880473</v>
      </c>
      <c r="P62" s="567">
        <f t="shared" ref="P62:X62" si="23">+P45-P61</f>
        <v>43368.820620259794</v>
      </c>
      <c r="Q62" s="567">
        <f t="shared" si="23"/>
        <v>50956.307074828903</v>
      </c>
      <c r="R62" s="567">
        <f t="shared" si="23"/>
        <v>378.61959999999999</v>
      </c>
      <c r="S62" s="567">
        <f t="shared" si="23"/>
        <v>6.6726000000000001</v>
      </c>
      <c r="T62" s="567">
        <f t="shared" si="23"/>
        <v>5181.9725915609697</v>
      </c>
      <c r="U62" s="567">
        <f t="shared" si="23"/>
        <v>80257.666499999992</v>
      </c>
      <c r="V62" s="567">
        <f t="shared" si="23"/>
        <v>152540.80489999999</v>
      </c>
      <c r="W62" s="567">
        <f t="shared" si="23"/>
        <v>1779024.8585190047</v>
      </c>
      <c r="X62" s="567">
        <f t="shared" si="23"/>
        <v>1432410.1817691904</v>
      </c>
      <c r="Y62" s="561">
        <f t="shared" ref="Y62:Y69" si="24">SUM(O62:X62)</f>
        <v>7164023.6092628911</v>
      </c>
      <c r="Z62" s="575">
        <f>1-Z61</f>
        <v>0.48498649066989163</v>
      </c>
    </row>
    <row r="63" spans="1:28" x14ac:dyDescent="0.2">
      <c r="A63" s="542"/>
      <c r="B63" s="548" t="s">
        <v>7</v>
      </c>
      <c r="C63" s="581">
        <f>Input!C73</f>
        <v>46.94</v>
      </c>
      <c r="D63" s="582">
        <f>Input!F74</f>
        <v>0.78459999999999996</v>
      </c>
      <c r="E63" s="583">
        <f>ROUND(+C63*D63,3)</f>
        <v>36.829000000000001</v>
      </c>
      <c r="H63" s="553">
        <f>Input!F81</f>
        <v>0.96</v>
      </c>
      <c r="I63" s="553">
        <f>Input!G81</f>
        <v>0.96</v>
      </c>
      <c r="J63" s="506" t="s">
        <v>640</v>
      </c>
      <c r="Y63" s="561"/>
    </row>
    <row r="64" spans="1:28" x14ac:dyDescent="0.2">
      <c r="A64" s="542"/>
      <c r="B64" s="548" t="s">
        <v>8</v>
      </c>
      <c r="C64" s="581">
        <f>Input!C74</f>
        <v>44.45</v>
      </c>
      <c r="D64" s="584">
        <f>+$D$63</f>
        <v>0.78459999999999996</v>
      </c>
      <c r="E64" s="583">
        <f>ROUND(+C64*D64,3)</f>
        <v>34.875</v>
      </c>
      <c r="H64" s="585">
        <f>+$H$63</f>
        <v>0.96</v>
      </c>
      <c r="I64" s="585">
        <f>+$I$63</f>
        <v>0.96</v>
      </c>
      <c r="J64" s="507"/>
      <c r="N64" s="559" t="s">
        <v>53</v>
      </c>
      <c r="Y64" s="561"/>
    </row>
    <row r="65" spans="1:26" x14ac:dyDescent="0.2">
      <c r="A65" s="542"/>
      <c r="B65" s="548" t="s">
        <v>9</v>
      </c>
      <c r="C65" s="581">
        <f>Input!C75</f>
        <v>35.43</v>
      </c>
      <c r="D65" s="584">
        <f>+$D$63</f>
        <v>0.78459999999999996</v>
      </c>
      <c r="E65" s="583">
        <f t="shared" ref="E65:E74" si="25">ROUND(+C65*D65,3)</f>
        <v>27.797999999999998</v>
      </c>
      <c r="H65" s="585">
        <f>+$H$63</f>
        <v>0.96</v>
      </c>
      <c r="I65" s="585">
        <f>+$I$63</f>
        <v>0.96</v>
      </c>
      <c r="J65" s="507" t="s">
        <v>455</v>
      </c>
      <c r="N65" s="565" t="s">
        <v>120</v>
      </c>
      <c r="O65" s="566">
        <f>SUMPRODUCT(C14:C17,C50:C53)</f>
        <v>2751345.0055475063</v>
      </c>
      <c r="P65" s="566">
        <f t="shared" ref="P65:X65" si="26">SUMPRODUCT(D14:D17,D50:D53)</f>
        <v>13615.51371819011</v>
      </c>
      <c r="Q65" s="566">
        <f t="shared" si="26"/>
        <v>47375.597954820703</v>
      </c>
      <c r="R65" s="566">
        <f t="shared" si="26"/>
        <v>132.4836</v>
      </c>
      <c r="S65" s="566">
        <f t="shared" si="26"/>
        <v>2.0426000000000002</v>
      </c>
      <c r="T65" s="566">
        <f t="shared" si="26"/>
        <v>1593.897725049482</v>
      </c>
      <c r="U65" s="566">
        <f t="shared" si="26"/>
        <v>8916.2464999999993</v>
      </c>
      <c r="V65" s="566">
        <f t="shared" si="26"/>
        <v>15560.4172</v>
      </c>
      <c r="W65" s="566">
        <f t="shared" si="26"/>
        <v>1409706.264219048</v>
      </c>
      <c r="X65" s="566">
        <f t="shared" si="26"/>
        <v>985681.96720268996</v>
      </c>
      <c r="Y65" s="561">
        <f t="shared" si="24"/>
        <v>5233929.4362673033</v>
      </c>
      <c r="Z65" s="568">
        <f>+Y65/(Y65+Y66)</f>
        <v>0.53545879925072537</v>
      </c>
    </row>
    <row r="66" spans="1:26" x14ac:dyDescent="0.2">
      <c r="A66" s="542"/>
      <c r="B66" s="548" t="s">
        <v>10</v>
      </c>
      <c r="C66" s="581">
        <f>Input!C76</f>
        <v>30.64</v>
      </c>
      <c r="D66" s="584">
        <f>+$D$63</f>
        <v>0.78459999999999996</v>
      </c>
      <c r="E66" s="583">
        <f t="shared" si="25"/>
        <v>24.04</v>
      </c>
      <c r="H66" s="585">
        <f>+$H$63</f>
        <v>0.96</v>
      </c>
      <c r="I66" s="585">
        <f>+$I$63</f>
        <v>0.96</v>
      </c>
      <c r="J66" s="508" t="s">
        <v>641</v>
      </c>
      <c r="N66" s="565" t="s">
        <v>121</v>
      </c>
      <c r="O66" s="567">
        <f>+O49-O65</f>
        <v>2626943.9815964843</v>
      </c>
      <c r="P66" s="567">
        <f t="shared" ref="P66:X66" si="27">+P49-P65</f>
        <v>12556.551701611375</v>
      </c>
      <c r="Q66" s="567">
        <f t="shared" si="27"/>
        <v>41841.332250024054</v>
      </c>
      <c r="R66" s="567">
        <f t="shared" si="27"/>
        <v>126.5164</v>
      </c>
      <c r="S66" s="567">
        <f t="shared" si="27"/>
        <v>1.9573999999999998</v>
      </c>
      <c r="T66" s="567">
        <f t="shared" si="27"/>
        <v>1010.7292584363361</v>
      </c>
      <c r="U66" s="567">
        <f t="shared" si="27"/>
        <v>33340.753499999999</v>
      </c>
      <c r="V66" s="567">
        <f t="shared" si="27"/>
        <v>58704.582800000004</v>
      </c>
      <c r="W66" s="567">
        <f t="shared" si="27"/>
        <v>982328.86402030103</v>
      </c>
      <c r="X66" s="567">
        <f t="shared" si="27"/>
        <v>783878.52490162058</v>
      </c>
      <c r="Y66" s="561">
        <f t="shared" si="24"/>
        <v>4540733.7938284781</v>
      </c>
      <c r="Z66" s="575">
        <f>1-Z65</f>
        <v>0.46454120074927463</v>
      </c>
    </row>
    <row r="67" spans="1:26" x14ac:dyDescent="0.2">
      <c r="A67" s="542"/>
      <c r="B67" s="548" t="s">
        <v>11</v>
      </c>
      <c r="C67" s="581">
        <f>Input!C77</f>
        <v>30.3</v>
      </c>
      <c r="D67" s="584">
        <f>+$D$63</f>
        <v>0.78459999999999996</v>
      </c>
      <c r="E67" s="583">
        <f t="shared" si="25"/>
        <v>23.773</v>
      </c>
      <c r="H67" s="585">
        <f>+$H$63</f>
        <v>0.96</v>
      </c>
      <c r="I67" s="585">
        <f>+$I$63</f>
        <v>0.96</v>
      </c>
      <c r="J67" s="508" t="s">
        <v>642</v>
      </c>
      <c r="Y67" s="561"/>
    </row>
    <row r="68" spans="1:26" x14ac:dyDescent="0.2">
      <c r="A68" s="542"/>
      <c r="B68" s="548" t="s">
        <v>12</v>
      </c>
      <c r="C68" s="581">
        <f>Input!C78</f>
        <v>30.23</v>
      </c>
      <c r="D68" s="586">
        <f>Input!F73</f>
        <v>0.65310000000000001</v>
      </c>
      <c r="E68" s="583">
        <f t="shared" si="25"/>
        <v>19.742999999999999</v>
      </c>
      <c r="H68" s="587">
        <f>Input!F80</f>
        <v>0.94</v>
      </c>
      <c r="I68" s="587">
        <f>Input!G80</f>
        <v>0.9</v>
      </c>
      <c r="N68" s="565" t="s">
        <v>192</v>
      </c>
      <c r="O68" s="567">
        <f>+O61+O65</f>
        <v>6147711.5431703422</v>
      </c>
      <c r="P68" s="567">
        <f t="shared" ref="P68:X68" si="28">+P61+P65</f>
        <v>54030.89267561365</v>
      </c>
      <c r="Q68" s="567">
        <f t="shared" si="28"/>
        <v>98035.723277151992</v>
      </c>
      <c r="R68" s="567">
        <f t="shared" si="28"/>
        <v>492.86400000000003</v>
      </c>
      <c r="S68" s="567">
        <f t="shared" si="28"/>
        <v>8.370000000000001</v>
      </c>
      <c r="T68" s="567">
        <f t="shared" si="28"/>
        <v>6467.4932418640892</v>
      </c>
      <c r="U68" s="567">
        <f t="shared" si="28"/>
        <v>39490.58</v>
      </c>
      <c r="V68" s="567">
        <f t="shared" si="28"/>
        <v>73366.612299999993</v>
      </c>
      <c r="W68" s="567">
        <f t="shared" si="28"/>
        <v>3728648.2944028378</v>
      </c>
      <c r="X68" s="567">
        <f t="shared" si="28"/>
        <v>2693247.6056984891</v>
      </c>
      <c r="Y68" s="561">
        <f t="shared" si="24"/>
        <v>12841499.9787663</v>
      </c>
      <c r="Z68" s="568">
        <f>+Y68/(Y68+Y69)</f>
        <v>0.52315510992146408</v>
      </c>
    </row>
    <row r="69" spans="1:26" x14ac:dyDescent="0.2">
      <c r="A69" s="542"/>
      <c r="B69" s="548" t="s">
        <v>13</v>
      </c>
      <c r="C69" s="581">
        <f>Input!C79</f>
        <v>35.770000000000003</v>
      </c>
      <c r="D69" s="588">
        <f>+$D$68</f>
        <v>0.65310000000000001</v>
      </c>
      <c r="E69" s="583">
        <f t="shared" si="25"/>
        <v>23.361000000000001</v>
      </c>
      <c r="H69" s="589">
        <f>+$H$68</f>
        <v>0.94</v>
      </c>
      <c r="I69" s="589">
        <f>+$I$68</f>
        <v>0.9</v>
      </c>
      <c r="N69" s="565" t="s">
        <v>193</v>
      </c>
      <c r="O69" s="567">
        <f>+O62+O66</f>
        <v>6246841.6866845321</v>
      </c>
      <c r="P69" s="567">
        <f t="shared" ref="P69:X69" si="29">+P62+P66</f>
        <v>55925.372321871168</v>
      </c>
      <c r="Q69" s="567">
        <f t="shared" si="29"/>
        <v>92797.639324852964</v>
      </c>
      <c r="R69" s="567">
        <f t="shared" si="29"/>
        <v>505.13599999999997</v>
      </c>
      <c r="S69" s="567">
        <f t="shared" si="29"/>
        <v>8.629999999999999</v>
      </c>
      <c r="T69" s="567">
        <f t="shared" si="29"/>
        <v>6192.7018499973055</v>
      </c>
      <c r="U69" s="567">
        <f t="shared" si="29"/>
        <v>113598.41999999998</v>
      </c>
      <c r="V69" s="567">
        <f t="shared" si="29"/>
        <v>211245.38769999999</v>
      </c>
      <c r="W69" s="567">
        <f t="shared" si="29"/>
        <v>2761353.7225393057</v>
      </c>
      <c r="X69" s="567">
        <f t="shared" si="29"/>
        <v>2216288.7066708109</v>
      </c>
      <c r="Y69" s="561">
        <f t="shared" si="24"/>
        <v>11704757.403091369</v>
      </c>
      <c r="Z69" s="575">
        <f>1-Z68</f>
        <v>0.47684489007853592</v>
      </c>
    </row>
    <row r="70" spans="1:26" x14ac:dyDescent="0.2">
      <c r="A70" s="542"/>
      <c r="B70" s="548" t="s">
        <v>14</v>
      </c>
      <c r="C70" s="581">
        <f>Input!C80</f>
        <v>32.56</v>
      </c>
      <c r="D70" s="588">
        <f>+$D$68</f>
        <v>0.65310000000000001</v>
      </c>
      <c r="E70" s="583">
        <f t="shared" si="25"/>
        <v>21.265000000000001</v>
      </c>
      <c r="H70" s="589">
        <f>+$H$68</f>
        <v>0.94</v>
      </c>
      <c r="I70" s="589">
        <f>+$I$68</f>
        <v>0.9</v>
      </c>
    </row>
    <row r="71" spans="1:26" x14ac:dyDescent="0.2">
      <c r="A71" s="542"/>
      <c r="B71" s="548" t="s">
        <v>15</v>
      </c>
      <c r="C71" s="581">
        <f>Input!C81</f>
        <v>30.95</v>
      </c>
      <c r="D71" s="590">
        <f>+$D$68</f>
        <v>0.65310000000000001</v>
      </c>
      <c r="E71" s="583">
        <f t="shared" si="25"/>
        <v>20.213000000000001</v>
      </c>
      <c r="H71" s="591">
        <f>+$H$68</f>
        <v>0.94</v>
      </c>
      <c r="I71" s="591">
        <f>+$I$68</f>
        <v>0.9</v>
      </c>
    </row>
    <row r="72" spans="1:26" x14ac:dyDescent="0.2">
      <c r="A72" s="542"/>
      <c r="B72" s="548" t="s">
        <v>16</v>
      </c>
      <c r="C72" s="581">
        <f>Input!C82</f>
        <v>29.6</v>
      </c>
      <c r="D72" s="592">
        <f>+$D$63</f>
        <v>0.78459999999999996</v>
      </c>
      <c r="E72" s="583">
        <f t="shared" si="25"/>
        <v>23.224</v>
      </c>
      <c r="H72" s="585">
        <f>+$H$63</f>
        <v>0.96</v>
      </c>
      <c r="I72" s="585">
        <f>+$I$63</f>
        <v>0.96</v>
      </c>
    </row>
    <row r="73" spans="1:26" x14ac:dyDescent="0.2">
      <c r="A73" s="542"/>
      <c r="B73" s="548" t="s">
        <v>17</v>
      </c>
      <c r="C73" s="581">
        <f>Input!C83</f>
        <v>30.09</v>
      </c>
      <c r="D73" s="584">
        <f>+$D$63</f>
        <v>0.78459999999999996</v>
      </c>
      <c r="E73" s="583">
        <f t="shared" si="25"/>
        <v>23.609000000000002</v>
      </c>
      <c r="H73" s="585">
        <f>+$H$63</f>
        <v>0.96</v>
      </c>
      <c r="I73" s="585">
        <f>+$I$63</f>
        <v>0.96</v>
      </c>
    </row>
    <row r="74" spans="1:26" x14ac:dyDescent="0.2">
      <c r="A74" s="542"/>
      <c r="B74" s="548" t="s">
        <v>18</v>
      </c>
      <c r="C74" s="581">
        <f>Input!C84</f>
        <v>33.46</v>
      </c>
      <c r="D74" s="584">
        <f>+$D$63</f>
        <v>0.78459999999999996</v>
      </c>
      <c r="E74" s="583">
        <f t="shared" si="25"/>
        <v>26.253</v>
      </c>
      <c r="H74" s="585">
        <f>+$H$63</f>
        <v>0.96</v>
      </c>
      <c r="I74" s="585">
        <f>+$I$63</f>
        <v>0.96</v>
      </c>
    </row>
    <row r="75" spans="1:26" x14ac:dyDescent="0.2">
      <c r="A75" s="542"/>
      <c r="B75" s="548"/>
      <c r="C75" s="593"/>
      <c r="D75" s="593"/>
      <c r="G75" s="594"/>
      <c r="K75" s="594"/>
    </row>
    <row r="76" spans="1:26" x14ac:dyDescent="0.2">
      <c r="A76" s="542"/>
      <c r="B76" s="595"/>
      <c r="C76" s="595"/>
      <c r="D76" s="593"/>
      <c r="G76" s="594"/>
      <c r="K76" s="594"/>
    </row>
    <row r="77" spans="1:26" x14ac:dyDescent="0.2">
      <c r="A77" s="540" t="s">
        <v>67</v>
      </c>
      <c r="B77" s="556" t="s">
        <v>42</v>
      </c>
      <c r="C77" s="536" t="str">
        <f>+C7</f>
        <v>RS</v>
      </c>
      <c r="D77" s="536" t="str">
        <f t="shared" ref="D77:L77" si="30">+D7</f>
        <v>RHS</v>
      </c>
      <c r="E77" s="536" t="str">
        <f t="shared" si="30"/>
        <v>RLM</v>
      </c>
      <c r="F77" s="536" t="str">
        <f t="shared" si="30"/>
        <v>WH</v>
      </c>
      <c r="G77" s="536" t="str">
        <f t="shared" si="30"/>
        <v>WHS</v>
      </c>
      <c r="H77" s="536" t="str">
        <f t="shared" si="30"/>
        <v>HS</v>
      </c>
      <c r="I77" s="536" t="str">
        <f t="shared" si="30"/>
        <v>PSAL</v>
      </c>
      <c r="J77" s="536" t="str">
        <f t="shared" si="30"/>
        <v>BPL</v>
      </c>
      <c r="K77" s="536" t="str">
        <f t="shared" si="30"/>
        <v>GLP</v>
      </c>
      <c r="L77" s="536" t="str">
        <f t="shared" si="30"/>
        <v>LPL-S</v>
      </c>
      <c r="M77" s="536"/>
      <c r="P77" s="596" t="s">
        <v>322</v>
      </c>
      <c r="Q77" s="596" t="s">
        <v>323</v>
      </c>
      <c r="R77" s="596" t="s">
        <v>321</v>
      </c>
    </row>
    <row r="78" spans="1:26" x14ac:dyDescent="0.2">
      <c r="A78" s="542"/>
      <c r="B78" s="557" t="s">
        <v>304</v>
      </c>
      <c r="C78" s="597"/>
      <c r="D78" s="559"/>
      <c r="E78" s="559"/>
      <c r="F78" s="559"/>
      <c r="P78" s="535" t="s">
        <v>319</v>
      </c>
      <c r="Q78" s="598">
        <f>Input!C89</f>
        <v>5.8326999999999997E-2</v>
      </c>
      <c r="R78" s="599" t="s">
        <v>632</v>
      </c>
    </row>
    <row r="79" spans="1:26" x14ac:dyDescent="0.2">
      <c r="A79" s="542"/>
      <c r="B79" s="548" t="s">
        <v>287</v>
      </c>
      <c r="C79" s="600">
        <f>1-((1-$Q$78)*(1-$Q$79))</f>
        <v>6.2621028879999985E-2</v>
      </c>
      <c r="D79" s="601">
        <f>+$C79</f>
        <v>6.2621028879999985E-2</v>
      </c>
      <c r="E79" s="601">
        <f t="shared" ref="E79:L79" si="31">+$C79</f>
        <v>6.2621028879999985E-2</v>
      </c>
      <c r="F79" s="601">
        <f t="shared" si="31"/>
        <v>6.2621028879999985E-2</v>
      </c>
      <c r="G79" s="601">
        <f t="shared" si="31"/>
        <v>6.2621028879999985E-2</v>
      </c>
      <c r="H79" s="601">
        <f t="shared" si="31"/>
        <v>6.2621028879999985E-2</v>
      </c>
      <c r="I79" s="601">
        <f t="shared" si="31"/>
        <v>6.2621028879999985E-2</v>
      </c>
      <c r="J79" s="601">
        <f t="shared" si="31"/>
        <v>6.2621028879999985E-2</v>
      </c>
      <c r="K79" s="601">
        <f t="shared" si="31"/>
        <v>6.2621028879999985E-2</v>
      </c>
      <c r="L79" s="601">
        <f t="shared" si="31"/>
        <v>6.2621028879999985E-2</v>
      </c>
      <c r="M79" s="595"/>
      <c r="N79" s="602"/>
      <c r="P79" s="535" t="s">
        <v>320</v>
      </c>
      <c r="Q79" s="598">
        <f>Input!C90</f>
        <v>4.5599999999999998E-3</v>
      </c>
      <c r="R79" s="535" t="s">
        <v>325</v>
      </c>
    </row>
    <row r="80" spans="1:26" x14ac:dyDescent="0.2">
      <c r="A80" s="542"/>
      <c r="B80" s="535" t="s">
        <v>288</v>
      </c>
      <c r="C80" s="603">
        <f>ROUND(1/(1-C79),6)</f>
        <v>1.0668040000000001</v>
      </c>
      <c r="D80" s="603">
        <f t="shared" ref="D80:L80" si="32">ROUND(1/(1-D79),6)</f>
        <v>1.0668040000000001</v>
      </c>
      <c r="E80" s="603">
        <f t="shared" si="32"/>
        <v>1.0668040000000001</v>
      </c>
      <c r="F80" s="603">
        <f t="shared" si="32"/>
        <v>1.0668040000000001</v>
      </c>
      <c r="G80" s="603">
        <f t="shared" si="32"/>
        <v>1.0668040000000001</v>
      </c>
      <c r="H80" s="603">
        <f t="shared" si="32"/>
        <v>1.0668040000000001</v>
      </c>
      <c r="I80" s="603">
        <f t="shared" si="32"/>
        <v>1.0668040000000001</v>
      </c>
      <c r="J80" s="603">
        <f t="shared" si="32"/>
        <v>1.0668040000000001</v>
      </c>
      <c r="K80" s="603">
        <f t="shared" si="32"/>
        <v>1.0668040000000001</v>
      </c>
      <c r="L80" s="603">
        <f t="shared" si="32"/>
        <v>1.0668040000000001</v>
      </c>
      <c r="M80" s="604"/>
      <c r="P80" s="535" t="s">
        <v>327</v>
      </c>
      <c r="Q80" s="605">
        <f>+Input!C91</f>
        <v>1.0525E-2</v>
      </c>
      <c r="R80" s="535" t="s">
        <v>326</v>
      </c>
    </row>
    <row r="81" spans="1:17" x14ac:dyDescent="0.2">
      <c r="A81" s="542"/>
      <c r="B81" s="535" t="s">
        <v>289</v>
      </c>
      <c r="C81" s="603">
        <f>1/C80</f>
        <v>0.93737931241352668</v>
      </c>
      <c r="D81" s="603">
        <f t="shared" ref="D81:L81" si="33">1/D80</f>
        <v>0.93737931241352668</v>
      </c>
      <c r="E81" s="603">
        <f t="shared" si="33"/>
        <v>0.93737931241352668</v>
      </c>
      <c r="F81" s="603">
        <f t="shared" si="33"/>
        <v>0.93737931241352668</v>
      </c>
      <c r="G81" s="603">
        <f t="shared" si="33"/>
        <v>0.93737931241352668</v>
      </c>
      <c r="H81" s="603">
        <f t="shared" si="33"/>
        <v>0.93737931241352668</v>
      </c>
      <c r="I81" s="603">
        <f t="shared" si="33"/>
        <v>0.93737931241352668</v>
      </c>
      <c r="J81" s="603">
        <f t="shared" si="33"/>
        <v>0.93737931241352668</v>
      </c>
      <c r="K81" s="603">
        <f t="shared" si="33"/>
        <v>0.93737931241352668</v>
      </c>
      <c r="L81" s="603">
        <f t="shared" si="33"/>
        <v>0.93737931241352668</v>
      </c>
      <c r="M81" s="604"/>
      <c r="P81" s="535" t="s">
        <v>328</v>
      </c>
      <c r="Q81" s="606">
        <f>ROUND(1-((1-Q80)/(1-Q79)),7)</f>
        <v>5.9922999999999999E-3</v>
      </c>
    </row>
    <row r="82" spans="1:17" x14ac:dyDescent="0.2">
      <c r="A82" s="542"/>
      <c r="C82" s="604"/>
      <c r="D82" s="604"/>
      <c r="E82" s="604"/>
      <c r="F82" s="604"/>
      <c r="G82" s="604"/>
      <c r="H82" s="604"/>
      <c r="I82" s="604"/>
      <c r="J82" s="604"/>
      <c r="K82" s="604"/>
      <c r="L82" s="604"/>
      <c r="M82" s="604"/>
    </row>
    <row r="83" spans="1:17" x14ac:dyDescent="0.2">
      <c r="A83" s="542"/>
      <c r="B83" s="557" t="s">
        <v>303</v>
      </c>
      <c r="C83" s="604"/>
      <c r="D83" s="604"/>
      <c r="E83" s="604"/>
      <c r="F83" s="604"/>
      <c r="G83" s="604"/>
      <c r="H83" s="604"/>
      <c r="I83" s="604"/>
      <c r="J83" s="604"/>
      <c r="K83" s="604"/>
      <c r="L83" s="604"/>
      <c r="M83" s="604"/>
    </row>
    <row r="84" spans="1:17" x14ac:dyDescent="0.2">
      <c r="A84" s="542"/>
      <c r="B84" s="548" t="s">
        <v>287</v>
      </c>
      <c r="C84" s="600">
        <f>1-((1-$Q$78)/((1-$Q$80)/(1-$Q$79)))</f>
        <v>5.2650171939664925E-2</v>
      </c>
      <c r="D84" s="601">
        <f>+$C84</f>
        <v>5.2650171939664925E-2</v>
      </c>
      <c r="E84" s="601">
        <f t="shared" ref="E84:L84" si="34">+$C84</f>
        <v>5.2650171939664925E-2</v>
      </c>
      <c r="F84" s="601">
        <f t="shared" si="34"/>
        <v>5.2650171939664925E-2</v>
      </c>
      <c r="G84" s="601">
        <f t="shared" si="34"/>
        <v>5.2650171939664925E-2</v>
      </c>
      <c r="H84" s="601">
        <f t="shared" si="34"/>
        <v>5.2650171939664925E-2</v>
      </c>
      <c r="I84" s="601">
        <f t="shared" si="34"/>
        <v>5.2650171939664925E-2</v>
      </c>
      <c r="J84" s="601">
        <f t="shared" si="34"/>
        <v>5.2650171939664925E-2</v>
      </c>
      <c r="K84" s="601">
        <f t="shared" si="34"/>
        <v>5.2650171939664925E-2</v>
      </c>
      <c r="L84" s="601">
        <f t="shared" si="34"/>
        <v>5.2650171939664925E-2</v>
      </c>
      <c r="M84" s="604"/>
    </row>
    <row r="85" spans="1:17" x14ac:dyDescent="0.2">
      <c r="A85" s="542"/>
      <c r="B85" s="535" t="s">
        <v>288</v>
      </c>
      <c r="C85" s="603">
        <f>ROUND(1/(1-C84),6)</f>
        <v>1.0555760000000001</v>
      </c>
      <c r="D85" s="603">
        <f>+$C$85</f>
        <v>1.0555760000000001</v>
      </c>
      <c r="E85" s="603">
        <f t="shared" ref="E85:L85" si="35">+$C$85</f>
        <v>1.0555760000000001</v>
      </c>
      <c r="F85" s="603">
        <f t="shared" si="35"/>
        <v>1.0555760000000001</v>
      </c>
      <c r="G85" s="603">
        <f t="shared" si="35"/>
        <v>1.0555760000000001</v>
      </c>
      <c r="H85" s="603">
        <f t="shared" si="35"/>
        <v>1.0555760000000001</v>
      </c>
      <c r="I85" s="603">
        <f t="shared" si="35"/>
        <v>1.0555760000000001</v>
      </c>
      <c r="J85" s="603">
        <f t="shared" si="35"/>
        <v>1.0555760000000001</v>
      </c>
      <c r="K85" s="603">
        <f t="shared" si="35"/>
        <v>1.0555760000000001</v>
      </c>
      <c r="L85" s="603">
        <f t="shared" si="35"/>
        <v>1.0555760000000001</v>
      </c>
      <c r="M85" s="604"/>
    </row>
    <row r="86" spans="1:17" x14ac:dyDescent="0.2">
      <c r="A86" s="542"/>
      <c r="B86" s="535" t="s">
        <v>289</v>
      </c>
      <c r="C86" s="603">
        <f>1/C85</f>
        <v>0.94735007237754543</v>
      </c>
      <c r="D86" s="603">
        <f t="shared" ref="D86:L86" si="36">1/D85</f>
        <v>0.94735007237754543</v>
      </c>
      <c r="E86" s="603">
        <f t="shared" si="36"/>
        <v>0.94735007237754543</v>
      </c>
      <c r="F86" s="603">
        <f t="shared" si="36"/>
        <v>0.94735007237754543</v>
      </c>
      <c r="G86" s="603">
        <f t="shared" si="36"/>
        <v>0.94735007237754543</v>
      </c>
      <c r="H86" s="603">
        <f t="shared" si="36"/>
        <v>0.94735007237754543</v>
      </c>
      <c r="I86" s="603">
        <f t="shared" si="36"/>
        <v>0.94735007237754543</v>
      </c>
      <c r="J86" s="603">
        <f t="shared" si="36"/>
        <v>0.94735007237754543</v>
      </c>
      <c r="K86" s="603">
        <f t="shared" si="36"/>
        <v>0.94735007237754543</v>
      </c>
      <c r="L86" s="603">
        <f t="shared" si="36"/>
        <v>0.94735007237754543</v>
      </c>
      <c r="M86" s="604"/>
    </row>
    <row r="87" spans="1:17" x14ac:dyDescent="0.2">
      <c r="A87" s="542"/>
      <c r="C87" s="607"/>
      <c r="D87" s="604"/>
      <c r="E87" s="604"/>
      <c r="F87" s="604"/>
      <c r="G87" s="604"/>
      <c r="H87" s="604"/>
      <c r="I87" s="604"/>
      <c r="J87" s="604"/>
      <c r="K87" s="604"/>
      <c r="L87" s="604"/>
      <c r="M87" s="604"/>
    </row>
    <row r="88" spans="1:17" x14ac:dyDescent="0.2">
      <c r="A88" s="542"/>
    </row>
    <row r="89" spans="1:17" x14ac:dyDescent="0.2">
      <c r="A89" s="540" t="s">
        <v>68</v>
      </c>
      <c r="B89" s="530" t="s">
        <v>139</v>
      </c>
    </row>
    <row r="90" spans="1:17" x14ac:dyDescent="0.2">
      <c r="B90" s="539" t="s">
        <v>236</v>
      </c>
    </row>
    <row r="91" spans="1:17" x14ac:dyDescent="0.2">
      <c r="A91" s="542"/>
      <c r="B91" s="539" t="s">
        <v>40</v>
      </c>
    </row>
    <row r="92" spans="1:17" x14ac:dyDescent="0.2">
      <c r="A92" s="542"/>
      <c r="B92" s="530"/>
      <c r="C92" s="536" t="str">
        <f>+C7</f>
        <v>RS</v>
      </c>
      <c r="D92" s="536" t="str">
        <f t="shared" ref="D92:L92" si="37">+D7</f>
        <v>RHS</v>
      </c>
      <c r="E92" s="536" t="str">
        <f t="shared" si="37"/>
        <v>RLM</v>
      </c>
      <c r="F92" s="536" t="str">
        <f t="shared" si="37"/>
        <v>WH</v>
      </c>
      <c r="G92" s="536" t="str">
        <f t="shared" si="37"/>
        <v>WHS</v>
      </c>
      <c r="H92" s="536" t="str">
        <f t="shared" si="37"/>
        <v>HS</v>
      </c>
      <c r="I92" s="536" t="str">
        <f t="shared" si="37"/>
        <v>PSAL</v>
      </c>
      <c r="J92" s="536" t="str">
        <f t="shared" si="37"/>
        <v>BPL</v>
      </c>
      <c r="K92" s="536" t="str">
        <f t="shared" si="37"/>
        <v>GLP</v>
      </c>
      <c r="L92" s="536" t="str">
        <f t="shared" si="37"/>
        <v>LPL-S</v>
      </c>
      <c r="M92" s="536"/>
    </row>
    <row r="93" spans="1:17" x14ac:dyDescent="0.2">
      <c r="A93" s="542"/>
    </row>
    <row r="94" spans="1:17" x14ac:dyDescent="0.2">
      <c r="A94" s="542"/>
      <c r="B94" s="548" t="s">
        <v>23</v>
      </c>
      <c r="C94" s="608">
        <f t="shared" ref="C94:L94" si="38">(SUMPRODUCT(C14:C17,C50:C53,$C68:$C71,$H68:$H71)*C80+SUMPRODUCT(O14:O17,C50:C53,$E68:$E71,$I68:$I71)*C80)/SUM(C50:C53)</f>
        <v>26.775442446204121</v>
      </c>
      <c r="D94" s="608">
        <f t="shared" si="38"/>
        <v>26.753173465174619</v>
      </c>
      <c r="E94" s="608">
        <f t="shared" si="38"/>
        <v>27.011936177049723</v>
      </c>
      <c r="F94" s="608">
        <f t="shared" si="38"/>
        <v>26.402010802718607</v>
      </c>
      <c r="G94" s="608">
        <f t="shared" si="38"/>
        <v>26.508851625944445</v>
      </c>
      <c r="H94" s="608">
        <f t="shared" si="38"/>
        <v>27.819795765827092</v>
      </c>
      <c r="I94" s="608">
        <f t="shared" si="38"/>
        <v>22.814865742913987</v>
      </c>
      <c r="J94" s="608">
        <f t="shared" si="38"/>
        <v>22.855079147776991</v>
      </c>
      <c r="K94" s="608">
        <f t="shared" si="38"/>
        <v>27.568711396272942</v>
      </c>
      <c r="L94" s="608">
        <f t="shared" si="38"/>
        <v>27.14880252104928</v>
      </c>
      <c r="M94" s="608"/>
    </row>
    <row r="95" spans="1:17" x14ac:dyDescent="0.2">
      <c r="A95" s="542"/>
      <c r="B95" s="609" t="s">
        <v>80</v>
      </c>
      <c r="C95" s="608">
        <f t="shared" ref="C95:L95" si="39">(SUMPRODUCT(C14:C17,C50:C53,$C68:$C71,$H68:$H71)*C80)/SUMPRODUCT(C14:C17,C50:C53)</f>
        <v>32.742152761074919</v>
      </c>
      <c r="D95" s="608">
        <f t="shared" si="39"/>
        <v>32.589992512511969</v>
      </c>
      <c r="E95" s="608">
        <f t="shared" si="39"/>
        <v>32.739210035941845</v>
      </c>
      <c r="F95" s="608">
        <f t="shared" si="39"/>
        <v>32.294573799040244</v>
      </c>
      <c r="G95" s="608">
        <f t="shared" si="39"/>
        <v>32.437364145991694</v>
      </c>
      <c r="H95" s="608">
        <f t="shared" si="39"/>
        <v>32.519719362924903</v>
      </c>
      <c r="I95" s="608">
        <f t="shared" si="39"/>
        <v>32.28927533236574</v>
      </c>
      <c r="J95" s="608">
        <f t="shared" si="39"/>
        <v>32.363259841030029</v>
      </c>
      <c r="K95" s="608">
        <f t="shared" si="39"/>
        <v>32.550367594421232</v>
      </c>
      <c r="L95" s="608">
        <f t="shared" si="39"/>
        <v>32.512249199278649</v>
      </c>
      <c r="M95" s="608"/>
    </row>
    <row r="96" spans="1:17" x14ac:dyDescent="0.2">
      <c r="A96" s="542"/>
      <c r="B96" s="609" t="s">
        <v>81</v>
      </c>
      <c r="C96" s="608">
        <f t="shared" ref="C96:L96" si="40">(SUMPRODUCT(O14:O17,C50:C53,$E68:$E71,$I68:$I71)*C80)/SUMPRODUCT(O14:O17,C50:C53)</f>
        <v>20.526173813383213</v>
      </c>
      <c r="D96" s="608">
        <f t="shared" si="40"/>
        <v>20.424103852900686</v>
      </c>
      <c r="E96" s="608">
        <f t="shared" si="40"/>
        <v>20.527127756164127</v>
      </c>
      <c r="F96" s="608">
        <f t="shared" si="40"/>
        <v>20.231522557878588</v>
      </c>
      <c r="G96" s="608">
        <f t="shared" si="40"/>
        <v>20.322287983639079</v>
      </c>
      <c r="H96" s="608">
        <f t="shared" si="40"/>
        <v>20.408120021018874</v>
      </c>
      <c r="I96" s="608">
        <f t="shared" si="40"/>
        <v>20.281144621658719</v>
      </c>
      <c r="J96" s="608">
        <f t="shared" si="40"/>
        <v>20.334811541003329</v>
      </c>
      <c r="K96" s="608">
        <f t="shared" si="40"/>
        <v>20.419708444273599</v>
      </c>
      <c r="L96" s="608">
        <f t="shared" si="40"/>
        <v>20.404578122954749</v>
      </c>
      <c r="M96" s="608"/>
    </row>
    <row r="97" spans="1:13" x14ac:dyDescent="0.2">
      <c r="A97" s="542"/>
      <c r="C97" s="610"/>
      <c r="D97" s="610"/>
      <c r="E97" s="610"/>
      <c r="F97" s="610"/>
      <c r="G97" s="610"/>
      <c r="H97" s="610"/>
      <c r="I97" s="610"/>
      <c r="J97" s="610"/>
      <c r="K97" s="610"/>
      <c r="L97" s="610"/>
      <c r="M97" s="610"/>
    </row>
    <row r="98" spans="1:13" x14ac:dyDescent="0.2">
      <c r="A98" s="542"/>
      <c r="B98" s="548" t="s">
        <v>24</v>
      </c>
      <c r="C98" s="608">
        <f t="shared" ref="C98:L98" si="41">(SUMPRODUCT(C9:C13,C45:C49,$C63:$C67,$H63:$H67)*C80+SUMPRODUCT(O9:O13,C45:C49,$E63:$E67,$I63:$I67)*C80+SUMPRODUCT(C18:C20,C54:C56,$C72:$C74,$H72:$H74)*C80+SUMPRODUCT(O18:O20,C54:C56,$E72:$E74,$I72:$I74)*C80)/SUM(C45:C49,C54:C56)</f>
        <v>32.536883174734939</v>
      </c>
      <c r="D98" s="608">
        <f t="shared" si="41"/>
        <v>33.949474710676554</v>
      </c>
      <c r="E98" s="608">
        <f t="shared" si="41"/>
        <v>32.586398026357969</v>
      </c>
      <c r="F98" s="608">
        <f t="shared" si="41"/>
        <v>32.360085150387484</v>
      </c>
      <c r="G98" s="608">
        <f t="shared" si="41"/>
        <v>32.836056097860656</v>
      </c>
      <c r="H98" s="608">
        <f t="shared" si="41"/>
        <v>34.501384505668483</v>
      </c>
      <c r="I98" s="608">
        <f t="shared" si="41"/>
        <v>30.726250693136837</v>
      </c>
      <c r="J98" s="608">
        <f t="shared" si="41"/>
        <v>30.996422020090105</v>
      </c>
      <c r="K98" s="608">
        <f t="shared" si="41"/>
        <v>32.780222985365995</v>
      </c>
      <c r="L98" s="608">
        <f t="shared" si="41"/>
        <v>32.53586120937323</v>
      </c>
      <c r="M98" s="608"/>
    </row>
    <row r="99" spans="1:13" x14ac:dyDescent="0.2">
      <c r="A99" s="542"/>
      <c r="B99" s="609" t="s">
        <v>80</v>
      </c>
      <c r="C99" s="608">
        <f t="shared" ref="C99:L99" si="42">(SUMPRODUCT(C9:C13,C45:C49,$C63:$C67,$H63:$H67)*C80+SUMPRODUCT(C18:C20,C54:C56,$C72:$C74,$H72:$H74)*C80)/(SUMPRODUCT(C9:C13,C45:C49)+SUMPRODUCT(C18:C20,C54:C56))</f>
        <v>36.576065577314417</v>
      </c>
      <c r="D99" s="608">
        <f t="shared" si="42"/>
        <v>38.138757936283454</v>
      </c>
      <c r="E99" s="608">
        <f t="shared" si="42"/>
        <v>36.457221696465652</v>
      </c>
      <c r="F99" s="608">
        <f t="shared" si="42"/>
        <v>36.348195503122781</v>
      </c>
      <c r="G99" s="608">
        <f t="shared" si="42"/>
        <v>36.889705059098148</v>
      </c>
      <c r="H99" s="608">
        <f t="shared" si="42"/>
        <v>38.564467941384073</v>
      </c>
      <c r="I99" s="608">
        <f t="shared" si="42"/>
        <v>36.740431082629726</v>
      </c>
      <c r="J99" s="608">
        <f t="shared" si="42"/>
        <v>37.108646166856879</v>
      </c>
      <c r="K99" s="608">
        <f t="shared" si="42"/>
        <v>36.088127210103238</v>
      </c>
      <c r="L99" s="608">
        <f t="shared" si="42"/>
        <v>36.015223963677045</v>
      </c>
      <c r="M99" s="608"/>
    </row>
    <row r="100" spans="1:13" x14ac:dyDescent="0.2">
      <c r="A100" s="542"/>
      <c r="B100" s="609" t="s">
        <v>81</v>
      </c>
      <c r="C100" s="608">
        <f t="shared" ref="C100:L100" si="43">(SUMPRODUCT(O9:O13,C45:C49,$E63:$E67,$I63:$I67)*C80+SUMPRODUCT(O18:O20,C54:C56,$E72:$E74,$I72:$I74)*C80)/(SUMPRODUCT(O9:O13,C45:C49)+SUMPRODUCT(O18:O20,C54:C56))</f>
        <v>28.747123057427359</v>
      </c>
      <c r="D100" s="608">
        <f t="shared" si="43"/>
        <v>30.04548408558248</v>
      </c>
      <c r="E100" s="608">
        <f t="shared" si="43"/>
        <v>28.738073383437207</v>
      </c>
      <c r="F100" s="608">
        <f t="shared" si="43"/>
        <v>28.564093595373194</v>
      </c>
      <c r="G100" s="608">
        <f t="shared" si="43"/>
        <v>28.992118436778913</v>
      </c>
      <c r="H100" s="608">
        <f t="shared" si="43"/>
        <v>30.680093507527097</v>
      </c>
      <c r="I100" s="608">
        <f t="shared" si="43"/>
        <v>28.435135526493969</v>
      </c>
      <c r="J100" s="608">
        <f t="shared" si="43"/>
        <v>28.6801603368339</v>
      </c>
      <c r="K100" s="608">
        <f t="shared" si="43"/>
        <v>28.468401201744872</v>
      </c>
      <c r="L100" s="608">
        <f t="shared" si="43"/>
        <v>28.388138469945893</v>
      </c>
      <c r="M100" s="608"/>
    </row>
    <row r="101" spans="1:13" x14ac:dyDescent="0.2">
      <c r="A101" s="542"/>
      <c r="C101" s="610"/>
      <c r="D101" s="610"/>
      <c r="E101" s="610"/>
      <c r="F101" s="610"/>
      <c r="G101" s="610"/>
      <c r="H101" s="610"/>
      <c r="I101" s="610"/>
      <c r="J101" s="610"/>
      <c r="K101" s="610"/>
      <c r="L101" s="610"/>
      <c r="M101" s="610"/>
    </row>
    <row r="102" spans="1:13" x14ac:dyDescent="0.2">
      <c r="A102" s="542"/>
      <c r="B102" s="535" t="s">
        <v>22</v>
      </c>
      <c r="C102" s="608">
        <f t="shared" ref="C102:L102" si="44">(C94*SUM(C50:C53)+C98*SUM(C45:C49,C54:C56))/C57</f>
        <v>30.036858151993318</v>
      </c>
      <c r="D102" s="611">
        <f t="shared" si="44"/>
        <v>32.236593075581148</v>
      </c>
      <c r="E102" s="611">
        <f t="shared" si="44"/>
        <v>29.980268956691408</v>
      </c>
      <c r="F102" s="611">
        <f t="shared" si="44"/>
        <v>30.81385142689426</v>
      </c>
      <c r="G102" s="611">
        <f t="shared" si="44"/>
        <v>31.347302104468607</v>
      </c>
      <c r="H102" s="611">
        <f t="shared" si="44"/>
        <v>33.126757479933829</v>
      </c>
      <c r="I102" s="611">
        <f t="shared" si="44"/>
        <v>28.542479201771897</v>
      </c>
      <c r="J102" s="611">
        <f t="shared" si="44"/>
        <v>28.872067360369737</v>
      </c>
      <c r="K102" s="611">
        <f t="shared" si="44"/>
        <v>30.859404045742512</v>
      </c>
      <c r="L102" s="611">
        <f t="shared" si="44"/>
        <v>30.594185740044658</v>
      </c>
      <c r="M102" s="611"/>
    </row>
    <row r="103" spans="1:13" x14ac:dyDescent="0.2">
      <c r="A103" s="542"/>
      <c r="C103" s="608"/>
      <c r="D103" s="611"/>
      <c r="E103" s="611"/>
      <c r="F103" s="611"/>
      <c r="G103" s="611"/>
      <c r="H103" s="611"/>
      <c r="I103" s="611"/>
      <c r="J103" s="611"/>
      <c r="K103" s="611"/>
      <c r="L103" s="611"/>
      <c r="M103" s="611"/>
    </row>
    <row r="104" spans="1:13" x14ac:dyDescent="0.2">
      <c r="A104" s="542"/>
      <c r="B104" s="535" t="s">
        <v>83</v>
      </c>
      <c r="C104" s="612">
        <f>SUMPRODUCT(C102:L102,C57:L57)/SUM(C57:L57)</f>
        <v>30.354024633985745</v>
      </c>
      <c r="D104" s="611"/>
      <c r="E104" s="611"/>
      <c r="F104" s="611"/>
      <c r="G104" s="611"/>
      <c r="H104" s="611"/>
      <c r="I104" s="611"/>
      <c r="J104" s="611"/>
      <c r="K104" s="611"/>
      <c r="L104" s="611"/>
      <c r="M104" s="611"/>
    </row>
    <row r="105" spans="1:13" x14ac:dyDescent="0.2">
      <c r="A105" s="542"/>
      <c r="C105" s="608"/>
      <c r="D105" s="611"/>
      <c r="E105" s="611"/>
      <c r="F105" s="611"/>
      <c r="G105" s="611"/>
      <c r="H105" s="611"/>
      <c r="I105" s="611"/>
      <c r="J105" s="611"/>
      <c r="K105" s="611"/>
      <c r="L105" s="611"/>
      <c r="M105" s="611"/>
    </row>
    <row r="106" spans="1:13" x14ac:dyDescent="0.2">
      <c r="A106" s="542"/>
      <c r="C106" s="611"/>
      <c r="D106" s="611"/>
      <c r="E106" s="611"/>
      <c r="F106" s="611"/>
      <c r="G106" s="611"/>
      <c r="H106" s="611"/>
      <c r="I106" s="611"/>
      <c r="J106" s="611"/>
      <c r="K106" s="611"/>
      <c r="L106" s="611"/>
      <c r="M106" s="611"/>
    </row>
    <row r="107" spans="1:13" x14ac:dyDescent="0.2">
      <c r="A107" s="540" t="s">
        <v>69</v>
      </c>
      <c r="B107" s="530" t="s">
        <v>133</v>
      </c>
      <c r="C107" s="611"/>
      <c r="D107" s="611"/>
      <c r="E107" s="611"/>
      <c r="F107" s="611"/>
      <c r="G107" s="611"/>
      <c r="H107" s="611"/>
      <c r="I107" s="611"/>
      <c r="J107" s="611"/>
      <c r="K107" s="611"/>
      <c r="L107" s="611"/>
      <c r="M107" s="611"/>
    </row>
    <row r="108" spans="1:13" x14ac:dyDescent="0.2">
      <c r="A108" s="542"/>
      <c r="B108" s="539" t="s">
        <v>237</v>
      </c>
      <c r="C108" s="611"/>
      <c r="D108" s="611"/>
      <c r="E108" s="611"/>
      <c r="F108" s="611"/>
      <c r="G108" s="611"/>
      <c r="H108" s="611"/>
      <c r="I108" s="611"/>
      <c r="J108" s="611"/>
      <c r="K108" s="611"/>
      <c r="L108" s="611"/>
      <c r="M108" s="611"/>
    </row>
    <row r="109" spans="1:13" x14ac:dyDescent="0.2">
      <c r="A109" s="542"/>
      <c r="B109" s="539" t="s">
        <v>82</v>
      </c>
      <c r="C109" s="611"/>
      <c r="D109" s="611"/>
      <c r="E109" s="611"/>
      <c r="F109" s="611"/>
      <c r="G109" s="611"/>
      <c r="H109" s="611"/>
      <c r="I109" s="611"/>
      <c r="J109" s="611"/>
      <c r="K109" s="611"/>
      <c r="L109" s="611"/>
      <c r="M109" s="611"/>
    </row>
    <row r="110" spans="1:13" x14ac:dyDescent="0.2">
      <c r="A110" s="542"/>
      <c r="B110" s="530"/>
      <c r="C110" s="536" t="str">
        <f>+C7</f>
        <v>RS</v>
      </c>
      <c r="D110" s="536" t="str">
        <f t="shared" ref="D110:L110" si="45">+D7</f>
        <v>RHS</v>
      </c>
      <c r="E110" s="536" t="str">
        <f t="shared" si="45"/>
        <v>RLM</v>
      </c>
      <c r="F110" s="536" t="str">
        <f t="shared" si="45"/>
        <v>WH</v>
      </c>
      <c r="G110" s="536" t="str">
        <f t="shared" si="45"/>
        <v>WHS</v>
      </c>
      <c r="H110" s="536" t="str">
        <f t="shared" si="45"/>
        <v>HS</v>
      </c>
      <c r="I110" s="536" t="str">
        <f t="shared" si="45"/>
        <v>PSAL</v>
      </c>
      <c r="J110" s="536" t="str">
        <f t="shared" si="45"/>
        <v>BPL</v>
      </c>
      <c r="K110" s="536" t="str">
        <f t="shared" si="45"/>
        <v>GLP</v>
      </c>
      <c r="L110" s="536" t="str">
        <f t="shared" si="45"/>
        <v>LPL-S</v>
      </c>
      <c r="M110" s="536"/>
    </row>
    <row r="111" spans="1:13" x14ac:dyDescent="0.2">
      <c r="A111" s="542"/>
      <c r="C111" s="613"/>
    </row>
    <row r="112" spans="1:13" x14ac:dyDescent="0.2">
      <c r="A112" s="542"/>
      <c r="B112" s="548" t="s">
        <v>23</v>
      </c>
      <c r="C112" s="614">
        <f t="shared" ref="C112:L112" si="46">SUM(C50:C53)*C94/1000</f>
        <v>144006.06723432738</v>
      </c>
      <c r="D112" s="614">
        <f t="shared" si="46"/>
        <v>700.18580611784728</v>
      </c>
      <c r="E112" s="614">
        <f t="shared" si="46"/>
        <v>2409.9220246055661</v>
      </c>
      <c r="F112" s="614">
        <f t="shared" si="46"/>
        <v>6.8381207979041188</v>
      </c>
      <c r="G112" s="614">
        <f t="shared" si="46"/>
        <v>0.10603540650377778</v>
      </c>
      <c r="H112" s="614">
        <f t="shared" si="46"/>
        <v>72.46019072673775</v>
      </c>
      <c r="I112" s="614">
        <f t="shared" si="46"/>
        <v>964.08778169831635</v>
      </c>
      <c r="J112" s="614">
        <f t="shared" si="46"/>
        <v>1697.3324529096583</v>
      </c>
      <c r="K112" s="614">
        <f t="shared" si="46"/>
        <v>65945.32610017735</v>
      </c>
      <c r="L112" s="614">
        <f t="shared" si="46"/>
        <v>48041.448349190709</v>
      </c>
      <c r="M112" s="614"/>
    </row>
    <row r="113" spans="1:30" x14ac:dyDescent="0.2">
      <c r="A113" s="542"/>
      <c r="B113" s="609" t="s">
        <v>80</v>
      </c>
      <c r="C113" s="614">
        <f t="shared" ref="C113:L113" si="47">SUMPRODUCT(C50:C53,C14:C17)*C95/1000</f>
        <v>90084.958470056969</v>
      </c>
      <c r="D113" s="614">
        <f t="shared" si="47"/>
        <v>443.72949012981968</v>
      </c>
      <c r="E113" s="614">
        <f t="shared" si="47"/>
        <v>1551.0396520212119</v>
      </c>
      <c r="F113" s="614">
        <f t="shared" si="47"/>
        <v>4.2785013973625281</v>
      </c>
      <c r="G113" s="614">
        <f t="shared" si="47"/>
        <v>6.625656000460263E-2</v>
      </c>
      <c r="H113" s="614">
        <f t="shared" si="47"/>
        <v>51.833106711813592</v>
      </c>
      <c r="I113" s="614">
        <f t="shared" si="47"/>
        <v>287.89913816974234</v>
      </c>
      <c r="J113" s="614">
        <f t="shared" si="47"/>
        <v>503.58582507843289</v>
      </c>
      <c r="K113" s="614">
        <f t="shared" si="47"/>
        <v>45886.457100488311</v>
      </c>
      <c r="L113" s="614">
        <f t="shared" si="47"/>
        <v>32046.737748929059</v>
      </c>
      <c r="M113" s="614"/>
    </row>
    <row r="114" spans="1:30" x14ac:dyDescent="0.2">
      <c r="A114" s="542"/>
      <c r="B114" s="609" t="s">
        <v>81</v>
      </c>
      <c r="C114" s="614">
        <f t="shared" ref="C114:L114" si="48">SUMPRODUCT(C50:C53,O14:O17)*C96/1000</f>
        <v>53921.108764270401</v>
      </c>
      <c r="D114" s="614">
        <f t="shared" si="48"/>
        <v>256.4563159880276</v>
      </c>
      <c r="E114" s="614">
        <f t="shared" si="48"/>
        <v>858.88237258435413</v>
      </c>
      <c r="F114" s="614">
        <f t="shared" si="48"/>
        <v>2.5596194005415911</v>
      </c>
      <c r="G114" s="614">
        <f t="shared" si="48"/>
        <v>3.9778846499175131E-2</v>
      </c>
      <c r="H114" s="614">
        <f t="shared" si="48"/>
        <v>20.627084014924158</v>
      </c>
      <c r="I114" s="614">
        <f t="shared" si="48"/>
        <v>676.18864352857406</v>
      </c>
      <c r="J114" s="614">
        <f t="shared" si="48"/>
        <v>1193.7466278312254</v>
      </c>
      <c r="K114" s="614">
        <f t="shared" si="48"/>
        <v>20058.868999689035</v>
      </c>
      <c r="L114" s="614">
        <f t="shared" si="48"/>
        <v>15994.710600261651</v>
      </c>
      <c r="M114" s="614"/>
    </row>
    <row r="115" spans="1:30" x14ac:dyDescent="0.2">
      <c r="A115" s="542"/>
      <c r="C115" s="615"/>
      <c r="D115" s="615"/>
      <c r="E115" s="615"/>
      <c r="F115" s="615"/>
      <c r="G115" s="615"/>
      <c r="H115" s="615"/>
      <c r="I115" s="615"/>
      <c r="J115" s="615"/>
      <c r="K115" s="615"/>
      <c r="L115" s="615"/>
      <c r="M115" s="615"/>
    </row>
    <row r="116" spans="1:30" x14ac:dyDescent="0.2">
      <c r="A116" s="542"/>
      <c r="B116" s="548" t="s">
        <v>24</v>
      </c>
      <c r="C116" s="615">
        <f t="shared" ref="C116:L116" si="49">SUM(C45:C49,C54:C56)*C98/1000</f>
        <v>228287.36998815413</v>
      </c>
      <c r="D116" s="615">
        <f t="shared" si="49"/>
        <v>2844.4295647168378</v>
      </c>
      <c r="E116" s="615">
        <f t="shared" si="49"/>
        <v>3311.3135121123587</v>
      </c>
      <c r="F116" s="615">
        <f t="shared" si="49"/>
        <v>23.914102926136351</v>
      </c>
      <c r="G116" s="615">
        <f t="shared" si="49"/>
        <v>0.42686872927218855</v>
      </c>
      <c r="H116" s="615">
        <f t="shared" si="49"/>
        <v>346.93102173000329</v>
      </c>
      <c r="I116" s="615">
        <f t="shared" si="49"/>
        <v>3405.4518168217419</v>
      </c>
      <c r="J116" s="615">
        <f t="shared" si="49"/>
        <v>6520.0043826598931</v>
      </c>
      <c r="K116" s="615">
        <f t="shared" si="49"/>
        <v>134332.26839832411</v>
      </c>
      <c r="L116" s="615">
        <f t="shared" si="49"/>
        <v>102161.81748892958</v>
      </c>
      <c r="M116" s="615"/>
    </row>
    <row r="117" spans="1:30" x14ac:dyDescent="0.2">
      <c r="A117" s="542"/>
      <c r="B117" s="609" t="s">
        <v>80</v>
      </c>
      <c r="C117" s="614">
        <f t="shared" ref="C117:L117" si="50">(SUMPRODUCT(C45:C49,C9:C13)+SUMPRODUCT(C54:C56,C18:C20))*C99/1000</f>
        <v>124225.72520468915</v>
      </c>
      <c r="D117" s="614">
        <f t="shared" si="50"/>
        <v>1541.3923549603403</v>
      </c>
      <c r="E117" s="614">
        <f t="shared" si="50"/>
        <v>1846.9274200469649</v>
      </c>
      <c r="F117" s="614">
        <f t="shared" si="50"/>
        <v>13.099177234693588</v>
      </c>
      <c r="G117" s="614">
        <f t="shared" si="50"/>
        <v>0.23341591979093762</v>
      </c>
      <c r="H117" s="614">
        <f t="shared" si="50"/>
        <v>187.94761806747005</v>
      </c>
      <c r="I117" s="614">
        <f t="shared" si="50"/>
        <v>1123.3141928540874</v>
      </c>
      <c r="J117" s="614">
        <f t="shared" si="50"/>
        <v>2145.1096402181961</v>
      </c>
      <c r="K117" s="614">
        <f t="shared" si="50"/>
        <v>83686.27497812768</v>
      </c>
      <c r="L117" s="614">
        <f t="shared" si="50"/>
        <v>61498.3589031054</v>
      </c>
      <c r="M117" s="614"/>
    </row>
    <row r="118" spans="1:30" x14ac:dyDescent="0.2">
      <c r="A118" s="542"/>
      <c r="B118" s="609" t="s">
        <v>81</v>
      </c>
      <c r="C118" s="614">
        <f t="shared" ref="C118:L118" si="51">+(SUMPRODUCT(C45:C49,O9:O13)+SUMPRODUCT(C54:C56,O18:O20))*C100/1000</f>
        <v>104061.64478346497</v>
      </c>
      <c r="D118" s="614">
        <f t="shared" si="51"/>
        <v>1303.0372097564973</v>
      </c>
      <c r="E118" s="614">
        <f t="shared" si="51"/>
        <v>1464.386092065394</v>
      </c>
      <c r="F118" s="614">
        <f t="shared" si="51"/>
        <v>10.814925691442761</v>
      </c>
      <c r="G118" s="614">
        <f t="shared" si="51"/>
        <v>0.19345280948125096</v>
      </c>
      <c r="H118" s="614">
        <f t="shared" si="51"/>
        <v>158.98340366253308</v>
      </c>
      <c r="I118" s="614">
        <f t="shared" si="51"/>
        <v>2282.1376239676547</v>
      </c>
      <c r="J118" s="614">
        <f t="shared" si="51"/>
        <v>4374.8947424416983</v>
      </c>
      <c r="K118" s="614">
        <f t="shared" si="51"/>
        <v>50645.993420196442</v>
      </c>
      <c r="L118" s="614">
        <f t="shared" si="51"/>
        <v>40663.458585824155</v>
      </c>
      <c r="M118" s="614"/>
    </row>
    <row r="119" spans="1:30" x14ac:dyDescent="0.2">
      <c r="A119" s="542"/>
      <c r="C119" s="610"/>
      <c r="D119" s="610"/>
      <c r="E119" s="610"/>
      <c r="F119" s="610"/>
      <c r="G119" s="610"/>
      <c r="H119" s="610"/>
      <c r="I119" s="610"/>
      <c r="J119" s="610"/>
      <c r="K119" s="610"/>
      <c r="L119" s="610"/>
      <c r="M119" s="610"/>
    </row>
    <row r="120" spans="1:30" x14ac:dyDescent="0.2">
      <c r="A120" s="542"/>
      <c r="B120" s="535" t="s">
        <v>22</v>
      </c>
      <c r="C120" s="615">
        <f>+C112+C116</f>
        <v>372293.43722248147</v>
      </c>
      <c r="D120" s="615">
        <f t="shared" ref="D120:L120" si="52">+D112+D116</f>
        <v>3544.6153708346851</v>
      </c>
      <c r="E120" s="615">
        <f t="shared" si="52"/>
        <v>5721.2355367179243</v>
      </c>
      <c r="F120" s="615">
        <f t="shared" si="52"/>
        <v>30.752223724040469</v>
      </c>
      <c r="G120" s="615">
        <f t="shared" si="52"/>
        <v>0.53290413577596629</v>
      </c>
      <c r="H120" s="615">
        <f t="shared" si="52"/>
        <v>419.39121245674107</v>
      </c>
      <c r="I120" s="615">
        <f t="shared" si="52"/>
        <v>4369.5395985200585</v>
      </c>
      <c r="J120" s="615">
        <f t="shared" si="52"/>
        <v>8217.3368355695511</v>
      </c>
      <c r="K120" s="615">
        <f t="shared" si="52"/>
        <v>200277.59449850145</v>
      </c>
      <c r="L120" s="615">
        <f t="shared" si="52"/>
        <v>150203.26583812028</v>
      </c>
      <c r="M120" s="615"/>
    </row>
    <row r="121" spans="1:30" x14ac:dyDescent="0.2">
      <c r="A121" s="542"/>
    </row>
    <row r="122" spans="1:30" x14ac:dyDescent="0.2">
      <c r="A122" s="542"/>
      <c r="B122" s="535" t="s">
        <v>83</v>
      </c>
      <c r="C122" s="614">
        <f>SUM(C120:L120)</f>
        <v>745077.70124106191</v>
      </c>
      <c r="E122" s="616"/>
      <c r="F122" s="608"/>
    </row>
    <row r="123" spans="1:30" x14ac:dyDescent="0.2">
      <c r="A123" s="542"/>
    </row>
    <row r="124" spans="1:30" x14ac:dyDescent="0.2">
      <c r="A124" s="542"/>
    </row>
    <row r="125" spans="1:30" x14ac:dyDescent="0.2">
      <c r="A125" s="540" t="s">
        <v>70</v>
      </c>
      <c r="B125" s="530" t="s">
        <v>134</v>
      </c>
      <c r="C125" s="611"/>
      <c r="Q125" s="535" t="s">
        <v>145</v>
      </c>
      <c r="T125" s="535" t="s">
        <v>144</v>
      </c>
      <c r="W125" s="535" t="s">
        <v>146</v>
      </c>
      <c r="Z125" s="535" t="s">
        <v>148</v>
      </c>
    </row>
    <row r="126" spans="1:30" x14ac:dyDescent="0.2">
      <c r="A126" s="542"/>
      <c r="B126" s="539" t="s">
        <v>238</v>
      </c>
      <c r="C126" s="611"/>
      <c r="W126" s="535" t="s">
        <v>147</v>
      </c>
      <c r="Z126" s="535" t="s">
        <v>149</v>
      </c>
      <c r="AC126" s="535" t="s">
        <v>150</v>
      </c>
    </row>
    <row r="127" spans="1:30" x14ac:dyDescent="0.2">
      <c r="A127" s="542"/>
      <c r="B127" s="539" t="s">
        <v>40</v>
      </c>
      <c r="C127" s="611"/>
    </row>
    <row r="128" spans="1:30" x14ac:dyDescent="0.2">
      <c r="A128" s="542"/>
      <c r="B128" s="530"/>
      <c r="C128" s="536" t="str">
        <f>+C7</f>
        <v>RS</v>
      </c>
      <c r="D128" s="536" t="str">
        <f t="shared" ref="D128:L128" si="53">+D7</f>
        <v>RHS</v>
      </c>
      <c r="E128" s="536" t="str">
        <f t="shared" si="53"/>
        <v>RLM</v>
      </c>
      <c r="F128" s="536" t="str">
        <f t="shared" si="53"/>
        <v>WH</v>
      </c>
      <c r="G128" s="536" t="str">
        <f t="shared" si="53"/>
        <v>WHS</v>
      </c>
      <c r="H128" s="536" t="str">
        <f t="shared" si="53"/>
        <v>HS</v>
      </c>
      <c r="I128" s="536" t="str">
        <f t="shared" si="53"/>
        <v>PSAL</v>
      </c>
      <c r="J128" s="536" t="str">
        <f t="shared" si="53"/>
        <v>BPL</v>
      </c>
      <c r="K128" s="536" t="str">
        <f t="shared" si="53"/>
        <v>GLP</v>
      </c>
      <c r="L128" s="536" t="str">
        <f t="shared" si="53"/>
        <v>LPL-S</v>
      </c>
      <c r="M128" s="536"/>
      <c r="O128" s="536"/>
      <c r="P128" s="536"/>
      <c r="Q128" s="536" t="str">
        <f>+E128</f>
        <v>RLM</v>
      </c>
      <c r="R128" s="536" t="str">
        <f>+L128</f>
        <v>LPL-S</v>
      </c>
      <c r="S128" s="536"/>
      <c r="T128" s="536" t="str">
        <f>+E128</f>
        <v>RLM</v>
      </c>
      <c r="U128" s="536" t="str">
        <f>+L128</f>
        <v>LPL-S</v>
      </c>
      <c r="V128" s="536"/>
      <c r="W128" s="536" t="str">
        <f>+E128</f>
        <v>RLM</v>
      </c>
      <c r="X128" s="536" t="str">
        <f>+L128</f>
        <v>LPL-S</v>
      </c>
      <c r="Z128" s="536" t="str">
        <f>+E128</f>
        <v>RLM</v>
      </c>
      <c r="AA128" s="536" t="str">
        <f>+L128</f>
        <v>LPL-S</v>
      </c>
      <c r="AC128" s="617" t="str">
        <f>+E128</f>
        <v>RLM</v>
      </c>
      <c r="AD128" s="536" t="str">
        <f>+L128</f>
        <v>LPL-S</v>
      </c>
    </row>
    <row r="129" spans="1:39" x14ac:dyDescent="0.2">
      <c r="A129" s="542"/>
      <c r="C129" s="613"/>
    </row>
    <row r="130" spans="1:39" x14ac:dyDescent="0.2">
      <c r="A130" s="542"/>
      <c r="B130" s="548" t="s">
        <v>23</v>
      </c>
      <c r="C130" s="612">
        <f t="shared" ref="C130:L130" si="54">+C112/SUM(C50:C53)*1000</f>
        <v>26.775442446204121</v>
      </c>
      <c r="D130" s="612">
        <f t="shared" si="54"/>
        <v>26.753173465174616</v>
      </c>
      <c r="E130" s="612">
        <f t="shared" si="54"/>
        <v>27.011936177049723</v>
      </c>
      <c r="F130" s="612">
        <f t="shared" si="54"/>
        <v>26.402010802718607</v>
      </c>
      <c r="G130" s="612">
        <f t="shared" si="54"/>
        <v>26.508851625944445</v>
      </c>
      <c r="H130" s="612">
        <f t="shared" si="54"/>
        <v>27.819795765827092</v>
      </c>
      <c r="I130" s="612">
        <f t="shared" si="54"/>
        <v>22.814865742913987</v>
      </c>
      <c r="J130" s="612">
        <f t="shared" si="54"/>
        <v>22.855079147776994</v>
      </c>
      <c r="K130" s="612">
        <f t="shared" si="54"/>
        <v>27.568711396272942</v>
      </c>
      <c r="L130" s="612">
        <f t="shared" si="54"/>
        <v>27.14880252104928</v>
      </c>
      <c r="M130" s="612"/>
    </row>
    <row r="131" spans="1:39" x14ac:dyDescent="0.2">
      <c r="A131" s="542"/>
      <c r="B131" s="609" t="s">
        <v>84</v>
      </c>
      <c r="C131" s="614"/>
      <c r="E131" s="612">
        <f>+(E113*1000-W131*AVERAGE(E$95,E$96))/Q131</f>
        <v>33.3817108529135</v>
      </c>
      <c r="F131" s="612"/>
      <c r="G131" s="614"/>
      <c r="H131" s="614"/>
      <c r="I131" s="614"/>
      <c r="J131" s="614"/>
      <c r="K131" s="614"/>
      <c r="L131" s="612">
        <f>+(L113*1000-X131*AVERAGE(L$95,L$96))/R131</f>
        <v>33.135063406891334</v>
      </c>
      <c r="M131" s="612"/>
      <c r="N131" s="612"/>
      <c r="Q131" s="567">
        <f>SUMPRODUCT(E50:E53,E32:E35)</f>
        <v>42865.162873425237</v>
      </c>
      <c r="R131" s="567">
        <f>SUMPRODUCT(L50:L53,L32:L35)</f>
        <v>893735.14405984548</v>
      </c>
      <c r="T131" s="567">
        <f>SUMPRODUCT(E50:E53,E14:E17)</f>
        <v>47375.597954820703</v>
      </c>
      <c r="U131" s="567">
        <f>SUMPRODUCT(L50:L53,L14:L17)</f>
        <v>985681.96720268996</v>
      </c>
      <c r="W131" s="567">
        <f>+T131-Q131</f>
        <v>4510.4350813954661</v>
      </c>
      <c r="X131" s="567">
        <f>+U131-R131</f>
        <v>91946.823142844485</v>
      </c>
      <c r="Z131" s="618">
        <f>+E131*Q131/1000</f>
        <v>1430.9124727037242</v>
      </c>
      <c r="AA131" s="618">
        <f>+L131*R131/1000</f>
        <v>29613.970667390142</v>
      </c>
    </row>
    <row r="132" spans="1:39" ht="15" x14ac:dyDescent="0.35">
      <c r="A132" s="542"/>
      <c r="B132" s="609" t="s">
        <v>85</v>
      </c>
      <c r="C132" s="612"/>
      <c r="D132" s="612"/>
      <c r="E132" s="612">
        <f>+(E114*1000-W132*AVERAGE(E$95,E$96))/Q132</f>
        <v>21.121299321810778</v>
      </c>
      <c r="F132" s="614"/>
      <c r="G132" s="614"/>
      <c r="H132" s="614"/>
      <c r="I132" s="614"/>
      <c r="J132" s="614"/>
      <c r="K132" s="614"/>
      <c r="L132" s="612">
        <f>+(L114*1000-X132*AVERAGE(L$95,L$96))/R132</f>
        <v>21.040128289213449</v>
      </c>
      <c r="M132" s="612"/>
      <c r="N132" s="612"/>
      <c r="Q132" s="567">
        <f>SUMPRODUCT(E50:E53,Q32:Q35)</f>
        <v>46351.767331419542</v>
      </c>
      <c r="R132" s="567">
        <f>SUMPRODUCT(L50:L53,X32:X35)</f>
        <v>875825.3480444653</v>
      </c>
      <c r="T132" s="567">
        <f>SUMPRODUCT(E50:E53,Q14:Q17)</f>
        <v>41841.332250024061</v>
      </c>
      <c r="U132" s="567">
        <f>SUMPRODUCT(L50:L53,X14:X17)</f>
        <v>783878.52490162081</v>
      </c>
      <c r="W132" s="567">
        <f>+T132-Q132</f>
        <v>-4510.4350813954807</v>
      </c>
      <c r="X132" s="567">
        <f>+U132-R132</f>
        <v>-91946.823142844485</v>
      </c>
      <c r="Z132" s="619">
        <f>+E132*Q132/1000</f>
        <v>979.00955190184243</v>
      </c>
      <c r="AA132" s="619">
        <f>+L132*R132/1000</f>
        <v>18427.47768180057</v>
      </c>
    </row>
    <row r="133" spans="1:39" x14ac:dyDescent="0.2">
      <c r="A133" s="542"/>
      <c r="C133" s="612"/>
      <c r="D133" s="612"/>
      <c r="E133" s="615"/>
      <c r="F133" s="615"/>
      <c r="G133" s="615"/>
      <c r="H133" s="615"/>
      <c r="I133" s="615"/>
      <c r="J133" s="615"/>
      <c r="K133" s="615"/>
      <c r="L133" s="615"/>
      <c r="M133" s="615"/>
      <c r="Q133" s="567"/>
      <c r="R133" s="567"/>
      <c r="T133" s="567"/>
      <c r="U133" s="567"/>
      <c r="W133" s="567"/>
      <c r="X133" s="567"/>
      <c r="Z133" s="618">
        <f>+Z132+Z131</f>
        <v>2409.9220246055665</v>
      </c>
      <c r="AA133" s="618">
        <f>+AA132+AA131</f>
        <v>48041.448349190716</v>
      </c>
      <c r="AC133" s="613">
        <f>+E112</f>
        <v>2409.9220246055661</v>
      </c>
      <c r="AD133" s="613">
        <f>+L112</f>
        <v>48041.448349190709</v>
      </c>
    </row>
    <row r="134" spans="1:39" x14ac:dyDescent="0.2">
      <c r="A134" s="542"/>
      <c r="B134" s="548" t="s">
        <v>24</v>
      </c>
      <c r="C134" s="611">
        <f t="shared" ref="C134:L134" si="55">+C116/SUM(C45:C49,C54:C56)*1000</f>
        <v>32.536883174734946</v>
      </c>
      <c r="D134" s="611">
        <f t="shared" si="55"/>
        <v>33.949474710676562</v>
      </c>
      <c r="E134" s="611">
        <f t="shared" si="55"/>
        <v>32.586398026357969</v>
      </c>
      <c r="F134" s="611">
        <f t="shared" si="55"/>
        <v>32.360085150387484</v>
      </c>
      <c r="G134" s="611">
        <f t="shared" si="55"/>
        <v>32.836056097860663</v>
      </c>
      <c r="H134" s="611">
        <f t="shared" si="55"/>
        <v>34.501384505668483</v>
      </c>
      <c r="I134" s="611">
        <f t="shared" si="55"/>
        <v>30.726250693136837</v>
      </c>
      <c r="J134" s="611">
        <f t="shared" si="55"/>
        <v>30.996422020090101</v>
      </c>
      <c r="K134" s="611">
        <f t="shared" si="55"/>
        <v>32.780222985365995</v>
      </c>
      <c r="L134" s="611">
        <f t="shared" si="55"/>
        <v>32.53586120937323</v>
      </c>
      <c r="M134" s="611"/>
      <c r="Q134" s="567"/>
      <c r="R134" s="567"/>
      <c r="T134" s="567"/>
      <c r="U134" s="567"/>
      <c r="W134" s="567"/>
      <c r="X134" s="567"/>
      <c r="Z134" s="618"/>
      <c r="AA134" s="618"/>
      <c r="AC134" s="613"/>
    </row>
    <row r="135" spans="1:39" x14ac:dyDescent="0.2">
      <c r="A135" s="542"/>
      <c r="B135" s="609" t="s">
        <v>84</v>
      </c>
      <c r="C135" s="614"/>
      <c r="D135" s="614"/>
      <c r="E135" s="612">
        <f>+(E117*1000-W135*AVERAGE(E$99,E$100))/Q135</f>
        <v>37.053996841048615</v>
      </c>
      <c r="F135" s="612"/>
      <c r="G135" s="612"/>
      <c r="H135" s="614"/>
      <c r="I135" s="614"/>
      <c r="J135" s="614"/>
      <c r="K135" s="614"/>
      <c r="L135" s="612">
        <f>+(L117*1000-X135*AVERAGE(L$99,L$100))/R135</f>
        <v>36.434182178196863</v>
      </c>
      <c r="M135" s="612"/>
      <c r="N135" s="612"/>
      <c r="Q135" s="567">
        <f>SUMPRODUCT(E45:E49,E27:E31)+SUMPRODUCT(E54:E56,E36:E38)</f>
        <v>43875.93908127927</v>
      </c>
      <c r="R135" s="567">
        <f>SUMPRODUCT(L45:L49,L27:L31)+SUMPRODUCT(L54:L56,L36:L38)</f>
        <v>1538540.5968935811</v>
      </c>
      <c r="T135" s="567">
        <f>SUMPRODUCT(E45:E49,E9:E13)+SUMPRODUCT(E54:E56,E18:E20)</f>
        <v>50660.125322331281</v>
      </c>
      <c r="U135" s="567">
        <f>SUMPRODUCT(L45:L49,L9:L13)+SUMPRODUCT(L54:L56,L18:L20)</f>
        <v>1707565.6384957992</v>
      </c>
      <c r="W135" s="567">
        <f>+T135-Q135</f>
        <v>6784.1862410520116</v>
      </c>
      <c r="X135" s="567">
        <f>+U135-R135</f>
        <v>169025.04160221806</v>
      </c>
      <c r="Z135" s="618">
        <f>+E135*Q135/1000</f>
        <v>1625.7789081157634</v>
      </c>
      <c r="AA135" s="618">
        <f>+L135*R135/1000</f>
        <v>56055.468395772477</v>
      </c>
      <c r="AC135" s="613"/>
    </row>
    <row r="136" spans="1:39" ht="15" x14ac:dyDescent="0.35">
      <c r="A136" s="542"/>
      <c r="B136" s="609" t="s">
        <v>85</v>
      </c>
      <c r="C136" s="614"/>
      <c r="D136" s="614"/>
      <c r="E136" s="612">
        <f>+(E118*1000-W136*AVERAGE(E$99,E$100))/Q136</f>
        <v>29.191551841712553</v>
      </c>
      <c r="F136" s="612"/>
      <c r="G136" s="612"/>
      <c r="H136" s="614"/>
      <c r="I136" s="614"/>
      <c r="J136" s="614"/>
      <c r="K136" s="614"/>
      <c r="L136" s="612">
        <f>+(L118*1000-X136*AVERAGE(L$99,L$100))/R136</f>
        <v>28.790642556301496</v>
      </c>
      <c r="M136" s="612"/>
      <c r="N136" s="612"/>
      <c r="Q136" s="567">
        <f>SUMPRODUCT(E45:E49,Q27:Q31)+SUMPRODUCT(E54:E56,Q36:Q38)</f>
        <v>57740.493315880922</v>
      </c>
      <c r="R136" s="567">
        <f>SUMPRODUCT(L45:L49,X27:X31)+SUMPRODUCT(L54:L56,X36:X38)</f>
        <v>1601435.2233714089</v>
      </c>
      <c r="T136" s="567">
        <f>SUMPRODUCT(E45:E49,Q9:Q13)+SUMPRODUCT(E54:E56,Q18:Q20)</f>
        <v>50956.307074828917</v>
      </c>
      <c r="U136" s="567">
        <f>SUMPRODUCT(L45:L49,X9:X13)+SUMPRODUCT(L54:L56,X18:X20)</f>
        <v>1432410.1817691908</v>
      </c>
      <c r="W136" s="567">
        <f>+T136-Q136</f>
        <v>-6784.1862410520043</v>
      </c>
      <c r="X136" s="567">
        <f>+U136-R136</f>
        <v>-169025.04160221806</v>
      </c>
      <c r="Z136" s="619">
        <f>+E136*Q136/1000</f>
        <v>1685.534603996595</v>
      </c>
      <c r="AA136" s="619">
        <f>+L136*R136/1000</f>
        <v>46106.349093157078</v>
      </c>
      <c r="AC136" s="613"/>
    </row>
    <row r="137" spans="1:39" x14ac:dyDescent="0.2">
      <c r="A137" s="542"/>
      <c r="C137" s="610"/>
      <c r="D137" s="610"/>
      <c r="E137" s="610"/>
      <c r="F137" s="610"/>
      <c r="G137" s="610"/>
      <c r="H137" s="610"/>
      <c r="I137" s="610"/>
      <c r="J137" s="610"/>
      <c r="K137" s="610"/>
      <c r="L137" s="610"/>
      <c r="M137" s="610"/>
      <c r="Z137" s="618">
        <f>+Z136+Z135</f>
        <v>3311.3135121123587</v>
      </c>
      <c r="AA137" s="618">
        <f>+AA136+AA135</f>
        <v>102161.81748892955</v>
      </c>
      <c r="AC137" s="613">
        <f>+E116</f>
        <v>3311.3135121123587</v>
      </c>
      <c r="AD137" s="613">
        <f>+L116</f>
        <v>102161.81748892958</v>
      </c>
    </row>
    <row r="138" spans="1:39" x14ac:dyDescent="0.2">
      <c r="A138" s="542"/>
      <c r="B138" s="535" t="s">
        <v>86</v>
      </c>
      <c r="C138" s="608">
        <f t="shared" ref="C138:L138" si="56">(C130*SUM(C50:C53)+C134*SUM(C45:C49,C54:C56))/C57</f>
        <v>30.036858151993318</v>
      </c>
      <c r="D138" s="608">
        <f t="shared" si="56"/>
        <v>32.236593075581155</v>
      </c>
      <c r="E138" s="608">
        <f t="shared" si="56"/>
        <v>29.980268956691408</v>
      </c>
      <c r="F138" s="608">
        <f t="shared" si="56"/>
        <v>30.81385142689426</v>
      </c>
      <c r="G138" s="608">
        <f t="shared" si="56"/>
        <v>31.347302104468607</v>
      </c>
      <c r="H138" s="608">
        <f t="shared" si="56"/>
        <v>33.126757479933829</v>
      </c>
      <c r="I138" s="608">
        <f t="shared" si="56"/>
        <v>28.542479201771897</v>
      </c>
      <c r="J138" s="608">
        <f t="shared" si="56"/>
        <v>28.872067360369737</v>
      </c>
      <c r="K138" s="608">
        <f t="shared" si="56"/>
        <v>30.859404045742512</v>
      </c>
      <c r="L138" s="608">
        <f t="shared" si="56"/>
        <v>30.594185740044658</v>
      </c>
      <c r="M138" s="608"/>
      <c r="AC138" s="613"/>
    </row>
    <row r="139" spans="1:39" x14ac:dyDescent="0.2">
      <c r="A139" s="542"/>
      <c r="B139" s="535" t="s">
        <v>87</v>
      </c>
      <c r="C139" s="612">
        <f>+C122/SUM(C57:L57)*1000</f>
        <v>30.35402463398573</v>
      </c>
      <c r="T139" s="567"/>
      <c r="U139" s="567"/>
    </row>
    <row r="140" spans="1:39" x14ac:dyDescent="0.2">
      <c r="A140" s="542"/>
      <c r="T140" s="567"/>
      <c r="U140" s="567"/>
    </row>
    <row r="141" spans="1:39" x14ac:dyDescent="0.2">
      <c r="A141" s="542"/>
      <c r="T141" s="567"/>
      <c r="U141" s="567"/>
    </row>
    <row r="142" spans="1:39" x14ac:dyDescent="0.2">
      <c r="A142" s="540" t="s">
        <v>71</v>
      </c>
      <c r="B142" s="530" t="s">
        <v>159</v>
      </c>
      <c r="L142" s="536" t="s">
        <v>199</v>
      </c>
      <c r="T142" s="567"/>
      <c r="U142" s="567"/>
    </row>
    <row r="143" spans="1:39" x14ac:dyDescent="0.2">
      <c r="A143" s="542"/>
      <c r="B143" s="539" t="str">
        <f>Input!B97</f>
        <v>Obligations - Peak Load shares eff 1/1/19, scaling factors eff 6/1/19, Transmission Loads eff 1/1/19; costs are market estimates</v>
      </c>
      <c r="L143" s="536" t="s">
        <v>331</v>
      </c>
      <c r="T143" s="567"/>
      <c r="U143" s="567"/>
    </row>
    <row r="144" spans="1:39" x14ac:dyDescent="0.2">
      <c r="A144" s="542"/>
      <c r="B144" s="539" t="s">
        <v>77</v>
      </c>
      <c r="C144" s="536" t="str">
        <f>+C7</f>
        <v>RS</v>
      </c>
      <c r="D144" s="536" t="str">
        <f t="shared" ref="D144:L144" si="57">+D7</f>
        <v>RHS</v>
      </c>
      <c r="E144" s="536" t="str">
        <f t="shared" si="57"/>
        <v>RLM</v>
      </c>
      <c r="F144" s="536" t="str">
        <f t="shared" si="57"/>
        <v>WH</v>
      </c>
      <c r="G144" s="536" t="str">
        <f t="shared" si="57"/>
        <v>WHS</v>
      </c>
      <c r="H144" s="536" t="str">
        <f t="shared" si="57"/>
        <v>HS</v>
      </c>
      <c r="I144" s="536" t="str">
        <f t="shared" si="57"/>
        <v>PSAL</v>
      </c>
      <c r="J144" s="536" t="str">
        <f t="shared" si="57"/>
        <v>BPL</v>
      </c>
      <c r="K144" s="536" t="str">
        <f t="shared" si="57"/>
        <v>GLP</v>
      </c>
      <c r="L144" s="536" t="str">
        <f t="shared" si="57"/>
        <v>LPL-S</v>
      </c>
      <c r="M144" s="536"/>
      <c r="T144" s="567"/>
      <c r="U144" s="567"/>
      <c r="AD144" s="536" t="s">
        <v>0</v>
      </c>
      <c r="AE144" s="536" t="s">
        <v>1</v>
      </c>
      <c r="AF144" s="536" t="s">
        <v>2</v>
      </c>
      <c r="AG144" s="536" t="s">
        <v>3</v>
      </c>
      <c r="AH144" s="536" t="s">
        <v>4</v>
      </c>
      <c r="AI144" s="536" t="s">
        <v>6</v>
      </c>
      <c r="AJ144" s="536" t="s">
        <v>37</v>
      </c>
      <c r="AK144" s="536" t="s">
        <v>38</v>
      </c>
      <c r="AL144" s="536" t="s">
        <v>5</v>
      </c>
      <c r="AM144" s="536" t="s">
        <v>36</v>
      </c>
    </row>
    <row r="145" spans="1:39" x14ac:dyDescent="0.2">
      <c r="A145" s="542"/>
      <c r="B145" s="539"/>
      <c r="C145" s="536"/>
      <c r="D145" s="536"/>
      <c r="E145" s="536"/>
      <c r="F145" s="536"/>
      <c r="G145" s="536"/>
      <c r="H145" s="536"/>
      <c r="I145" s="536"/>
      <c r="J145" s="536"/>
      <c r="K145" s="536"/>
      <c r="M145" s="536"/>
      <c r="R145" s="692" t="s">
        <v>312</v>
      </c>
      <c r="S145" s="692"/>
      <c r="T145" s="692"/>
      <c r="U145" s="692"/>
      <c r="V145" s="692"/>
      <c r="AC145" s="620" t="s">
        <v>332</v>
      </c>
      <c r="AD145" s="621">
        <f>Input!C101</f>
        <v>3904.1169483376193</v>
      </c>
      <c r="AE145" s="621">
        <f>Input!D101</f>
        <v>20.23385310982194</v>
      </c>
      <c r="AF145" s="621">
        <f>Input!E101</f>
        <v>67.956924969644461</v>
      </c>
      <c r="AG145" s="621">
        <f>Input!F101</f>
        <v>0</v>
      </c>
      <c r="AH145" s="621">
        <f>Input!G101</f>
        <v>0</v>
      </c>
      <c r="AI145" s="621">
        <f>Input!H101</f>
        <v>3.8705097097770289</v>
      </c>
      <c r="AJ145" s="621">
        <f>Input!I101</f>
        <v>0</v>
      </c>
      <c r="AK145" s="621">
        <f>Input!J101</f>
        <v>0</v>
      </c>
      <c r="AL145" s="621">
        <f>Input!K101</f>
        <v>1646.4166590995444</v>
      </c>
      <c r="AM145" s="621">
        <f>Input!L101</f>
        <v>1377.0476936878042</v>
      </c>
    </row>
    <row r="146" spans="1:39" x14ac:dyDescent="0.2">
      <c r="A146" s="542"/>
      <c r="T146" s="537" t="s">
        <v>314</v>
      </c>
      <c r="U146" s="535" t="s">
        <v>313</v>
      </c>
      <c r="AC146" s="565" t="s">
        <v>315</v>
      </c>
      <c r="AD146" s="621">
        <f>Input!C102</f>
        <v>4225.8068167284737</v>
      </c>
      <c r="AE146" s="621">
        <f>Input!D102</f>
        <v>21.909658389490048</v>
      </c>
      <c r="AF146" s="621">
        <f>Input!E102</f>
        <v>74.221401071794475</v>
      </c>
      <c r="AG146" s="621">
        <f>Input!F102</f>
        <v>0</v>
      </c>
      <c r="AH146" s="621">
        <f>Input!G102</f>
        <v>0</v>
      </c>
      <c r="AI146" s="621">
        <f>Input!H102</f>
        <v>4.255448492699049</v>
      </c>
      <c r="AJ146" s="621">
        <f>Input!I102</f>
        <v>0</v>
      </c>
      <c r="AK146" s="621">
        <f>Input!J102</f>
        <v>0</v>
      </c>
      <c r="AL146" s="621">
        <f>Input!K102</f>
        <v>1768.4981307815306</v>
      </c>
      <c r="AM146" s="621">
        <f>Input!L102</f>
        <v>1406.9734684466575</v>
      </c>
    </row>
    <row r="147" spans="1:39" x14ac:dyDescent="0.2">
      <c r="A147" s="622"/>
      <c r="B147" s="535" t="s">
        <v>25</v>
      </c>
      <c r="C147" s="623">
        <f>ROUND(AD145*$AD$148*$AD$149,1)</f>
        <v>4700.3999999999996</v>
      </c>
      <c r="D147" s="623">
        <f t="shared" ref="D147:K147" si="58">ROUND(AE145*$AD$148*$AD$149,1)</f>
        <v>24.4</v>
      </c>
      <c r="E147" s="623">
        <f t="shared" si="58"/>
        <v>81.8</v>
      </c>
      <c r="F147" s="623">
        <f t="shared" si="58"/>
        <v>0</v>
      </c>
      <c r="G147" s="623">
        <f t="shared" si="58"/>
        <v>0</v>
      </c>
      <c r="H147" s="623">
        <f t="shared" si="58"/>
        <v>4.7</v>
      </c>
      <c r="I147" s="623">
        <f t="shared" si="58"/>
        <v>0</v>
      </c>
      <c r="J147" s="623">
        <f t="shared" si="58"/>
        <v>0</v>
      </c>
      <c r="K147" s="623">
        <f t="shared" si="58"/>
        <v>1982.2</v>
      </c>
      <c r="L147" s="623">
        <f>ROUND(AM145*$AD$148*$AD$149*(1-AE45),1)</f>
        <v>1065.0999999999999</v>
      </c>
      <c r="M147" s="624"/>
      <c r="R147" s="625">
        <f>Input!C108</f>
        <v>2018</v>
      </c>
      <c r="S147" s="620" t="s">
        <v>454</v>
      </c>
      <c r="T147" s="625">
        <f>Input!D108</f>
        <v>29</v>
      </c>
      <c r="U147" s="626">
        <f>Input!E108</f>
        <v>101197</v>
      </c>
      <c r="V147" s="627">
        <f>U147/$T$150*T147</f>
        <v>34526.035294117646</v>
      </c>
    </row>
    <row r="148" spans="1:39" x14ac:dyDescent="0.2">
      <c r="A148" s="535"/>
      <c r="C148" s="628"/>
      <c r="D148" s="537"/>
      <c r="E148" s="537"/>
      <c r="F148" s="537"/>
      <c r="G148" s="537"/>
      <c r="H148" s="537"/>
      <c r="I148" s="537"/>
      <c r="J148" s="537"/>
      <c r="K148" s="537"/>
      <c r="L148" s="537"/>
      <c r="R148" s="625">
        <f>Input!C109</f>
        <v>2019</v>
      </c>
      <c r="S148" s="620" t="s">
        <v>454</v>
      </c>
      <c r="T148" s="625">
        <f>Input!D109</f>
        <v>28</v>
      </c>
      <c r="U148" s="626">
        <f>Input!E109</f>
        <v>104709.15</v>
      </c>
      <c r="V148" s="627">
        <f>U148/$T$150*T148</f>
        <v>34492.425882352938</v>
      </c>
      <c r="AC148" s="565" t="s">
        <v>316</v>
      </c>
      <c r="AD148" s="629">
        <f>Input!C104</f>
        <v>1.1050543994531257</v>
      </c>
    </row>
    <row r="149" spans="1:39" x14ac:dyDescent="0.2">
      <c r="A149" s="622"/>
      <c r="B149" s="535" t="s">
        <v>26</v>
      </c>
      <c r="C149" s="623">
        <f>ROUND(AD146,1)</f>
        <v>4225.8</v>
      </c>
      <c r="D149" s="623">
        <f t="shared" ref="D149:K149" si="59">ROUND(AE146,1)</f>
        <v>21.9</v>
      </c>
      <c r="E149" s="623">
        <f t="shared" si="59"/>
        <v>74.2</v>
      </c>
      <c r="F149" s="623">
        <f t="shared" si="59"/>
        <v>0</v>
      </c>
      <c r="G149" s="623">
        <f t="shared" si="59"/>
        <v>0</v>
      </c>
      <c r="H149" s="623">
        <f t="shared" si="59"/>
        <v>4.3</v>
      </c>
      <c r="I149" s="623">
        <f t="shared" si="59"/>
        <v>0</v>
      </c>
      <c r="J149" s="623">
        <f t="shared" si="59"/>
        <v>0</v>
      </c>
      <c r="K149" s="623">
        <f t="shared" si="59"/>
        <v>1768.5</v>
      </c>
      <c r="L149" s="623">
        <f>ROUND(AM146*(1-AF45),1)</f>
        <v>903.9</v>
      </c>
      <c r="M149" s="624"/>
      <c r="R149" s="625">
        <f>Input!C110</f>
        <v>2020</v>
      </c>
      <c r="S149" s="620" t="s">
        <v>454</v>
      </c>
      <c r="T149" s="625">
        <f>Input!D110</f>
        <v>28</v>
      </c>
      <c r="U149" s="626">
        <f>Input!E110</f>
        <v>104709.15</v>
      </c>
      <c r="V149" s="630">
        <f>U149/$T$150*T149</f>
        <v>34492.425882352938</v>
      </c>
      <c r="X149" s="535" t="str">
        <f>+Input!B105</f>
        <v>PJM June 1, -1 (through May 31, ) Forecast Pool Requirement</v>
      </c>
      <c r="AD149" s="629">
        <f>Input!C105</f>
        <v>1.0894999999999999</v>
      </c>
    </row>
    <row r="150" spans="1:39" x14ac:dyDescent="0.2">
      <c r="A150" s="535"/>
      <c r="C150" s="631"/>
      <c r="D150" s="631"/>
      <c r="E150" s="631"/>
      <c r="F150" s="631"/>
      <c r="G150" s="631"/>
      <c r="H150" s="631"/>
      <c r="I150" s="631"/>
      <c r="J150" s="631"/>
      <c r="K150" s="631"/>
      <c r="M150" s="631"/>
      <c r="T150" s="535">
        <f>SUM(T147:T149)</f>
        <v>85</v>
      </c>
      <c r="V150" s="627">
        <f>ROUND(SUM(V147:V149),2)</f>
        <v>103510.89</v>
      </c>
    </row>
    <row r="151" spans="1:39" x14ac:dyDescent="0.2">
      <c r="A151" s="542"/>
      <c r="B151" s="535" t="s">
        <v>110</v>
      </c>
      <c r="I151" s="631"/>
      <c r="K151" s="536"/>
      <c r="M151" s="631"/>
    </row>
    <row r="152" spans="1:39" x14ac:dyDescent="0.2">
      <c r="A152" s="542"/>
      <c r="D152" s="565" t="s">
        <v>103</v>
      </c>
      <c r="E152" s="632">
        <v>122</v>
      </c>
      <c r="G152" s="565" t="s">
        <v>105</v>
      </c>
      <c r="H152" s="537">
        <v>4</v>
      </c>
      <c r="I152" s="631"/>
      <c r="M152" s="631"/>
    </row>
    <row r="153" spans="1:39" x14ac:dyDescent="0.2">
      <c r="A153" s="542"/>
      <c r="D153" s="633" t="s">
        <v>104</v>
      </c>
      <c r="E153" s="634">
        <v>243</v>
      </c>
      <c r="G153" s="633" t="s">
        <v>106</v>
      </c>
      <c r="H153" s="537">
        <v>8</v>
      </c>
      <c r="I153" s="631"/>
      <c r="K153" s="635"/>
      <c r="L153" s="635"/>
      <c r="M153" s="631"/>
    </row>
    <row r="154" spans="1:39" x14ac:dyDescent="0.2">
      <c r="A154" s="542"/>
      <c r="G154" s="565" t="s">
        <v>111</v>
      </c>
      <c r="H154" s="535">
        <f>+H152+H153</f>
        <v>12</v>
      </c>
      <c r="I154" s="631"/>
      <c r="J154" s="636"/>
      <c r="K154" s="635"/>
      <c r="L154" s="635"/>
      <c r="M154" s="631"/>
    </row>
    <row r="155" spans="1:39" x14ac:dyDescent="0.2">
      <c r="A155" s="542"/>
      <c r="B155" s="537" t="s">
        <v>101</v>
      </c>
      <c r="C155" s="565" t="s">
        <v>180</v>
      </c>
      <c r="D155" s="637">
        <f>V150</f>
        <v>103510.89</v>
      </c>
      <c r="E155" s="602" t="s">
        <v>30</v>
      </c>
      <c r="K155" s="638"/>
      <c r="L155" s="639"/>
    </row>
    <row r="156" spans="1:39" x14ac:dyDescent="0.2">
      <c r="A156" s="542"/>
      <c r="B156" s="537"/>
      <c r="C156" s="565"/>
      <c r="D156" s="637"/>
      <c r="E156" s="602"/>
      <c r="K156" s="638"/>
      <c r="L156" s="639"/>
    </row>
    <row r="157" spans="1:39" ht="25.5" x14ac:dyDescent="0.2">
      <c r="A157" s="542"/>
      <c r="B157" s="537"/>
      <c r="D157" s="501" t="s">
        <v>408</v>
      </c>
      <c r="E157" s="535" t="s">
        <v>409</v>
      </c>
      <c r="I157" s="640"/>
      <c r="K157" s="638"/>
      <c r="L157" s="639"/>
    </row>
    <row r="158" spans="1:39" x14ac:dyDescent="0.2">
      <c r="A158" s="542"/>
      <c r="B158" s="537" t="s">
        <v>102</v>
      </c>
      <c r="C158" s="565" t="s">
        <v>151</v>
      </c>
      <c r="D158" s="640">
        <f>Input!E113</f>
        <v>180.1</v>
      </c>
      <c r="E158" s="641">
        <f>SUM(D158:D158)</f>
        <v>180.1</v>
      </c>
      <c r="F158" s="602" t="s">
        <v>98</v>
      </c>
      <c r="K158" s="642"/>
    </row>
    <row r="159" spans="1:39" x14ac:dyDescent="0.2">
      <c r="A159" s="542"/>
      <c r="C159" s="565" t="s">
        <v>152</v>
      </c>
      <c r="D159" s="640">
        <f>Input!E114</f>
        <v>180.1</v>
      </c>
      <c r="E159" s="641">
        <f>SUM(D159:D159)</f>
        <v>180.1</v>
      </c>
      <c r="F159" s="602" t="s">
        <v>98</v>
      </c>
      <c r="Q159" s="565" t="s">
        <v>100</v>
      </c>
    </row>
    <row r="160" spans="1:39" x14ac:dyDescent="0.2">
      <c r="A160" s="542"/>
      <c r="E160" s="643"/>
      <c r="F160" s="537"/>
      <c r="G160" s="537"/>
      <c r="H160" s="537"/>
      <c r="I160" s="537"/>
      <c r="J160" s="537"/>
      <c r="P160" s="565" t="s">
        <v>107</v>
      </c>
      <c r="Q160" s="644">
        <f>(E158*E152+E159*E153)/1000</f>
        <v>65.736500000000007</v>
      </c>
      <c r="R160" s="535" t="s">
        <v>99</v>
      </c>
    </row>
    <row r="161" spans="1:18" x14ac:dyDescent="0.2">
      <c r="A161" s="540"/>
      <c r="C161" s="536" t="str">
        <f>+C7</f>
        <v>RS</v>
      </c>
      <c r="D161" s="536" t="str">
        <f>+D7</f>
        <v>RHS</v>
      </c>
      <c r="F161" s="537"/>
      <c r="G161" s="537"/>
      <c r="H161" s="537"/>
      <c r="I161" s="537"/>
      <c r="J161" s="645"/>
    </row>
    <row r="162" spans="1:18" x14ac:dyDescent="0.2">
      <c r="A162" s="540"/>
      <c r="B162" s="646" t="s">
        <v>187</v>
      </c>
      <c r="C162" s="646"/>
      <c r="D162" s="646"/>
      <c r="F162" s="537"/>
      <c r="G162" s="537"/>
      <c r="H162" s="537"/>
      <c r="I162" s="537"/>
      <c r="J162" s="645"/>
      <c r="K162" s="610"/>
    </row>
    <row r="163" spans="1:18" x14ac:dyDescent="0.2">
      <c r="A163" s="540"/>
      <c r="B163" s="645" t="s">
        <v>161</v>
      </c>
      <c r="C163" s="572">
        <f>ROUND(Q165/Q167,3)</f>
        <v>0.64600000000000002</v>
      </c>
      <c r="D163" s="572">
        <f>ROUND(R165/R167,3)</f>
        <v>0.66100000000000003</v>
      </c>
      <c r="F163" s="539" t="s">
        <v>633</v>
      </c>
      <c r="G163" s="647"/>
      <c r="H163" s="648"/>
      <c r="I163" s="648"/>
      <c r="J163" s="645"/>
      <c r="K163" s="610"/>
      <c r="P163" s="649" t="s">
        <v>636</v>
      </c>
      <c r="Q163" s="580"/>
      <c r="R163" s="580"/>
    </row>
    <row r="164" spans="1:18" x14ac:dyDescent="0.2">
      <c r="A164" s="540"/>
      <c r="B164" s="645" t="s">
        <v>186</v>
      </c>
      <c r="C164" s="572">
        <f>1-C163</f>
        <v>0.35399999999999998</v>
      </c>
      <c r="D164" s="572">
        <f>1-D163</f>
        <v>0.33899999999999997</v>
      </c>
      <c r="F164" s="537"/>
      <c r="H164" s="537"/>
      <c r="I164" s="537"/>
      <c r="J164" s="645"/>
      <c r="K164" s="610"/>
      <c r="N164" s="625"/>
      <c r="Q164" s="535" t="s">
        <v>0</v>
      </c>
      <c r="R164" s="535" t="s">
        <v>1</v>
      </c>
    </row>
    <row r="165" spans="1:18" x14ac:dyDescent="0.2">
      <c r="A165" s="540"/>
      <c r="F165" s="537"/>
      <c r="H165" s="537"/>
      <c r="I165" s="537"/>
      <c r="J165" s="645"/>
      <c r="K165" s="610"/>
      <c r="P165" s="535" t="s">
        <v>309</v>
      </c>
      <c r="Q165" s="650">
        <v>3528124</v>
      </c>
      <c r="R165" s="650">
        <v>19973</v>
      </c>
    </row>
    <row r="166" spans="1:18" x14ac:dyDescent="0.2">
      <c r="A166" s="540"/>
      <c r="B166" s="645" t="s">
        <v>185</v>
      </c>
      <c r="C166" s="582">
        <f>Input!C119</f>
        <v>0.86519999999999975</v>
      </c>
      <c r="D166" s="582">
        <f>Input!D119</f>
        <v>1.1569000000000003</v>
      </c>
      <c r="E166" s="537" t="s">
        <v>162</v>
      </c>
      <c r="F166" s="545" t="s">
        <v>188</v>
      </c>
      <c r="I166" s="537"/>
      <c r="J166" s="645"/>
      <c r="K166" s="610"/>
      <c r="P166" s="535" t="s">
        <v>310</v>
      </c>
      <c r="Q166" s="651">
        <v>1931618</v>
      </c>
      <c r="R166" s="651">
        <v>10227</v>
      </c>
    </row>
    <row r="167" spans="1:18" x14ac:dyDescent="0.2">
      <c r="A167" s="540"/>
      <c r="F167" s="537"/>
      <c r="H167" s="537"/>
      <c r="I167" s="537"/>
      <c r="J167" s="645"/>
      <c r="K167" s="610"/>
      <c r="P167" s="535" t="s">
        <v>311</v>
      </c>
      <c r="Q167" s="650">
        <f>SUM(Q165:Q166)</f>
        <v>5459742</v>
      </c>
      <c r="R167" s="650">
        <f>SUM(R165:R166)</f>
        <v>30200</v>
      </c>
    </row>
    <row r="168" spans="1:18" x14ac:dyDescent="0.2">
      <c r="A168" s="540" t="s">
        <v>72</v>
      </c>
      <c r="B168" s="81" t="s">
        <v>577</v>
      </c>
      <c r="F168" s="537"/>
      <c r="H168" s="537"/>
      <c r="I168" s="537"/>
      <c r="J168" s="645"/>
      <c r="K168" s="610"/>
      <c r="Q168" s="650"/>
      <c r="R168" s="650"/>
    </row>
    <row r="169" spans="1:18" x14ac:dyDescent="0.2">
      <c r="A169" s="535"/>
      <c r="B169" s="652" t="s">
        <v>578</v>
      </c>
      <c r="C169" s="537"/>
      <c r="D169" s="635">
        <f>+Input!D123</f>
        <v>2</v>
      </c>
      <c r="E169" s="537"/>
      <c r="F169" s="537"/>
      <c r="G169" s="537"/>
      <c r="H169" s="537"/>
      <c r="I169" s="537"/>
      <c r="J169" s="537"/>
    </row>
    <row r="170" spans="1:18" x14ac:dyDescent="0.2">
      <c r="A170" s="540"/>
      <c r="B170" s="652" t="s">
        <v>579</v>
      </c>
      <c r="D170" s="635">
        <f>+Input!D124</f>
        <v>16.25</v>
      </c>
      <c r="I170" s="537"/>
      <c r="J170" s="537"/>
    </row>
    <row r="171" spans="1:18" x14ac:dyDescent="0.2">
      <c r="A171" s="542"/>
      <c r="B171" s="652" t="s">
        <v>580</v>
      </c>
      <c r="D171" s="653">
        <f>SUM(D169:D170)</f>
        <v>18.25</v>
      </c>
      <c r="E171" s="602" t="s">
        <v>143</v>
      </c>
    </row>
    <row r="172" spans="1:18" x14ac:dyDescent="0.2">
      <c r="A172" s="542"/>
      <c r="B172" s="539"/>
      <c r="F172" s="602"/>
    </row>
    <row r="173" spans="1:18" x14ac:dyDescent="0.2">
      <c r="A173" s="542"/>
      <c r="B173" s="530"/>
      <c r="E173" s="654"/>
      <c r="F173" s="602"/>
    </row>
    <row r="174" spans="1:18" x14ac:dyDescent="0.2">
      <c r="A174" s="540" t="s">
        <v>74</v>
      </c>
      <c r="B174" s="530" t="s">
        <v>140</v>
      </c>
    </row>
    <row r="175" spans="1:18" x14ac:dyDescent="0.2">
      <c r="A175" s="540"/>
      <c r="B175" s="530"/>
    </row>
    <row r="176" spans="1:18" x14ac:dyDescent="0.2">
      <c r="A176" s="540"/>
      <c r="B176" s="530"/>
      <c r="C176" s="536" t="str">
        <f t="shared" ref="C176:J176" si="60">+C7</f>
        <v>RS</v>
      </c>
      <c r="D176" s="536" t="str">
        <f t="shared" si="60"/>
        <v>RHS</v>
      </c>
      <c r="E176" s="536" t="str">
        <f t="shared" si="60"/>
        <v>RLM</v>
      </c>
      <c r="F176" s="536" t="str">
        <f t="shared" si="60"/>
        <v>WH</v>
      </c>
      <c r="G176" s="536" t="str">
        <f t="shared" si="60"/>
        <v>WHS</v>
      </c>
      <c r="H176" s="536" t="str">
        <f t="shared" si="60"/>
        <v>HS</v>
      </c>
      <c r="I176" s="536" t="str">
        <f t="shared" si="60"/>
        <v>PSAL</v>
      </c>
      <c r="J176" s="536" t="str">
        <f t="shared" si="60"/>
        <v>BPL</v>
      </c>
    </row>
    <row r="177" spans="1:13" x14ac:dyDescent="0.2">
      <c r="A177" s="540"/>
      <c r="B177" s="530"/>
    </row>
    <row r="178" spans="1:13" x14ac:dyDescent="0.2">
      <c r="A178" s="542"/>
      <c r="B178" s="565" t="s">
        <v>118</v>
      </c>
      <c r="C178" s="644">
        <f>(+$D$155*C149*$H$154/12)/C57</f>
        <v>35.29101137009048</v>
      </c>
      <c r="D178" s="644">
        <f>(+$D$155*D149*$H$154/12)/D57</f>
        <v>20.616274034515939</v>
      </c>
      <c r="E178" s="644">
        <f>(+$D$155*E149*$H$154/12)/SUMPRODUCT(E27:E38,E45:E56)</f>
        <v>88.545197892582678</v>
      </c>
      <c r="F178" s="644">
        <f>(+$D$155*F149*$H$154/12)/F57</f>
        <v>0</v>
      </c>
      <c r="G178" s="644">
        <f>(+$D$155*G149*$H$154/12)/G57</f>
        <v>0</v>
      </c>
      <c r="H178" s="644">
        <f>(+$D$155*H149*$H$154/12)/H57</f>
        <v>35.15718547545373</v>
      </c>
      <c r="I178" s="644">
        <f>(+$D$155*I149*$H$154/12)/I57</f>
        <v>0</v>
      </c>
      <c r="J178" s="644">
        <f>(+$D$155*J149*$H$154/12)/J57</f>
        <v>0</v>
      </c>
      <c r="K178" s="644"/>
      <c r="L178" s="644"/>
      <c r="M178" s="644"/>
    </row>
    <row r="179" spans="1:13" x14ac:dyDescent="0.2">
      <c r="A179" s="542"/>
      <c r="B179" s="565"/>
      <c r="C179" s="644"/>
      <c r="D179" s="644"/>
      <c r="E179" s="644"/>
      <c r="F179" s="644"/>
      <c r="G179" s="644"/>
      <c r="H179" s="644"/>
      <c r="I179" s="644"/>
      <c r="J179" s="644"/>
      <c r="K179" s="644"/>
      <c r="L179" s="644"/>
      <c r="M179" s="644"/>
    </row>
    <row r="180" spans="1:13" x14ac:dyDescent="0.2">
      <c r="A180" s="542"/>
      <c r="B180" s="565" t="s">
        <v>153</v>
      </c>
      <c r="K180" s="644"/>
      <c r="L180" s="644"/>
      <c r="M180" s="644"/>
    </row>
    <row r="181" spans="1:13" x14ac:dyDescent="0.2">
      <c r="A181" s="540"/>
      <c r="B181" s="645" t="s">
        <v>154</v>
      </c>
      <c r="C181" s="608">
        <f>((+$Q$160*C147*1000)/C57)</f>
        <v>24.929324911505336</v>
      </c>
      <c r="D181" s="608">
        <f>((+$Q$160*D147*1000)/D57)</f>
        <v>14.587350707453458</v>
      </c>
      <c r="E181" s="608">
        <f>(+$Q$160*E147*1000)/SUMPRODUCT(E45:E56,E27:E38)</f>
        <v>61.991899789421105</v>
      </c>
      <c r="F181" s="608">
        <f>((+$Q$160*F147*1000)/F57)</f>
        <v>0</v>
      </c>
      <c r="G181" s="608">
        <f>((+$Q$160*G147*1000)/G57)</f>
        <v>0</v>
      </c>
      <c r="H181" s="608">
        <f>((+$Q$160*H147*1000)/H57)</f>
        <v>24.404169742898823</v>
      </c>
      <c r="I181" s="608">
        <f>((+$Q$160*I147*1000)/I57)</f>
        <v>0</v>
      </c>
      <c r="J181" s="608">
        <f>((+$Q$160*J147*1000)/J57)</f>
        <v>0</v>
      </c>
      <c r="K181" s="644"/>
      <c r="L181" s="644"/>
      <c r="M181" s="644"/>
    </row>
    <row r="182" spans="1:13" x14ac:dyDescent="0.2">
      <c r="A182" s="542"/>
      <c r="B182" s="565" t="s">
        <v>155</v>
      </c>
      <c r="C182" s="655">
        <f>(C147*$E$158*$E$152)/SUM(C50:C53)</f>
        <v>19.202785333192615</v>
      </c>
      <c r="D182" s="655">
        <f>(D147*$E$158*$E$152)/SUM(D50:D53)</f>
        <v>20.484500225739783</v>
      </c>
      <c r="E182" s="655">
        <f>(E147*$E$158*$E$152)/SUMPRODUCT(E50:E53,E32:E35)</f>
        <v>41.929759261786756</v>
      </c>
      <c r="F182" s="655">
        <f>(F147*$E$158*$E$152)/SUM(F50:F53)</f>
        <v>0</v>
      </c>
      <c r="G182" s="655">
        <f>(G147*$E$158*$E$152)/SUM(G50:G53)</f>
        <v>0</v>
      </c>
      <c r="H182" s="655">
        <f>(H147*$E$158*$E$152)/SUM(H50:H53)</f>
        <v>39.648418239832878</v>
      </c>
      <c r="I182" s="655">
        <f>(I147*$E$158*$E$152)/SUM(I50:I53)</f>
        <v>0</v>
      </c>
      <c r="J182" s="655">
        <f>(J147*$E$158*$E$152)/SUM(J50:J53)</f>
        <v>0</v>
      </c>
      <c r="K182" s="644"/>
      <c r="L182" s="644"/>
      <c r="M182" s="644"/>
    </row>
    <row r="183" spans="1:13" x14ac:dyDescent="0.2">
      <c r="A183" s="542"/>
      <c r="B183" s="565" t="s">
        <v>156</v>
      </c>
      <c r="C183" s="644">
        <f>(C147*$E$159*$E$153)/SUM(C45:C49,C54:C56)</f>
        <v>29.318980671759828</v>
      </c>
      <c r="D183" s="644">
        <f>(D147*$E$159*$E$153)/SUM(D45:D49,D54:D56)</f>
        <v>12.745230310518249</v>
      </c>
      <c r="E183" s="644">
        <f>(E147*$E$159*$E$153)/(SUMPRODUCT(E45:E49,E27:E31)+SUMPRODUCT(E54:E56,E36:E38))</f>
        <v>81.591865951137194</v>
      </c>
      <c r="F183" s="644">
        <f>(F147*$E$159*$E$153)/SUM(F45:F49,F54:F56)</f>
        <v>0</v>
      </c>
      <c r="G183" s="644">
        <f>(G147*$E$159*$E$153)/SUM(G45:G49,G54:G56)</f>
        <v>0</v>
      </c>
      <c r="H183" s="644">
        <f>(H147*$E$159*$E$153)/SUM(H45:H49,H54:H56)</f>
        <v>20.455553359404224</v>
      </c>
      <c r="I183" s="644">
        <f>(I147*$E$159*$E$153)/SUM(I45:I49,I54:I56)</f>
        <v>0</v>
      </c>
      <c r="J183" s="644">
        <f>(J147*$E$159*$E$153)/SUM(J45:J49,J54:J56)</f>
        <v>0</v>
      </c>
      <c r="K183" s="644"/>
      <c r="L183" s="644"/>
      <c r="M183" s="644"/>
    </row>
    <row r="184" spans="1:13" x14ac:dyDescent="0.2">
      <c r="A184" s="542"/>
      <c r="E184" s="656" t="s">
        <v>157</v>
      </c>
      <c r="F184" s="644"/>
      <c r="G184" s="644"/>
      <c r="H184" s="644"/>
      <c r="K184" s="644"/>
      <c r="L184" s="644"/>
      <c r="M184" s="644"/>
    </row>
    <row r="185" spans="1:13" x14ac:dyDescent="0.2">
      <c r="A185" s="542"/>
      <c r="E185" s="656" t="s">
        <v>158</v>
      </c>
      <c r="F185" s="644"/>
      <c r="G185" s="644"/>
      <c r="H185" s="644"/>
      <c r="K185" s="644"/>
      <c r="L185" s="644"/>
      <c r="M185" s="644"/>
    </row>
    <row r="186" spans="1:13" x14ac:dyDescent="0.2">
      <c r="A186" s="542"/>
    </row>
    <row r="187" spans="1:13" x14ac:dyDescent="0.2">
      <c r="A187" s="540" t="s">
        <v>73</v>
      </c>
      <c r="B187" s="530" t="s">
        <v>135</v>
      </c>
    </row>
    <row r="188" spans="1:13" x14ac:dyDescent="0.2">
      <c r="A188" s="542"/>
      <c r="B188" s="530"/>
      <c r="K188" s="657"/>
    </row>
    <row r="189" spans="1:13" x14ac:dyDescent="0.2">
      <c r="A189" s="542"/>
      <c r="B189" s="530" t="s">
        <v>41</v>
      </c>
    </row>
    <row r="190" spans="1:13" x14ac:dyDescent="0.2">
      <c r="A190" s="542"/>
      <c r="B190" s="539" t="s">
        <v>88</v>
      </c>
    </row>
    <row r="191" spans="1:13" x14ac:dyDescent="0.2">
      <c r="A191" s="542"/>
      <c r="B191" s="539" t="s">
        <v>40</v>
      </c>
    </row>
    <row r="192" spans="1:13" x14ac:dyDescent="0.2">
      <c r="A192" s="542"/>
      <c r="C192" s="536" t="str">
        <f t="shared" ref="C192:J192" si="61">+C7</f>
        <v>RS</v>
      </c>
      <c r="D192" s="536" t="str">
        <f t="shared" si="61"/>
        <v>RHS</v>
      </c>
      <c r="E192" s="536" t="str">
        <f t="shared" si="61"/>
        <v>RLM</v>
      </c>
      <c r="F192" s="536" t="str">
        <f t="shared" si="61"/>
        <v>WH</v>
      </c>
      <c r="G192" s="536" t="str">
        <f t="shared" si="61"/>
        <v>WHS</v>
      </c>
      <c r="H192" s="536" t="str">
        <f t="shared" si="61"/>
        <v>HS</v>
      </c>
      <c r="I192" s="536" t="str">
        <f t="shared" si="61"/>
        <v>PSAL</v>
      </c>
      <c r="J192" s="536" t="str">
        <f t="shared" si="61"/>
        <v>BPL</v>
      </c>
    </row>
    <row r="193" spans="1:11" x14ac:dyDescent="0.2">
      <c r="A193" s="542"/>
      <c r="C193" s="536"/>
      <c r="D193" s="536"/>
      <c r="E193" s="608"/>
      <c r="F193" s="536"/>
      <c r="G193" s="536"/>
    </row>
    <row r="194" spans="1:11" x14ac:dyDescent="0.2">
      <c r="A194" s="542"/>
      <c r="B194" s="548" t="s">
        <v>23</v>
      </c>
      <c r="C194" s="608">
        <f>+C130+($D$171*C80)+C$178+C181</f>
        <v>106.46495172779994</v>
      </c>
      <c r="D194" s="608">
        <f>+D130+($D$171*D80)+D$178+D181</f>
        <v>81.425971207144016</v>
      </c>
      <c r="E194" s="608"/>
      <c r="F194" s="608">
        <f>+F130+($D$171*F80)+F$178+F181</f>
        <v>45.871183802718605</v>
      </c>
      <c r="G194" s="608">
        <f>+G130+($D$171*G80)+G$178+G181</f>
        <v>45.978024625944443</v>
      </c>
      <c r="H194" s="608">
        <f>+H130+($D$171*H80)+H$178+H181</f>
        <v>106.85032398417965</v>
      </c>
      <c r="I194" s="608">
        <f>+I130+($D$171*I80)+I$178+I181</f>
        <v>42.284038742913992</v>
      </c>
      <c r="J194" s="608">
        <f>+J130+($D$171*J80)+J$178+J181</f>
        <v>42.324252147776996</v>
      </c>
      <c r="K194" s="608"/>
    </row>
    <row r="195" spans="1:11" x14ac:dyDescent="0.2">
      <c r="A195" s="542"/>
      <c r="B195" s="609" t="s">
        <v>84</v>
      </c>
      <c r="C195" s="608"/>
      <c r="D195" s="608"/>
      <c r="E195" s="608">
        <f>+E131+($D$171*E80)+E$178+E181</f>
        <v>203.38798153491729</v>
      </c>
      <c r="F195" s="608"/>
      <c r="G195" s="608"/>
      <c r="H195" s="608"/>
      <c r="I195" s="608"/>
      <c r="J195" s="608"/>
    </row>
    <row r="196" spans="1:11" x14ac:dyDescent="0.2">
      <c r="A196" s="542"/>
      <c r="B196" s="609" t="s">
        <v>85</v>
      </c>
      <c r="C196" s="608"/>
      <c r="D196" s="608"/>
      <c r="E196" s="608">
        <f>+E132+($D$171*E80)</f>
        <v>40.590472321810779</v>
      </c>
      <c r="F196" s="608"/>
      <c r="G196" s="608"/>
      <c r="H196" s="608"/>
      <c r="I196" s="608"/>
      <c r="J196" s="608"/>
    </row>
    <row r="197" spans="1:11" x14ac:dyDescent="0.2">
      <c r="A197" s="542"/>
      <c r="B197" s="645" t="s">
        <v>161</v>
      </c>
      <c r="C197" s="608">
        <f>(C194*SUM(C50:C53)-C166*10*C164*SUM(C50:C53))/SUM(C50:C53)</f>
        <v>103.40214372779995</v>
      </c>
      <c r="D197" s="608">
        <f>(D194*SUM(D50:D53)-D166*10*D164*SUM(D50:D53))/SUM(D50:D53)</f>
        <v>77.504080207144</v>
      </c>
      <c r="E197" s="608"/>
      <c r="F197" s="608"/>
      <c r="G197" s="608"/>
      <c r="H197" s="608"/>
      <c r="I197" s="608"/>
      <c r="J197" s="608"/>
    </row>
    <row r="198" spans="1:11" x14ac:dyDescent="0.2">
      <c r="A198" s="542"/>
      <c r="B198" s="645" t="s">
        <v>160</v>
      </c>
      <c r="C198" s="608">
        <f>+C197+C166*10</f>
        <v>112.05414372779995</v>
      </c>
      <c r="D198" s="608">
        <f>+D197+D166*10</f>
        <v>89.073080207144002</v>
      </c>
      <c r="E198" s="608"/>
      <c r="F198" s="608"/>
      <c r="G198" s="608"/>
      <c r="H198" s="608"/>
      <c r="I198" s="608"/>
      <c r="J198" s="608"/>
    </row>
    <row r="199" spans="1:11" x14ac:dyDescent="0.2">
      <c r="A199" s="542"/>
      <c r="C199" s="608"/>
      <c r="D199" s="608"/>
      <c r="E199" s="608"/>
      <c r="F199" s="608"/>
      <c r="G199" s="608"/>
      <c r="H199" s="608"/>
      <c r="I199" s="608"/>
      <c r="J199" s="608"/>
    </row>
    <row r="200" spans="1:11" x14ac:dyDescent="0.2">
      <c r="A200" s="542"/>
      <c r="B200" s="548" t="s">
        <v>24</v>
      </c>
      <c r="C200" s="608">
        <f>+C134+($D$171*C80)+C$178+C181</f>
        <v>112.22639245633077</v>
      </c>
      <c r="D200" s="608">
        <f>+D134+($D$171*D80)+D$178+D181</f>
        <v>88.622272452645959</v>
      </c>
      <c r="E200" s="608"/>
      <c r="F200" s="608">
        <f>+F134+($D$171*F80)+F$178+F181</f>
        <v>51.829258150387489</v>
      </c>
      <c r="G200" s="608">
        <f>+G134+($D$171*G80)+G$178+G181</f>
        <v>52.305229097860661</v>
      </c>
      <c r="H200" s="608">
        <f>+H134+($D$171*H80)+H$178+H181</f>
        <v>113.53191272402103</v>
      </c>
      <c r="I200" s="608">
        <f>+I134+($D$171*I80)+I$178+I181</f>
        <v>50.195423693136838</v>
      </c>
      <c r="J200" s="608">
        <f>+J134+($D$171*J80)+J$178+J181</f>
        <v>50.465595020090106</v>
      </c>
      <c r="K200" s="608"/>
    </row>
    <row r="201" spans="1:11" x14ac:dyDescent="0.2">
      <c r="A201" s="542"/>
      <c r="B201" s="609" t="s">
        <v>84</v>
      </c>
      <c r="C201" s="608"/>
      <c r="D201" s="608"/>
      <c r="E201" s="608">
        <f>+E135+($D$171*E80)+E$178+E181</f>
        <v>207.0602675230524</v>
      </c>
      <c r="F201" s="608"/>
      <c r="G201" s="608"/>
      <c r="H201" s="608"/>
      <c r="I201" s="608"/>
      <c r="J201" s="608"/>
    </row>
    <row r="202" spans="1:11" x14ac:dyDescent="0.2">
      <c r="A202" s="542"/>
      <c r="B202" s="609" t="s">
        <v>85</v>
      </c>
      <c r="C202" s="608"/>
      <c r="D202" s="608"/>
      <c r="E202" s="608">
        <f>+E136+($D$171*E80)</f>
        <v>48.66072484171255</v>
      </c>
      <c r="F202" s="608"/>
      <c r="G202" s="608"/>
      <c r="H202" s="608"/>
      <c r="I202" s="608"/>
      <c r="J202" s="608"/>
    </row>
    <row r="203" spans="1:11" x14ac:dyDescent="0.2">
      <c r="A203" s="542"/>
      <c r="C203" s="608"/>
      <c r="D203" s="608"/>
      <c r="E203" s="608"/>
      <c r="F203" s="608"/>
      <c r="G203" s="608"/>
      <c r="H203" s="608"/>
      <c r="I203" s="608"/>
      <c r="J203" s="608"/>
    </row>
    <row r="204" spans="1:11" x14ac:dyDescent="0.2">
      <c r="A204" s="542"/>
      <c r="B204" s="535" t="s">
        <v>112</v>
      </c>
      <c r="C204" s="608">
        <f>+C138+($D$171*C80)+C$178+C181</f>
        <v>109.72636743358913</v>
      </c>
      <c r="D204" s="608">
        <f>+D138+($D$171*D80)+D$178+D181</f>
        <v>86.909390817550545</v>
      </c>
      <c r="E204" s="608">
        <f>((E195*SUMPRODUCT(E32:E35,E50:E53)+E196*SUMPRODUCT(Q32:Q35,E50:E53))+(E201*(SUMPRODUCT(E27:E31,E45:E49)+SUMPRODUCT(E36:E38,E54:E56))+E202*(SUMPRODUCT(Q27:Q31,E45:E49)+SUMPRODUCT(Q36:Q38,E54:E56))))/E57</f>
        <v>117.87434187962978</v>
      </c>
      <c r="F204" s="608">
        <f>+F138+($D$171*F80)+F$178+F181</f>
        <v>50.283024426894258</v>
      </c>
      <c r="G204" s="608">
        <f>+G138+($D$171*G80)+G$178+G181</f>
        <v>50.816475104468608</v>
      </c>
      <c r="H204" s="608">
        <f>+H138+($D$171*H80)+H$178+H181</f>
        <v>112.15728569828639</v>
      </c>
      <c r="I204" s="608">
        <f>+I138+($D$171*I80)+I$178+I181</f>
        <v>48.011652201771895</v>
      </c>
      <c r="J204" s="608">
        <f>+J138+($D$171*J80)+J$178+J181</f>
        <v>48.341240360369738</v>
      </c>
      <c r="K204" s="608"/>
    </row>
    <row r="205" spans="1:11" x14ac:dyDescent="0.2">
      <c r="A205" s="542"/>
      <c r="C205" s="608"/>
      <c r="D205" s="608"/>
      <c r="E205" s="608"/>
      <c r="F205" s="608"/>
      <c r="G205" s="608"/>
      <c r="H205" s="608"/>
      <c r="I205" s="608"/>
      <c r="J205" s="608"/>
      <c r="K205" s="608"/>
    </row>
    <row r="206" spans="1:11" x14ac:dyDescent="0.2">
      <c r="A206" s="542"/>
      <c r="B206" s="530" t="s">
        <v>32</v>
      </c>
    </row>
    <row r="207" spans="1:11" x14ac:dyDescent="0.2">
      <c r="A207" s="542"/>
      <c r="B207" s="539" t="s">
        <v>89</v>
      </c>
    </row>
    <row r="208" spans="1:11" x14ac:dyDescent="0.2">
      <c r="A208" s="542"/>
      <c r="B208" s="539" t="s">
        <v>40</v>
      </c>
    </row>
    <row r="209" spans="1:15" x14ac:dyDescent="0.2">
      <c r="A209" s="542"/>
      <c r="C209" s="536" t="str">
        <f>+K7</f>
        <v>GLP</v>
      </c>
      <c r="D209" s="536" t="str">
        <f>+L7</f>
        <v>LPL-S</v>
      </c>
      <c r="E209" s="536"/>
      <c r="H209" s="530" t="s">
        <v>31</v>
      </c>
      <c r="I209" s="536" t="str">
        <f>+C209</f>
        <v>GLP</v>
      </c>
      <c r="J209" s="536" t="str">
        <f>+D209</f>
        <v>LPL-S</v>
      </c>
    </row>
    <row r="210" spans="1:15" x14ac:dyDescent="0.2">
      <c r="A210" s="542"/>
      <c r="C210" s="536"/>
      <c r="D210" s="536"/>
      <c r="F210" s="530"/>
    </row>
    <row r="211" spans="1:15" x14ac:dyDescent="0.2">
      <c r="A211" s="542"/>
      <c r="B211" s="548" t="s">
        <v>23</v>
      </c>
      <c r="C211" s="608">
        <f>+K130+($D$171*K80)</f>
        <v>47.037884396272943</v>
      </c>
      <c r="D211" s="608">
        <f>+L130+($D$171*L$80)</f>
        <v>46.617975521049281</v>
      </c>
      <c r="E211" s="643"/>
      <c r="H211" s="658" t="s">
        <v>28</v>
      </c>
    </row>
    <row r="212" spans="1:15" x14ac:dyDescent="0.2">
      <c r="A212" s="542"/>
      <c r="B212" s="609" t="s">
        <v>84</v>
      </c>
      <c r="C212" s="608"/>
      <c r="D212" s="608">
        <f>+L131+($D$171*L$80)</f>
        <v>52.604236406891332</v>
      </c>
      <c r="H212" s="565" t="s">
        <v>47</v>
      </c>
      <c r="I212" s="659">
        <f>+$E158*$E152/$H152/1000</f>
        <v>5.4930500000000002</v>
      </c>
      <c r="J212" s="659">
        <f>+$E158*$E152/$H152/1000</f>
        <v>5.4930500000000002</v>
      </c>
      <c r="K212" s="602" t="s">
        <v>51</v>
      </c>
      <c r="O212" s="660"/>
    </row>
    <row r="213" spans="1:15" x14ac:dyDescent="0.2">
      <c r="A213" s="542"/>
      <c r="B213" s="609" t="s">
        <v>85</v>
      </c>
      <c r="C213" s="608"/>
      <c r="D213" s="608">
        <f>+L132+($D$171*L$80)</f>
        <v>40.509301289213454</v>
      </c>
      <c r="H213" s="565" t="s">
        <v>48</v>
      </c>
      <c r="I213" s="659">
        <f>+$E159*$E153/$H153/1000</f>
        <v>5.4705374999999998</v>
      </c>
      <c r="J213" s="659">
        <f>+$E159*$E153/$H153/1000</f>
        <v>5.4705374999999998</v>
      </c>
      <c r="K213" s="602" t="s">
        <v>51</v>
      </c>
    </row>
    <row r="214" spans="1:15" x14ac:dyDescent="0.2">
      <c r="A214" s="542"/>
      <c r="C214" s="608"/>
      <c r="D214" s="608"/>
      <c r="H214" s="565" t="s">
        <v>318</v>
      </c>
      <c r="I214" s="659">
        <f>($E$158*$E$152+$E$159*$E$153)/$H$154/1000</f>
        <v>5.4780416666666669</v>
      </c>
      <c r="J214" s="659">
        <f>($E$158*$E$152+$E$159*$E$153)/$H$154/1000</f>
        <v>5.4780416666666669</v>
      </c>
      <c r="K214" s="602" t="s">
        <v>51</v>
      </c>
    </row>
    <row r="215" spans="1:15" x14ac:dyDescent="0.2">
      <c r="A215" s="542"/>
      <c r="B215" s="548" t="s">
        <v>24</v>
      </c>
      <c r="C215" s="608">
        <f>+K134+($D$171*K80)</f>
        <v>52.249395985365993</v>
      </c>
      <c r="D215" s="608">
        <f>+L134+($D$171*L$80)</f>
        <v>52.005034209373235</v>
      </c>
    </row>
    <row r="216" spans="1:15" x14ac:dyDescent="0.2">
      <c r="A216" s="542"/>
      <c r="B216" s="609" t="s">
        <v>84</v>
      </c>
      <c r="C216" s="608"/>
      <c r="D216" s="608">
        <f>+L135+($D$171*L$80)</f>
        <v>55.903355178196861</v>
      </c>
      <c r="H216" s="658" t="s">
        <v>29</v>
      </c>
      <c r="I216" s="661"/>
      <c r="J216" s="661"/>
      <c r="K216" s="602"/>
    </row>
    <row r="217" spans="1:15" x14ac:dyDescent="0.2">
      <c r="A217" s="542"/>
      <c r="B217" s="609" t="s">
        <v>85</v>
      </c>
      <c r="C217" s="608"/>
      <c r="D217" s="608">
        <f>+L136+($D$171*L$80)</f>
        <v>48.259815556301497</v>
      </c>
      <c r="H217" s="565" t="s">
        <v>49</v>
      </c>
      <c r="I217" s="659">
        <f>+$D155/1000/12</f>
        <v>8.6259075000000003</v>
      </c>
      <c r="J217" s="659">
        <f>+$D155/1000/12</f>
        <v>8.6259075000000003</v>
      </c>
      <c r="K217" s="602" t="s">
        <v>52</v>
      </c>
    </row>
    <row r="218" spans="1:15" x14ac:dyDescent="0.2">
      <c r="A218" s="542"/>
      <c r="B218" s="609"/>
      <c r="C218" s="608"/>
      <c r="D218" s="608"/>
    </row>
    <row r="219" spans="1:15" x14ac:dyDescent="0.2">
      <c r="A219" s="542"/>
      <c r="B219" s="535" t="s">
        <v>114</v>
      </c>
      <c r="C219" s="608">
        <f>+K138+($D$171*K80)</f>
        <v>50.328577045742513</v>
      </c>
      <c r="D219" s="608">
        <f>+L138+($D$171*L$80)</f>
        <v>50.063358740044663</v>
      </c>
    </row>
    <row r="220" spans="1:15" x14ac:dyDescent="0.2">
      <c r="A220" s="542"/>
      <c r="C220" s="608"/>
      <c r="D220" s="608"/>
    </row>
    <row r="221" spans="1:15" x14ac:dyDescent="0.2">
      <c r="A221" s="542"/>
      <c r="B221" s="662" t="s">
        <v>119</v>
      </c>
      <c r="C221" s="608"/>
      <c r="D221" s="608"/>
    </row>
    <row r="222" spans="1:15" x14ac:dyDescent="0.2">
      <c r="A222" s="542"/>
      <c r="B222" s="548" t="s">
        <v>23</v>
      </c>
      <c r="C222" s="608">
        <f>(C211*W49+((I214*$H152)*K147*1000)+(I217*$H152*K149*1000))/W49</f>
        <v>90.705289271948715</v>
      </c>
      <c r="D222" s="608">
        <f>(D211*X49+((J214*$H152)*L147*1000)+(J217*$H152*L149*1000))/X49</f>
        <v>77.431547657724508</v>
      </c>
      <c r="F222" s="535" t="s">
        <v>122</v>
      </c>
    </row>
    <row r="223" spans="1:15" x14ac:dyDescent="0.2">
      <c r="A223" s="542"/>
      <c r="B223" s="609" t="s">
        <v>84</v>
      </c>
      <c r="C223" s="608"/>
      <c r="D223" s="608">
        <f>(D212*X50+((J214*$H152)*L147*1000)+(J217*$H152*L149*1000))/X50</f>
        <v>113.61389932109303</v>
      </c>
    </row>
    <row r="224" spans="1:15" x14ac:dyDescent="0.2">
      <c r="A224" s="542"/>
      <c r="B224" s="609" t="s">
        <v>85</v>
      </c>
      <c r="C224" s="608"/>
      <c r="D224" s="608">
        <f>+D213</f>
        <v>40.509301289213454</v>
      </c>
    </row>
    <row r="225" spans="1:7" x14ac:dyDescent="0.2">
      <c r="A225" s="542"/>
      <c r="C225" s="608"/>
      <c r="D225" s="608"/>
    </row>
    <row r="226" spans="1:7" x14ac:dyDescent="0.2">
      <c r="A226" s="542"/>
      <c r="B226" s="548" t="s">
        <v>24</v>
      </c>
      <c r="C226" s="608">
        <f>(C215*W45+((I214*$H153)*K147*1000)+(I217*$H153*K149*1000))/W45</f>
        <v>103.22782956403817</v>
      </c>
      <c r="D226" s="608">
        <f>(D215*X45+((J214*$H153)*L147*1000)+(J217*$H153*L149*1000))/X45</f>
        <v>86.735543611235471</v>
      </c>
    </row>
    <row r="227" spans="1:7" x14ac:dyDescent="0.2">
      <c r="A227" s="542"/>
      <c r="B227" s="609" t="s">
        <v>84</v>
      </c>
      <c r="C227" s="608"/>
      <c r="D227" s="608">
        <f>(D216*X46+((J214*$H153)*L147*1000)+(J217*$H153*L149*1000))/X46</f>
        <v>126.78413659372708</v>
      </c>
    </row>
    <row r="228" spans="1:7" x14ac:dyDescent="0.2">
      <c r="A228" s="542"/>
      <c r="B228" s="609" t="s">
        <v>85</v>
      </c>
      <c r="C228" s="608"/>
      <c r="D228" s="608">
        <f>+D217</f>
        <v>48.259815556301497</v>
      </c>
    </row>
    <row r="229" spans="1:7" x14ac:dyDescent="0.2">
      <c r="A229" s="542"/>
      <c r="B229" s="609"/>
      <c r="C229" s="608"/>
      <c r="D229" s="608"/>
    </row>
    <row r="230" spans="1:7" x14ac:dyDescent="0.2">
      <c r="A230" s="542"/>
      <c r="B230" s="535" t="s">
        <v>109</v>
      </c>
      <c r="C230" s="608">
        <f>(C219*K57+((I214*$H152+I214*$H153)*K147*1000)+(I217*$H154*K149*1000))/K57</f>
        <v>98.612367782165876</v>
      </c>
      <c r="D230" s="608">
        <f>(D219*L57+((J214*$H152+J214*$H153)*L147*1000)+(J217*$H154*L149*1000))/L57</f>
        <v>83.382073423724833</v>
      </c>
    </row>
    <row r="231" spans="1:7" x14ac:dyDescent="0.2">
      <c r="A231" s="542"/>
      <c r="C231" s="614"/>
      <c r="D231" s="614"/>
    </row>
    <row r="232" spans="1:7" x14ac:dyDescent="0.2">
      <c r="A232" s="542"/>
      <c r="B232" s="530" t="s">
        <v>108</v>
      </c>
      <c r="C232" s="608"/>
      <c r="D232" s="608"/>
    </row>
    <row r="233" spans="1:7" x14ac:dyDescent="0.2">
      <c r="A233" s="542"/>
      <c r="B233" s="565" t="s">
        <v>59</v>
      </c>
      <c r="C233" s="618">
        <f>(+SUMPRODUCT(C204:J204,C57:J57)+SUMPRODUCT(C230:D230,K57:L57))/1000</f>
        <v>2464001.2063649758</v>
      </c>
      <c r="G233" s="613"/>
    </row>
    <row r="234" spans="1:7" x14ac:dyDescent="0.2">
      <c r="A234" s="542"/>
      <c r="C234" s="565" t="s">
        <v>141</v>
      </c>
      <c r="D234" s="644">
        <f>+C233/SUM(C57:L57)*1000</f>
        <v>100.38195102550087</v>
      </c>
      <c r="E234" s="535" t="s">
        <v>44</v>
      </c>
    </row>
    <row r="235" spans="1:7" x14ac:dyDescent="0.2">
      <c r="A235" s="542"/>
      <c r="C235" s="565" t="s">
        <v>306</v>
      </c>
      <c r="D235" s="644">
        <f>+C233/SUMPRODUCT(C57:L57,C85:L85)*1000</f>
        <v>95.09684856940747</v>
      </c>
      <c r="E235" s="535" t="s">
        <v>290</v>
      </c>
    </row>
    <row r="236" spans="1:7" x14ac:dyDescent="0.2">
      <c r="A236" s="542"/>
    </row>
    <row r="237" spans="1:7" x14ac:dyDescent="0.2">
      <c r="A237" s="542"/>
      <c r="E237" s="661"/>
    </row>
    <row r="238" spans="1:7" x14ac:dyDescent="0.2">
      <c r="A238" s="540" t="s">
        <v>92</v>
      </c>
      <c r="B238" s="530" t="s">
        <v>291</v>
      </c>
    </row>
    <row r="239" spans="1:7" x14ac:dyDescent="0.2">
      <c r="A239" s="542"/>
      <c r="B239" s="530"/>
    </row>
    <row r="240" spans="1:7" x14ac:dyDescent="0.2">
      <c r="A240" s="542"/>
      <c r="B240" s="530" t="s">
        <v>41</v>
      </c>
    </row>
    <row r="241" spans="1:13" x14ac:dyDescent="0.2">
      <c r="A241" s="542"/>
      <c r="B241" s="539" t="s">
        <v>88</v>
      </c>
    </row>
    <row r="242" spans="1:13" x14ac:dyDescent="0.2">
      <c r="A242" s="542"/>
      <c r="B242" s="530"/>
    </row>
    <row r="243" spans="1:13" x14ac:dyDescent="0.2">
      <c r="A243" s="542"/>
      <c r="C243" s="536" t="str">
        <f t="shared" ref="C243:J243" si="62">+C7</f>
        <v>RS</v>
      </c>
      <c r="D243" s="536" t="str">
        <f t="shared" si="62"/>
        <v>RHS</v>
      </c>
      <c r="E243" s="536" t="str">
        <f t="shared" si="62"/>
        <v>RLM</v>
      </c>
      <c r="F243" s="536" t="str">
        <f t="shared" si="62"/>
        <v>WH</v>
      </c>
      <c r="G243" s="536" t="str">
        <f t="shared" si="62"/>
        <v>WHS</v>
      </c>
      <c r="H243" s="536" t="str">
        <f t="shared" si="62"/>
        <v>HS</v>
      </c>
      <c r="I243" s="536" t="str">
        <f t="shared" si="62"/>
        <v>PSAL</v>
      </c>
      <c r="J243" s="536" t="str">
        <f t="shared" si="62"/>
        <v>BPL</v>
      </c>
    </row>
    <row r="244" spans="1:13" x14ac:dyDescent="0.2">
      <c r="A244" s="542"/>
      <c r="C244" s="536"/>
      <c r="D244" s="536"/>
      <c r="E244" s="536"/>
      <c r="F244" s="536"/>
      <c r="G244" s="536"/>
    </row>
    <row r="245" spans="1:13" x14ac:dyDescent="0.2">
      <c r="A245" s="542"/>
      <c r="B245" s="548" t="s">
        <v>23</v>
      </c>
      <c r="E245" s="663"/>
      <c r="F245" s="148">
        <f>ROUND(+F194/$D$235,3)</f>
        <v>0.48199999999999998</v>
      </c>
      <c r="G245" s="148">
        <f>ROUND(+G194/$D$235,3)</f>
        <v>0.48299999999999998</v>
      </c>
      <c r="H245" s="148">
        <f>ROUND(+H194/$D$235,3)</f>
        <v>1.1240000000000001</v>
      </c>
      <c r="I245" s="663">
        <f>ROUND(+I194/$D$235,3)</f>
        <v>0.44500000000000001</v>
      </c>
      <c r="J245" s="663">
        <f>ROUND(+J194/$D$235,3)</f>
        <v>0.44500000000000001</v>
      </c>
      <c r="K245" s="664"/>
      <c r="L245" s="664"/>
      <c r="M245" s="664"/>
    </row>
    <row r="246" spans="1:13" x14ac:dyDescent="0.2">
      <c r="A246" s="542"/>
      <c r="B246" s="609" t="s">
        <v>84</v>
      </c>
      <c r="C246" s="149"/>
      <c r="D246" s="665"/>
      <c r="E246" s="148">
        <f>ROUND(+E195/$D$235,3)</f>
        <v>2.1389999999999998</v>
      </c>
      <c r="F246" s="663"/>
      <c r="G246" s="663"/>
      <c r="H246" s="663"/>
      <c r="I246" s="537"/>
      <c r="J246" s="666" t="s">
        <v>168</v>
      </c>
      <c r="K246" s="664"/>
      <c r="L246" s="664"/>
      <c r="M246" s="664"/>
    </row>
    <row r="247" spans="1:13" x14ac:dyDescent="0.2">
      <c r="A247" s="542"/>
      <c r="B247" s="609" t="s">
        <v>85</v>
      </c>
      <c r="C247" s="149"/>
      <c r="D247" s="665"/>
      <c r="E247" s="148">
        <f>ROUND(+E196/$D$235,3)</f>
        <v>0.42699999999999999</v>
      </c>
      <c r="F247" s="663"/>
      <c r="G247" s="663"/>
      <c r="H247" s="667"/>
      <c r="I247" s="537"/>
      <c r="J247" s="666" t="s">
        <v>169</v>
      </c>
      <c r="K247" s="668">
        <f>ROUND((I245*U49+J245*V49)/(U49+V49),3)</f>
        <v>0.44500000000000001</v>
      </c>
      <c r="L247" s="664"/>
      <c r="M247" s="664"/>
    </row>
    <row r="248" spans="1:13" x14ac:dyDescent="0.2">
      <c r="A248" s="542"/>
      <c r="E248" s="149"/>
      <c r="F248" s="665"/>
      <c r="G248" s="665"/>
      <c r="L248" s="664"/>
      <c r="M248" s="664"/>
    </row>
    <row r="249" spans="1:13" x14ac:dyDescent="0.2">
      <c r="A249" s="542"/>
      <c r="B249" s="669" t="s">
        <v>165</v>
      </c>
      <c r="C249" s="148">
        <f>ROUND(+C194/$D$235,3)</f>
        <v>1.1200000000000001</v>
      </c>
      <c r="D249" s="148">
        <f>ROUND(+D194/$D$235,3)</f>
        <v>0.85599999999999998</v>
      </c>
      <c r="E249" s="149"/>
      <c r="F249" s="665"/>
      <c r="G249" s="665"/>
      <c r="H249" s="665"/>
      <c r="I249" s="665"/>
      <c r="J249" s="665"/>
      <c r="K249" s="664"/>
      <c r="L249" s="664"/>
      <c r="M249" s="664"/>
    </row>
    <row r="250" spans="1:13" x14ac:dyDescent="0.2">
      <c r="A250" s="540"/>
      <c r="B250" s="669" t="s">
        <v>173</v>
      </c>
      <c r="C250" s="153">
        <f>ROUND(+C197-C194,3)</f>
        <v>-3.0630000000000002</v>
      </c>
      <c r="D250" s="153">
        <f>ROUND(D197-D194,3)</f>
        <v>-3.9220000000000002</v>
      </c>
      <c r="E250" s="652" t="s">
        <v>166</v>
      </c>
      <c r="F250" s="665"/>
      <c r="G250" s="665"/>
      <c r="H250" s="665"/>
      <c r="I250" s="665"/>
      <c r="J250" s="665"/>
      <c r="K250" s="664"/>
      <c r="L250" s="664"/>
      <c r="M250" s="664"/>
    </row>
    <row r="251" spans="1:13" x14ac:dyDescent="0.2">
      <c r="A251" s="540"/>
      <c r="B251" s="669" t="s">
        <v>173</v>
      </c>
      <c r="C251" s="153">
        <f>ROUND(+C198-C194,3)</f>
        <v>5.5890000000000004</v>
      </c>
      <c r="D251" s="153">
        <f>ROUND(D198-D194,3)</f>
        <v>7.6470000000000002</v>
      </c>
      <c r="E251" s="652" t="s">
        <v>167</v>
      </c>
      <c r="F251" s="665"/>
      <c r="G251" s="665"/>
      <c r="H251" s="665"/>
      <c r="I251" s="665"/>
      <c r="J251" s="665"/>
      <c r="K251" s="664"/>
      <c r="L251" s="664"/>
      <c r="M251" s="664"/>
    </row>
    <row r="252" spans="1:13" x14ac:dyDescent="0.2">
      <c r="A252" s="542"/>
      <c r="G252" s="665"/>
      <c r="H252" s="665"/>
      <c r="I252" s="665"/>
      <c r="J252" s="665"/>
      <c r="K252" s="664"/>
      <c r="L252" s="664"/>
      <c r="M252" s="664"/>
    </row>
    <row r="253" spans="1:13" x14ac:dyDescent="0.2">
      <c r="A253" s="542"/>
      <c r="H253" s="665"/>
      <c r="I253" s="665"/>
      <c r="J253" s="665"/>
      <c r="K253" s="664"/>
      <c r="L253" s="664"/>
      <c r="M253" s="664"/>
    </row>
    <row r="254" spans="1:13" x14ac:dyDescent="0.2">
      <c r="A254" s="542"/>
      <c r="C254" s="665"/>
      <c r="D254" s="665"/>
      <c r="E254" s="665"/>
      <c r="F254" s="665"/>
      <c r="G254" s="665"/>
      <c r="H254" s="665"/>
      <c r="I254" s="665"/>
      <c r="J254" s="665"/>
      <c r="K254" s="664"/>
      <c r="L254" s="664"/>
      <c r="M254" s="664"/>
    </row>
    <row r="255" spans="1:13" x14ac:dyDescent="0.2">
      <c r="A255" s="542"/>
      <c r="B255" s="548" t="s">
        <v>24</v>
      </c>
      <c r="C255" s="148">
        <f>ROUND(+C200/$D$235,3)</f>
        <v>1.18</v>
      </c>
      <c r="D255" s="148">
        <f>ROUND(+D200/$D$235,3)</f>
        <v>0.93200000000000005</v>
      </c>
      <c r="E255" s="663"/>
      <c r="F255" s="148">
        <f>ROUND(+F200/$D$235,3)</f>
        <v>0.54500000000000004</v>
      </c>
      <c r="G255" s="148">
        <f>ROUND(+G200/$D$235,3)</f>
        <v>0.55000000000000004</v>
      </c>
      <c r="H255" s="148">
        <f>ROUND(+H200/$D$235,3)</f>
        <v>1.194</v>
      </c>
      <c r="I255" s="663">
        <f>ROUND(+I200/$D$235,3)</f>
        <v>0.52800000000000002</v>
      </c>
      <c r="J255" s="663">
        <f>ROUND(+J200/$D$235,3)</f>
        <v>0.53100000000000003</v>
      </c>
      <c r="K255" s="664"/>
      <c r="L255" s="664"/>
      <c r="M255" s="664"/>
    </row>
    <row r="256" spans="1:13" x14ac:dyDescent="0.2">
      <c r="A256" s="542"/>
      <c r="B256" s="609" t="s">
        <v>84</v>
      </c>
      <c r="C256" s="665"/>
      <c r="D256" s="665"/>
      <c r="E256" s="148">
        <f>ROUND(+E201/$D$235,3)</f>
        <v>2.177</v>
      </c>
      <c r="F256" s="665"/>
      <c r="G256" s="665"/>
      <c r="H256" s="665"/>
      <c r="J256" s="666" t="s">
        <v>168</v>
      </c>
      <c r="K256" s="664"/>
      <c r="L256" s="664"/>
      <c r="M256" s="664"/>
    </row>
    <row r="257" spans="1:13" x14ac:dyDescent="0.2">
      <c r="A257" s="542"/>
      <c r="B257" s="609" t="s">
        <v>85</v>
      </c>
      <c r="C257" s="665"/>
      <c r="D257" s="665"/>
      <c r="E257" s="148">
        <f>ROUND(+E202/$D$235,3)</f>
        <v>0.51200000000000001</v>
      </c>
      <c r="F257" s="665"/>
      <c r="G257" s="665"/>
      <c r="J257" s="666" t="s">
        <v>169</v>
      </c>
      <c r="K257" s="668">
        <f>ROUND((I255*U45+J255*V45)/(U45+V45),3)</f>
        <v>0.53</v>
      </c>
      <c r="L257" s="664"/>
      <c r="M257" s="664"/>
    </row>
    <row r="258" spans="1:13" x14ac:dyDescent="0.2">
      <c r="A258" s="542"/>
      <c r="C258" s="670"/>
      <c r="D258" s="670"/>
      <c r="E258" s="670"/>
      <c r="F258" s="670"/>
      <c r="G258" s="670"/>
      <c r="K258" s="664"/>
      <c r="L258" s="664"/>
      <c r="M258" s="664"/>
    </row>
    <row r="259" spans="1:13" x14ac:dyDescent="0.2">
      <c r="A259" s="542"/>
      <c r="B259" s="535" t="s">
        <v>113</v>
      </c>
      <c r="C259" s="671">
        <f>ROUND(+C204/$D$235,3)</f>
        <v>1.1539999999999999</v>
      </c>
      <c r="D259" s="671">
        <f t="shared" ref="D259:J259" si="63">ROUND(+D204/$D$235,3)</f>
        <v>0.91400000000000003</v>
      </c>
      <c r="E259" s="671">
        <f t="shared" si="63"/>
        <v>1.24</v>
      </c>
      <c r="F259" s="671">
        <f t="shared" si="63"/>
        <v>0.52900000000000003</v>
      </c>
      <c r="G259" s="671">
        <f t="shared" si="63"/>
        <v>0.53400000000000003</v>
      </c>
      <c r="H259" s="671">
        <f t="shared" si="63"/>
        <v>1.179</v>
      </c>
      <c r="I259" s="671">
        <f t="shared" si="63"/>
        <v>0.505</v>
      </c>
      <c r="J259" s="671">
        <f t="shared" si="63"/>
        <v>0.50800000000000001</v>
      </c>
      <c r="K259" s="664"/>
      <c r="L259" s="664"/>
      <c r="M259" s="664"/>
    </row>
    <row r="260" spans="1:13" x14ac:dyDescent="0.2">
      <c r="A260" s="542"/>
    </row>
    <row r="261" spans="1:13" x14ac:dyDescent="0.2">
      <c r="A261" s="542"/>
    </row>
    <row r="262" spans="1:13" x14ac:dyDescent="0.2">
      <c r="A262" s="542"/>
      <c r="B262" s="530" t="s">
        <v>32</v>
      </c>
    </row>
    <row r="263" spans="1:13" x14ac:dyDescent="0.2">
      <c r="A263" s="542"/>
      <c r="B263" s="539" t="s">
        <v>89</v>
      </c>
    </row>
    <row r="264" spans="1:13" x14ac:dyDescent="0.2">
      <c r="A264" s="542"/>
      <c r="B264" s="537"/>
    </row>
    <row r="265" spans="1:13" x14ac:dyDescent="0.2">
      <c r="A265" s="542"/>
      <c r="C265" s="536" t="str">
        <f>+K7</f>
        <v>GLP</v>
      </c>
      <c r="D265" s="536" t="str">
        <f>+C265</f>
        <v>GLP</v>
      </c>
      <c r="E265" s="536" t="str">
        <f>+L7</f>
        <v>LPL-S</v>
      </c>
      <c r="F265" s="536" t="str">
        <f>+E265</f>
        <v>LPL-S</v>
      </c>
      <c r="H265" s="530" t="s">
        <v>31</v>
      </c>
    </row>
    <row r="266" spans="1:13" ht="25.5" x14ac:dyDescent="0.2">
      <c r="A266" s="542"/>
      <c r="C266" s="536" t="s">
        <v>123</v>
      </c>
      <c r="D266" s="672" t="s">
        <v>173</v>
      </c>
      <c r="E266" s="536" t="s">
        <v>123</v>
      </c>
      <c r="F266" s="672" t="s">
        <v>173</v>
      </c>
    </row>
    <row r="267" spans="1:13" x14ac:dyDescent="0.2">
      <c r="A267" s="542"/>
      <c r="B267" s="548" t="s">
        <v>23</v>
      </c>
      <c r="C267" s="148">
        <f>ROUND(+C222/$D$235,3)</f>
        <v>0.95399999999999996</v>
      </c>
      <c r="D267" s="668">
        <f>ROUND(+C211-C222,3)</f>
        <v>-43.667000000000002</v>
      </c>
      <c r="E267" s="667"/>
      <c r="F267" s="667"/>
      <c r="H267" s="658" t="s">
        <v>28</v>
      </c>
    </row>
    <row r="268" spans="1:13" x14ac:dyDescent="0.2">
      <c r="A268" s="542"/>
      <c r="B268" s="609" t="s">
        <v>84</v>
      </c>
      <c r="C268" s="663"/>
      <c r="D268" s="668"/>
      <c r="E268" s="148">
        <f>ROUND(D223/$D$235,3)</f>
        <v>1.1950000000000001</v>
      </c>
      <c r="F268" s="668">
        <f>ROUND(+D212-D223,3)</f>
        <v>-61.01</v>
      </c>
      <c r="H268" s="565" t="s">
        <v>47</v>
      </c>
      <c r="I268" s="673">
        <f t="shared" ref="I268:J270" si="64">ROUND(+I212,4)</f>
        <v>5.4931000000000001</v>
      </c>
      <c r="J268" s="673">
        <f t="shared" si="64"/>
        <v>5.4931000000000001</v>
      </c>
      <c r="K268" s="602" t="s">
        <v>51</v>
      </c>
    </row>
    <row r="269" spans="1:13" x14ac:dyDescent="0.2">
      <c r="A269" s="542"/>
      <c r="B269" s="609" t="s">
        <v>85</v>
      </c>
      <c r="C269" s="663"/>
      <c r="D269" s="668"/>
      <c r="E269" s="148">
        <f>ROUND(D224/$D$235,3)</f>
        <v>0.42599999999999999</v>
      </c>
      <c r="F269" s="668">
        <f>ROUND(+D213-D224,3)</f>
        <v>0</v>
      </c>
      <c r="H269" s="565" t="s">
        <v>48</v>
      </c>
      <c r="I269" s="673">
        <f t="shared" si="64"/>
        <v>5.4705000000000004</v>
      </c>
      <c r="J269" s="673">
        <f t="shared" si="64"/>
        <v>5.4705000000000004</v>
      </c>
      <c r="K269" s="602" t="s">
        <v>51</v>
      </c>
    </row>
    <row r="270" spans="1:13" x14ac:dyDescent="0.2">
      <c r="A270" s="542"/>
      <c r="C270" s="663"/>
      <c r="D270" s="668"/>
      <c r="E270" s="663"/>
      <c r="F270" s="668"/>
      <c r="H270" s="565" t="s">
        <v>318</v>
      </c>
      <c r="I270" s="673">
        <f t="shared" si="64"/>
        <v>5.4779999999999998</v>
      </c>
      <c r="J270" s="673">
        <f t="shared" si="64"/>
        <v>5.4779999999999998</v>
      </c>
      <c r="K270" s="602" t="s">
        <v>51</v>
      </c>
    </row>
    <row r="271" spans="1:13" x14ac:dyDescent="0.2">
      <c r="A271" s="542"/>
      <c r="B271" s="548" t="s">
        <v>24</v>
      </c>
      <c r="C271" s="148">
        <f>ROUND(+C226/$D$235,3)</f>
        <v>1.0860000000000001</v>
      </c>
      <c r="D271" s="668">
        <f>ROUND(+C215-C226,3)</f>
        <v>-50.978000000000002</v>
      </c>
      <c r="E271" s="148"/>
      <c r="F271" s="668"/>
    </row>
    <row r="272" spans="1:13" x14ac:dyDescent="0.2">
      <c r="A272" s="542"/>
      <c r="B272" s="609" t="s">
        <v>84</v>
      </c>
      <c r="C272" s="663"/>
      <c r="D272" s="667"/>
      <c r="E272" s="148">
        <f>ROUND(D227/$D$235,3)</f>
        <v>1.333</v>
      </c>
      <c r="F272" s="668">
        <f>ROUND(+D216-D227,3)</f>
        <v>-70.881</v>
      </c>
      <c r="H272" s="658" t="s">
        <v>29</v>
      </c>
      <c r="I272" s="661"/>
      <c r="J272" s="661"/>
    </row>
    <row r="273" spans="1:11" x14ac:dyDescent="0.2">
      <c r="A273" s="542"/>
      <c r="B273" s="609" t="s">
        <v>85</v>
      </c>
      <c r="C273" s="663"/>
      <c r="D273" s="667"/>
      <c r="E273" s="148">
        <f>ROUND(D228/$D$235,3)</f>
        <v>0.50700000000000001</v>
      </c>
      <c r="F273" s="668">
        <f>ROUND(+D217-D228,3)</f>
        <v>0</v>
      </c>
      <c r="H273" s="565" t="s">
        <v>49</v>
      </c>
      <c r="I273" s="673">
        <f>ROUND(+I217,4)</f>
        <v>8.6258999999999997</v>
      </c>
      <c r="J273" s="673">
        <f>ROUND(+J217,4)</f>
        <v>8.6258999999999997</v>
      </c>
      <c r="K273" s="602" t="s">
        <v>52</v>
      </c>
    </row>
    <row r="274" spans="1:11" x14ac:dyDescent="0.2">
      <c r="A274" s="542"/>
      <c r="C274" s="671"/>
      <c r="D274" s="667"/>
      <c r="E274" s="671"/>
      <c r="F274" s="667"/>
    </row>
    <row r="275" spans="1:11" x14ac:dyDescent="0.2">
      <c r="A275" s="542"/>
      <c r="B275" s="535" t="s">
        <v>109</v>
      </c>
      <c r="C275" s="671">
        <f>ROUND(+C230/$D$235,3)</f>
        <v>1.0369999999999999</v>
      </c>
      <c r="D275" s="667"/>
      <c r="E275" s="671">
        <f>ROUND(+D230/$D$235,3)</f>
        <v>0.877</v>
      </c>
      <c r="F275" s="667"/>
    </row>
    <row r="276" spans="1:11" x14ac:dyDescent="0.2">
      <c r="A276" s="542"/>
      <c r="C276" s="664"/>
      <c r="E276" s="664"/>
    </row>
    <row r="277" spans="1:11" x14ac:dyDescent="0.2">
      <c r="A277" s="542"/>
      <c r="C277" s="664"/>
      <c r="E277" s="664"/>
    </row>
    <row r="279" spans="1:11" x14ac:dyDescent="0.2">
      <c r="A279" s="530" t="s">
        <v>27</v>
      </c>
      <c r="E279" s="610"/>
    </row>
    <row r="280" spans="1:11" x14ac:dyDescent="0.2">
      <c r="A280" s="542"/>
      <c r="B280" s="565" t="s">
        <v>34</v>
      </c>
      <c r="C280" s="643">
        <f>+E158</f>
        <v>180.1</v>
      </c>
      <c r="D280" s="602" t="s">
        <v>181</v>
      </c>
      <c r="E280" s="534" t="s">
        <v>47</v>
      </c>
    </row>
    <row r="281" spans="1:11" x14ac:dyDescent="0.2">
      <c r="A281" s="542"/>
      <c r="B281" s="565"/>
      <c r="C281" s="643">
        <f>+E159</f>
        <v>180.1</v>
      </c>
      <c r="D281" s="602" t="s">
        <v>181</v>
      </c>
      <c r="E281" s="534" t="s">
        <v>48</v>
      </c>
    </row>
    <row r="282" spans="1:11" x14ac:dyDescent="0.2">
      <c r="A282" s="542"/>
      <c r="B282" s="565"/>
    </row>
    <row r="283" spans="1:11" x14ac:dyDescent="0.2">
      <c r="A283" s="542"/>
      <c r="B283" s="565" t="s">
        <v>35</v>
      </c>
      <c r="C283" s="643">
        <f>+D155</f>
        <v>103510.89</v>
      </c>
      <c r="D283" s="602" t="s">
        <v>30</v>
      </c>
      <c r="E283" s="654"/>
    </row>
    <row r="284" spans="1:11" x14ac:dyDescent="0.2">
      <c r="A284" s="542"/>
      <c r="B284" s="565" t="s">
        <v>115</v>
      </c>
      <c r="C284" s="674">
        <f>+H152</f>
        <v>4</v>
      </c>
      <c r="D284" s="535" t="s">
        <v>116</v>
      </c>
      <c r="E284" s="654"/>
    </row>
    <row r="285" spans="1:11" x14ac:dyDescent="0.2">
      <c r="A285" s="542"/>
      <c r="B285" s="565"/>
      <c r="C285" s="674">
        <f>+H153</f>
        <v>8</v>
      </c>
      <c r="D285" s="535" t="s">
        <v>117</v>
      </c>
      <c r="E285" s="654"/>
    </row>
    <row r="286" spans="1:11" x14ac:dyDescent="0.2">
      <c r="A286" s="542"/>
      <c r="B286" s="620" t="s">
        <v>584</v>
      </c>
      <c r="C286" s="641">
        <f>+D171</f>
        <v>18.25</v>
      </c>
      <c r="D286" s="535" t="s">
        <v>142</v>
      </c>
    </row>
    <row r="287" spans="1:11" x14ac:dyDescent="0.2">
      <c r="A287" s="542"/>
      <c r="B287" s="565" t="s">
        <v>138</v>
      </c>
      <c r="C287" s="537" t="s">
        <v>175</v>
      </c>
    </row>
    <row r="288" spans="1:11" x14ac:dyDescent="0.2">
      <c r="A288" s="542"/>
      <c r="B288" s="565" t="s">
        <v>33</v>
      </c>
      <c r="C288" s="675" t="s">
        <v>649</v>
      </c>
    </row>
    <row r="289" spans="1:13" x14ac:dyDescent="0.2">
      <c r="A289" s="542"/>
      <c r="B289" s="565"/>
      <c r="C289" s="534"/>
    </row>
    <row r="290" spans="1:13" x14ac:dyDescent="0.2">
      <c r="A290" s="542"/>
      <c r="B290" s="565" t="s">
        <v>45</v>
      </c>
      <c r="C290" s="535" t="s">
        <v>233</v>
      </c>
    </row>
    <row r="291" spans="1:13" x14ac:dyDescent="0.2">
      <c r="A291" s="542"/>
      <c r="B291" s="565" t="s">
        <v>46</v>
      </c>
      <c r="C291" s="535" t="s">
        <v>232</v>
      </c>
    </row>
    <row r="292" spans="1:13" x14ac:dyDescent="0.2">
      <c r="A292" s="542"/>
      <c r="B292" s="565" t="s">
        <v>63</v>
      </c>
      <c r="C292" s="535" t="s">
        <v>94</v>
      </c>
    </row>
    <row r="293" spans="1:13" x14ac:dyDescent="0.2">
      <c r="C293" s="535" t="s">
        <v>97</v>
      </c>
    </row>
    <row r="294" spans="1:13" x14ac:dyDescent="0.2">
      <c r="B294" s="565" t="s">
        <v>90</v>
      </c>
      <c r="C294" s="535" t="s">
        <v>95</v>
      </c>
    </row>
    <row r="295" spans="1:13" x14ac:dyDescent="0.2">
      <c r="A295" s="542"/>
      <c r="B295" s="620" t="s">
        <v>585</v>
      </c>
      <c r="C295" s="676" t="s">
        <v>586</v>
      </c>
      <c r="E295" s="664"/>
    </row>
    <row r="296" spans="1:13" x14ac:dyDescent="0.2">
      <c r="A296" s="542"/>
      <c r="C296" s="664"/>
      <c r="E296" s="664"/>
    </row>
    <row r="297" spans="1:13" x14ac:dyDescent="0.2">
      <c r="A297" s="542"/>
      <c r="C297" s="664"/>
      <c r="E297" s="664"/>
    </row>
    <row r="298" spans="1:13" x14ac:dyDescent="0.2">
      <c r="A298" s="540" t="s">
        <v>93</v>
      </c>
      <c r="B298" s="530" t="s">
        <v>136</v>
      </c>
    </row>
    <row r="299" spans="1:13" x14ac:dyDescent="0.2">
      <c r="A299" s="542"/>
      <c r="B299" s="530"/>
    </row>
    <row r="300" spans="1:13" x14ac:dyDescent="0.2">
      <c r="A300" s="542"/>
      <c r="C300" s="536" t="s">
        <v>0</v>
      </c>
      <c r="D300" s="536" t="s">
        <v>1</v>
      </c>
      <c r="E300" s="536" t="s">
        <v>2</v>
      </c>
      <c r="F300" s="536" t="s">
        <v>3</v>
      </c>
      <c r="G300" s="536" t="s">
        <v>4</v>
      </c>
      <c r="H300" s="536" t="s">
        <v>6</v>
      </c>
      <c r="I300" s="536" t="s">
        <v>37</v>
      </c>
      <c r="J300" s="536" t="s">
        <v>38</v>
      </c>
      <c r="K300" s="536" t="s">
        <v>5</v>
      </c>
      <c r="L300" s="536" t="s">
        <v>36</v>
      </c>
      <c r="M300" s="536"/>
    </row>
    <row r="301" spans="1:13" x14ac:dyDescent="0.2">
      <c r="A301" s="542"/>
      <c r="B301" s="535" t="s">
        <v>58</v>
      </c>
    </row>
    <row r="302" spans="1:13" x14ac:dyDescent="0.2">
      <c r="A302" s="542"/>
      <c r="B302" s="559" t="s">
        <v>53</v>
      </c>
      <c r="C302" s="615">
        <f>(+C197*SUM(C50:C53)*C163+C198*SUM(C50:C53)*C164)/1000</f>
        <v>572599.27739444305</v>
      </c>
      <c r="D302" s="615">
        <f>(+D197*SUM(D50:D53)*D163+D198*SUM(D50:D53)*D164)/1000</f>
        <v>2131.0858453042451</v>
      </c>
      <c r="E302" s="618">
        <f>(E195*SUMPRODUCT(E32:E35,E50:E53)+E196*SUMPRODUCT(Q32:Q35,E50:E53))/1000</f>
        <v>10599.699083924432</v>
      </c>
      <c r="F302" s="618">
        <f>+F194*SUM(F50:F53)/1000</f>
        <v>11.880636604904119</v>
      </c>
      <c r="G302" s="618">
        <f>+G194*SUM(G50:G53)/1000</f>
        <v>0.18391209850377777</v>
      </c>
      <c r="H302" s="618">
        <f>+H194*SUM(H50:H53)/1000</f>
        <v>278.30523704339623</v>
      </c>
      <c r="I302" s="618">
        <f>+I194*SUM(I50:I53)/1000</f>
        <v>1786.7966251593164</v>
      </c>
      <c r="J302" s="618">
        <f>+J194*SUM(J50:J53)/1000</f>
        <v>3143.2105857546585</v>
      </c>
      <c r="K302" s="618">
        <f>(C211*SUM(K50:K53)/1000)+(I212*$H152*K147)+(I217*$H152*K149)</f>
        <v>217089.23632894643</v>
      </c>
      <c r="L302" s="618">
        <f>(D211*SUM(L50:L53)/1000)+(J212*$H152*L147)+(J217*$H152*L149)</f>
        <v>137083.74908093468</v>
      </c>
      <c r="M302" s="618"/>
    </row>
    <row r="303" spans="1:13" x14ac:dyDescent="0.2">
      <c r="A303" s="542"/>
      <c r="B303" s="559" t="s">
        <v>54</v>
      </c>
      <c r="C303" s="618">
        <f>+C200*SUM(C45:C49,C54:C56)/1000</f>
        <v>787410.02447979199</v>
      </c>
      <c r="D303" s="618">
        <f>+D200*SUM(D45:D49,D54:D56)/1000</f>
        <v>7425.1461622003171</v>
      </c>
      <c r="E303" s="618">
        <f>(E201*(SUMPRODUCT(E27:E31,E45:E49)+SUMPRODUCT(E36:E38,E54:E56))+E202*(SUMPRODUCT(Q27:Q31,E45:E49)+SUMPRODUCT(Q36:Q38,E54:E56)))/1000</f>
        <v>11894.65794146366</v>
      </c>
      <c r="F303" s="618">
        <f>+F200*SUM(F45:F49,F54:F56)/1000</f>
        <v>38.301821773136353</v>
      </c>
      <c r="G303" s="618">
        <f>+G200*SUM(G45:G49,G54:G56)/1000</f>
        <v>0.67996797827218858</v>
      </c>
      <c r="H303" s="618">
        <f>+H200*SUM(H45:H49,H54:H56)/1000</f>
        <v>1141.6278808705454</v>
      </c>
      <c r="I303" s="618">
        <f>+I200*SUM(I45:I49,I54:I56)/1000</f>
        <v>5563.2591987577425</v>
      </c>
      <c r="J303" s="618">
        <f>+J200*SUM(J45:J49,J54:J56)/1000</f>
        <v>10615.286515690894</v>
      </c>
      <c r="K303" s="618">
        <f>(C215*SUM(K45:K49,K54:K56)/1000)+(I213*$H153*K147)+(I217*$H153*K149)</f>
        <v>422905.22947275057</v>
      </c>
      <c r="L303" s="618">
        <f>(D215*SUM(L45:L49,L54:L56)/1000)+(J213*$H153*L147)+(J217*$H153*L149)</f>
        <v>272283.56819348555</v>
      </c>
      <c r="M303" s="618"/>
    </row>
    <row r="304" spans="1:13" x14ac:dyDescent="0.2">
      <c r="A304" s="542"/>
      <c r="B304" s="559" t="s">
        <v>19</v>
      </c>
      <c r="C304" s="613">
        <f>+C303+C302</f>
        <v>1360009.301874235</v>
      </c>
      <c r="D304" s="613">
        <f t="shared" ref="D304:J304" si="65">+D303+D302</f>
        <v>9556.2320075045627</v>
      </c>
      <c r="E304" s="613">
        <f t="shared" si="65"/>
        <v>22494.35702538809</v>
      </c>
      <c r="F304" s="613">
        <f t="shared" si="65"/>
        <v>50.182458378040472</v>
      </c>
      <c r="G304" s="613">
        <f t="shared" si="65"/>
        <v>0.86388007677596634</v>
      </c>
      <c r="H304" s="613">
        <f t="shared" si="65"/>
        <v>1419.9331179139417</v>
      </c>
      <c r="I304" s="613">
        <f t="shared" si="65"/>
        <v>7350.0558239170587</v>
      </c>
      <c r="J304" s="618">
        <f t="shared" si="65"/>
        <v>13758.497101445551</v>
      </c>
      <c r="K304" s="618">
        <f>+K303+K302</f>
        <v>639994.46580169699</v>
      </c>
      <c r="L304" s="618">
        <f>+L303+L302</f>
        <v>409367.31727442023</v>
      </c>
      <c r="M304" s="618"/>
    </row>
    <row r="305" spans="1:13" x14ac:dyDescent="0.2">
      <c r="A305" s="542"/>
      <c r="B305" s="559"/>
    </row>
    <row r="306" spans="1:13" x14ac:dyDescent="0.2">
      <c r="A306" s="542"/>
      <c r="B306" s="535" t="s">
        <v>57</v>
      </c>
    </row>
    <row r="307" spans="1:13" x14ac:dyDescent="0.2">
      <c r="A307" s="542"/>
      <c r="B307" s="559" t="s">
        <v>53</v>
      </c>
      <c r="C307" s="577">
        <f>+C302/C304</f>
        <v>0.42102600078201036</v>
      </c>
      <c r="D307" s="577">
        <f t="shared" ref="D307:I307" si="66">+D302/D304</f>
        <v>0.22300482487560908</v>
      </c>
      <c r="E307" s="577">
        <f t="shared" si="66"/>
        <v>0.471215917483712</v>
      </c>
      <c r="F307" s="577">
        <f t="shared" si="66"/>
        <v>0.23674879607139793</v>
      </c>
      <c r="G307" s="577">
        <f t="shared" si="66"/>
        <v>0.21289077436551701</v>
      </c>
      <c r="H307" s="577">
        <f t="shared" si="66"/>
        <v>0.1959988351086995</v>
      </c>
      <c r="I307" s="577">
        <f t="shared" si="66"/>
        <v>0.24309973528977641</v>
      </c>
      <c r="J307" s="577">
        <f>+J302/J304</f>
        <v>0.228455954351614</v>
      </c>
      <c r="K307" s="577">
        <f>+K302/K304</f>
        <v>0.33920486493114732</v>
      </c>
      <c r="L307" s="577">
        <f>+L302/L304</f>
        <v>0.33486735090051239</v>
      </c>
      <c r="M307" s="577"/>
    </row>
    <row r="308" spans="1:13" x14ac:dyDescent="0.2">
      <c r="A308" s="542"/>
      <c r="B308" s="559" t="s">
        <v>54</v>
      </c>
      <c r="C308" s="577">
        <f>+C303/C304</f>
        <v>0.57897399921798964</v>
      </c>
      <c r="D308" s="577">
        <f t="shared" ref="D308:I308" si="67">+D303/D304</f>
        <v>0.77699517512439087</v>
      </c>
      <c r="E308" s="577">
        <f t="shared" si="67"/>
        <v>0.52878408251628806</v>
      </c>
      <c r="F308" s="577">
        <f t="shared" si="67"/>
        <v>0.76325120392860202</v>
      </c>
      <c r="G308" s="577">
        <f t="shared" si="67"/>
        <v>0.78710922563448293</v>
      </c>
      <c r="H308" s="577">
        <f t="shared" si="67"/>
        <v>0.80400116489130047</v>
      </c>
      <c r="I308" s="577">
        <f t="shared" si="67"/>
        <v>0.75690026471022365</v>
      </c>
      <c r="J308" s="577">
        <f>+J303/J304</f>
        <v>0.77154404564838608</v>
      </c>
      <c r="K308" s="577">
        <f>+K303/K304</f>
        <v>0.66079513506885268</v>
      </c>
      <c r="L308" s="577">
        <f>+L303/L304</f>
        <v>0.66513264909948755</v>
      </c>
      <c r="M308" s="577"/>
    </row>
    <row r="309" spans="1:13" x14ac:dyDescent="0.2">
      <c r="A309" s="542"/>
    </row>
    <row r="310" spans="1:13" x14ac:dyDescent="0.2">
      <c r="A310" s="542"/>
      <c r="B310" s="535" t="s">
        <v>55</v>
      </c>
    </row>
    <row r="311" spans="1:13" x14ac:dyDescent="0.2">
      <c r="A311" s="542"/>
      <c r="B311" s="559" t="s">
        <v>53</v>
      </c>
      <c r="C311" s="677">
        <f>+SUM(C302:L302)</f>
        <v>944723.42473021359</v>
      </c>
    </row>
    <row r="312" spans="1:13" x14ac:dyDescent="0.2">
      <c r="A312" s="542"/>
      <c r="B312" s="559" t="s">
        <v>54</v>
      </c>
      <c r="C312" s="677">
        <f>+SUM(C303:L303)</f>
        <v>1519277.7816347627</v>
      </c>
    </row>
    <row r="313" spans="1:13" x14ac:dyDescent="0.2">
      <c r="A313" s="542"/>
      <c r="B313" s="559" t="s">
        <v>19</v>
      </c>
      <c r="C313" s="613">
        <f>+C312+C311</f>
        <v>2464001.2063649762</v>
      </c>
      <c r="D313" s="660"/>
    </row>
    <row r="314" spans="1:13" x14ac:dyDescent="0.2">
      <c r="A314" s="542"/>
      <c r="L314" s="678" t="s">
        <v>183</v>
      </c>
    </row>
    <row r="315" spans="1:13" x14ac:dyDescent="0.2">
      <c r="A315" s="542"/>
      <c r="B315" s="535" t="s">
        <v>56</v>
      </c>
      <c r="D315" s="535" t="s">
        <v>299</v>
      </c>
      <c r="K315" s="559" t="s">
        <v>307</v>
      </c>
    </row>
    <row r="316" spans="1:13" x14ac:dyDescent="0.2">
      <c r="A316" s="542"/>
      <c r="B316" s="559" t="s">
        <v>53</v>
      </c>
      <c r="C316" s="577">
        <f>+C311/C313</f>
        <v>0.38341029309962033</v>
      </c>
      <c r="E316" s="610">
        <f>+C311/SUMPRODUCT(O49:X49,C85:L85)*1000</f>
        <v>91.561599998587425</v>
      </c>
      <c r="F316" s="535" t="s">
        <v>300</v>
      </c>
      <c r="I316" s="535" t="s">
        <v>137</v>
      </c>
      <c r="K316" s="559" t="s">
        <v>53</v>
      </c>
      <c r="L316" s="592">
        <f>IF(ROUND(E316/$D$235,4)&lt;ROUND(E317/$D$235,4),1,ROUND(E316/$D$235,4))</f>
        <v>1</v>
      </c>
      <c r="M316" s="679"/>
    </row>
    <row r="317" spans="1:13" x14ac:dyDescent="0.2">
      <c r="A317" s="542"/>
      <c r="B317" s="559" t="s">
        <v>54</v>
      </c>
      <c r="C317" s="577">
        <f>+C312/C313</f>
        <v>0.61658970690037973</v>
      </c>
      <c r="E317" s="610">
        <f>+C312/SUMPRODUCT(O45:X45,C85:L85)*1000</f>
        <v>97.436194198553551</v>
      </c>
      <c r="F317" s="535" t="s">
        <v>300</v>
      </c>
      <c r="K317" s="559" t="s">
        <v>54</v>
      </c>
      <c r="L317" s="592">
        <f>IF(ROUND(E316/$D$235,4)&lt;ROUND(E317/$D$235,4),1,ROUND(E317/$D$235,4))</f>
        <v>1</v>
      </c>
      <c r="M317" s="679"/>
    </row>
    <row r="318" spans="1:13" x14ac:dyDescent="0.2">
      <c r="A318" s="542"/>
    </row>
    <row r="319" spans="1:13" x14ac:dyDescent="0.2">
      <c r="A319" s="542"/>
      <c r="C319" s="664"/>
      <c r="E319" s="664"/>
    </row>
    <row r="320" spans="1:13" x14ac:dyDescent="0.2">
      <c r="A320" s="540" t="s">
        <v>129</v>
      </c>
      <c r="B320" s="530" t="s">
        <v>223</v>
      </c>
      <c r="C320" s="664"/>
      <c r="E320" s="664"/>
    </row>
    <row r="321" spans="1:12" x14ac:dyDescent="0.2">
      <c r="A321" s="542"/>
      <c r="C321" s="664"/>
      <c r="E321" s="664"/>
    </row>
    <row r="322" spans="1:12" x14ac:dyDescent="0.2">
      <c r="A322" s="542"/>
      <c r="B322" s="565" t="s">
        <v>126</v>
      </c>
      <c r="C322" s="608">
        <f>D235</f>
        <v>95.09684856940747</v>
      </c>
      <c r="E322" s="680" t="s">
        <v>301</v>
      </c>
    </row>
    <row r="323" spans="1:12" x14ac:dyDescent="0.2">
      <c r="A323" s="542"/>
      <c r="B323" s="565" t="s">
        <v>128</v>
      </c>
      <c r="C323" s="681">
        <f>+L316</f>
        <v>1</v>
      </c>
      <c r="E323" s="664"/>
    </row>
    <row r="324" spans="1:12" x14ac:dyDescent="0.2">
      <c r="A324" s="542"/>
      <c r="B324" s="565" t="s">
        <v>127</v>
      </c>
      <c r="C324" s="681">
        <f>+L317</f>
        <v>1</v>
      </c>
      <c r="E324" s="664"/>
    </row>
    <row r="325" spans="1:12" x14ac:dyDescent="0.2">
      <c r="A325" s="542"/>
      <c r="C325" s="664"/>
      <c r="E325" s="664"/>
    </row>
    <row r="326" spans="1:12" x14ac:dyDescent="0.2">
      <c r="A326" s="542"/>
      <c r="C326" s="536" t="s">
        <v>0</v>
      </c>
      <c r="D326" s="536" t="s">
        <v>1</v>
      </c>
      <c r="E326" s="536" t="s">
        <v>2</v>
      </c>
      <c r="F326" s="536" t="s">
        <v>3</v>
      </c>
      <c r="G326" s="536" t="s">
        <v>4</v>
      </c>
      <c r="H326" s="536" t="s">
        <v>6</v>
      </c>
      <c r="I326" s="536" t="s">
        <v>37</v>
      </c>
      <c r="J326" s="536" t="s">
        <v>38</v>
      </c>
      <c r="K326" s="536" t="s">
        <v>5</v>
      </c>
      <c r="L326" s="536" t="s">
        <v>36</v>
      </c>
    </row>
    <row r="327" spans="1:12" x14ac:dyDescent="0.2">
      <c r="A327" s="542"/>
      <c r="B327" s="535" t="s">
        <v>124</v>
      </c>
    </row>
    <row r="328" spans="1:12" x14ac:dyDescent="0.2">
      <c r="A328" s="542"/>
      <c r="B328" s="559" t="s">
        <v>53</v>
      </c>
      <c r="C328" s="618">
        <f>+($C$322*C249*O49+C250*O53+C251*O54)/1000</f>
        <v>572832.30074621167</v>
      </c>
      <c r="D328" s="618">
        <f>+($C$322*D249*P49+D250*P53+D251*P54)/1000</f>
        <v>2130.4792335758866</v>
      </c>
      <c r="E328" s="682">
        <f>(($C$322*E246*Q50)+(C322*E247*Q51))/1000</f>
        <v>10601.471618331187</v>
      </c>
      <c r="F328" s="618">
        <f>+$C$322*F245*R49/1000</f>
        <v>11.87170038170769</v>
      </c>
      <c r="G328" s="618">
        <f>+$C$322*G245*S49/1000</f>
        <v>0.18372711143609521</v>
      </c>
      <c r="H328" s="618">
        <f>+$C$322*H245*T49/1000</f>
        <v>278.40560323905805</v>
      </c>
      <c r="I328" s="618">
        <f>+$C$322*K247*U49/1000</f>
        <v>1788.2358508488662</v>
      </c>
      <c r="J328" s="618">
        <f>+$C$322*K247*V49/1000</f>
        <v>3142.7535192581354</v>
      </c>
      <c r="K328" s="682">
        <f>+($C$322*C267+D267)*W49/1000+(I268*H152*K147)+(I273*H152*K149)</f>
        <v>217131.46218936038</v>
      </c>
      <c r="L328" s="682">
        <f>(($C$322*E268+F268)*X50+(C322*E269*X51))/1000+(J268*$H$152*L147)+(J273*$H$152*L149)</f>
        <v>137109.33014100505</v>
      </c>
    </row>
    <row r="329" spans="1:12" x14ac:dyDescent="0.2">
      <c r="A329" s="542"/>
      <c r="B329" s="559" t="s">
        <v>54</v>
      </c>
      <c r="C329" s="618">
        <f>+$C$322*C255*O45/1000</f>
        <v>787325.04949018965</v>
      </c>
      <c r="D329" s="618">
        <f>+$C$322*D255*P45/1000</f>
        <v>7425.8156326451053</v>
      </c>
      <c r="E329" s="682">
        <f>(($C$322*E256*Q46)+(C322*E257*Q47))/1000</f>
        <v>11894.813856921302</v>
      </c>
      <c r="F329" s="618">
        <f>+$C$322*F255*R45/1000</f>
        <v>38.300731245571704</v>
      </c>
      <c r="G329" s="618">
        <f>+$C$322*G255*S45/1000</f>
        <v>0.67994246727126351</v>
      </c>
      <c r="H329" s="618">
        <f>+$C$322*H255*T45/1000</f>
        <v>1141.7658881917771</v>
      </c>
      <c r="I329" s="618">
        <f>+$C$322*K257*U45/1000</f>
        <v>5586.0801779416224</v>
      </c>
      <c r="J329" s="618">
        <f>+$C$322*K257*V45/1000</f>
        <v>10601.768507195453</v>
      </c>
      <c r="K329" s="682">
        <f>+($C$322*C271+D271)*W45/1000+(I269*H153*K147)+(I273*H153*K149)</f>
        <v>423100.33595766232</v>
      </c>
      <c r="L329" s="682">
        <f>(($C$322*E272+F272)*X46+C322*E273*X47)/1000+(J269*$H$153*L147)+(J273*$H$153*L149)</f>
        <v>272178.82275761309</v>
      </c>
    </row>
    <row r="330" spans="1:12" x14ac:dyDescent="0.2">
      <c r="A330" s="542"/>
      <c r="B330" s="559" t="s">
        <v>19</v>
      </c>
      <c r="C330" s="613">
        <f>+C329+C328</f>
        <v>1360157.3502364014</v>
      </c>
      <c r="D330" s="613">
        <f t="shared" ref="D330:L330" si="68">+D329+D328</f>
        <v>9556.2948662209928</v>
      </c>
      <c r="E330" s="613">
        <f t="shared" si="68"/>
        <v>22496.285475252487</v>
      </c>
      <c r="F330" s="613">
        <f t="shared" si="68"/>
        <v>50.172431627279394</v>
      </c>
      <c r="G330" s="613">
        <f t="shared" si="68"/>
        <v>0.86366957870735872</v>
      </c>
      <c r="H330" s="613">
        <f t="shared" si="68"/>
        <v>1420.1714914308352</v>
      </c>
      <c r="I330" s="613">
        <f t="shared" si="68"/>
        <v>7374.3160287904884</v>
      </c>
      <c r="J330" s="613">
        <f t="shared" si="68"/>
        <v>13744.522026453589</v>
      </c>
      <c r="K330" s="613">
        <f t="shared" si="68"/>
        <v>640231.79814702272</v>
      </c>
      <c r="L330" s="613">
        <f t="shared" si="68"/>
        <v>409288.15289861814</v>
      </c>
    </row>
    <row r="331" spans="1:12" x14ac:dyDescent="0.2">
      <c r="A331" s="542"/>
      <c r="B331" s="559"/>
      <c r="C331" s="613"/>
      <c r="D331" s="613"/>
      <c r="E331" s="613"/>
      <c r="F331" s="613"/>
      <c r="G331" s="613"/>
      <c r="H331" s="613"/>
      <c r="I331" s="613"/>
      <c r="J331" s="613"/>
      <c r="K331" s="613"/>
      <c r="L331" s="613"/>
    </row>
    <row r="332" spans="1:12" x14ac:dyDescent="0.2">
      <c r="A332" s="542"/>
      <c r="B332" s="559" t="s">
        <v>170</v>
      </c>
      <c r="C332" s="613">
        <f>SUM(C328:L328)</f>
        <v>945026.49432932329</v>
      </c>
      <c r="D332" s="613"/>
      <c r="E332" s="613"/>
      <c r="F332" s="613"/>
      <c r="G332" s="613"/>
      <c r="H332" s="613"/>
      <c r="I332" s="613"/>
      <c r="J332" s="613"/>
      <c r="K332" s="613"/>
      <c r="L332" s="613"/>
    </row>
    <row r="333" spans="1:12" x14ac:dyDescent="0.2">
      <c r="A333" s="542"/>
      <c r="B333" s="559" t="s">
        <v>171</v>
      </c>
      <c r="C333" s="613">
        <f>SUM(C329:L329)</f>
        <v>1519293.4329420731</v>
      </c>
      <c r="E333" s="664"/>
    </row>
    <row r="334" spans="1:12" x14ac:dyDescent="0.2">
      <c r="A334" s="542"/>
      <c r="B334" s="559" t="s">
        <v>172</v>
      </c>
      <c r="C334" s="613">
        <f>+C333+C332</f>
        <v>2464319.9272713964</v>
      </c>
      <c r="E334" s="664"/>
    </row>
    <row r="335" spans="1:12" x14ac:dyDescent="0.2">
      <c r="A335" s="542"/>
      <c r="B335" s="559"/>
      <c r="C335" s="664"/>
      <c r="E335" s="664"/>
    </row>
    <row r="336" spans="1:12" x14ac:dyDescent="0.2">
      <c r="A336" s="542"/>
      <c r="C336" s="536" t="s">
        <v>0</v>
      </c>
      <c r="D336" s="536" t="s">
        <v>1</v>
      </c>
      <c r="E336" s="536" t="s">
        <v>2</v>
      </c>
      <c r="F336" s="536" t="s">
        <v>3</v>
      </c>
      <c r="G336" s="536" t="s">
        <v>4</v>
      </c>
      <c r="H336" s="536" t="s">
        <v>6</v>
      </c>
      <c r="I336" s="536" t="s">
        <v>37</v>
      </c>
      <c r="J336" s="536" t="s">
        <v>38</v>
      </c>
      <c r="K336" s="536" t="s">
        <v>5</v>
      </c>
      <c r="L336" s="536" t="s">
        <v>36</v>
      </c>
    </row>
    <row r="337" spans="1:12" x14ac:dyDescent="0.2">
      <c r="A337" s="542"/>
      <c r="B337" s="535" t="s">
        <v>125</v>
      </c>
    </row>
    <row r="338" spans="1:12" x14ac:dyDescent="0.2">
      <c r="A338" s="542"/>
      <c r="B338" s="559" t="s">
        <v>53</v>
      </c>
      <c r="C338" s="618">
        <f t="shared" ref="C338:L338" si="69">+$C$322*$C$323*O49*C85/1000</f>
        <v>539883.14170847868</v>
      </c>
      <c r="D338" s="618">
        <f t="shared" si="69"/>
        <v>2627.2029892067176</v>
      </c>
      <c r="E338" s="618">
        <f t="shared" si="69"/>
        <v>8955.7695184682543</v>
      </c>
      <c r="F338" s="618">
        <f t="shared" si="69"/>
        <v>25.998925315604726</v>
      </c>
      <c r="G338" s="618">
        <f t="shared" si="69"/>
        <v>0.40152780410200345</v>
      </c>
      <c r="H338" s="618">
        <f t="shared" si="69"/>
        <v>261.45753829597146</v>
      </c>
      <c r="I338" s="618">
        <f t="shared" si="69"/>
        <v>4241.8401044845905</v>
      </c>
      <c r="J338" s="618">
        <f t="shared" si="69"/>
        <v>7454.8655929088218</v>
      </c>
      <c r="K338" s="618">
        <f t="shared" si="69"/>
        <v>240117.15309420001</v>
      </c>
      <c r="L338" s="618">
        <f t="shared" si="69"/>
        <v>177631.93465507613</v>
      </c>
    </row>
    <row r="339" spans="1:12" x14ac:dyDescent="0.2">
      <c r="A339" s="542"/>
      <c r="B339" s="559" t="s">
        <v>54</v>
      </c>
      <c r="C339" s="618">
        <f t="shared" ref="C339:L339" si="70">+$C$322*$C$324*O45*C85/1000</f>
        <v>704306.29359377665</v>
      </c>
      <c r="D339" s="618">
        <f t="shared" si="70"/>
        <v>8410.4214187178004</v>
      </c>
      <c r="E339" s="618">
        <f t="shared" si="70"/>
        <v>10200.455740277856</v>
      </c>
      <c r="F339" s="618">
        <f t="shared" si="70"/>
        <v>74.182261807845137</v>
      </c>
      <c r="G339" s="618">
        <f t="shared" si="70"/>
        <v>1.3049653633315113</v>
      </c>
      <c r="H339" s="618">
        <f t="shared" si="70"/>
        <v>1009.3975453885456</v>
      </c>
      <c r="I339" s="618">
        <f t="shared" si="70"/>
        <v>11125.532396058312</v>
      </c>
      <c r="J339" s="618">
        <f t="shared" si="70"/>
        <v>21115.042252361029</v>
      </c>
      <c r="K339" s="618">
        <f t="shared" si="70"/>
        <v>411361.91152588808</v>
      </c>
      <c r="L339" s="618">
        <f t="shared" si="70"/>
        <v>315196.89901109709</v>
      </c>
    </row>
    <row r="340" spans="1:12" x14ac:dyDescent="0.2">
      <c r="A340" s="542"/>
      <c r="B340" s="559" t="s">
        <v>19</v>
      </c>
      <c r="C340" s="613">
        <f t="shared" ref="C340:L340" si="71">+C339+C338</f>
        <v>1244189.4353022552</v>
      </c>
      <c r="D340" s="613">
        <f t="shared" si="71"/>
        <v>11037.624407924519</v>
      </c>
      <c r="E340" s="613">
        <f t="shared" si="71"/>
        <v>19156.225258746112</v>
      </c>
      <c r="F340" s="613">
        <f t="shared" si="71"/>
        <v>100.18118712344986</v>
      </c>
      <c r="G340" s="613">
        <f t="shared" si="71"/>
        <v>1.7064931674335146</v>
      </c>
      <c r="H340" s="613">
        <f t="shared" si="71"/>
        <v>1270.855083684517</v>
      </c>
      <c r="I340" s="613">
        <f t="shared" si="71"/>
        <v>15367.372500542902</v>
      </c>
      <c r="J340" s="618">
        <f t="shared" si="71"/>
        <v>28569.907845269852</v>
      </c>
      <c r="K340" s="618">
        <f t="shared" si="71"/>
        <v>651479.06462008809</v>
      </c>
      <c r="L340" s="618">
        <f t="shared" si="71"/>
        <v>492828.83366617322</v>
      </c>
    </row>
    <row r="341" spans="1:12" x14ac:dyDescent="0.2">
      <c r="A341" s="542"/>
      <c r="C341" s="664"/>
      <c r="D341" s="664"/>
      <c r="E341" s="664"/>
      <c r="F341" s="664"/>
      <c r="G341" s="664"/>
      <c r="H341" s="664"/>
      <c r="I341" s="664"/>
      <c r="J341" s="664"/>
      <c r="K341" s="664"/>
      <c r="L341" s="664"/>
    </row>
    <row r="342" spans="1:12" x14ac:dyDescent="0.2">
      <c r="A342" s="542"/>
      <c r="B342" s="559" t="s">
        <v>170</v>
      </c>
      <c r="C342" s="613">
        <f>SUM(C338:L338)</f>
        <v>981199.76565423887</v>
      </c>
    </row>
    <row r="343" spans="1:12" x14ac:dyDescent="0.2">
      <c r="A343" s="542"/>
      <c r="B343" s="559" t="s">
        <v>171</v>
      </c>
      <c r="C343" s="613">
        <f>SUM(C339:L339)</f>
        <v>1482801.4407107367</v>
      </c>
    </row>
    <row r="344" spans="1:12" x14ac:dyDescent="0.2">
      <c r="A344" s="542"/>
      <c r="B344" s="559" t="s">
        <v>172</v>
      </c>
      <c r="C344" s="613">
        <f>+C343+C342</f>
        <v>2464001.2063649753</v>
      </c>
    </row>
    <row r="345" spans="1:12" x14ac:dyDescent="0.2">
      <c r="A345" s="542"/>
      <c r="C345" s="664"/>
      <c r="E345" s="664"/>
    </row>
    <row r="346" spans="1:12" x14ac:dyDescent="0.2">
      <c r="B346" s="565" t="s">
        <v>182</v>
      </c>
      <c r="C346" s="613">
        <f>+C334-C344</f>
        <v>318.72090642107651</v>
      </c>
    </row>
    <row r="347" spans="1:12" x14ac:dyDescent="0.2">
      <c r="C347" s="535" t="s">
        <v>184</v>
      </c>
    </row>
    <row r="350" spans="1:12" x14ac:dyDescent="0.2">
      <c r="A350" s="540" t="s">
        <v>230</v>
      </c>
      <c r="B350" s="530" t="s">
        <v>229</v>
      </c>
      <c r="C350" s="545" t="s">
        <v>292</v>
      </c>
    </row>
    <row r="351" spans="1:12" x14ac:dyDescent="0.2">
      <c r="B351" s="539" t="s">
        <v>78</v>
      </c>
    </row>
    <row r="352" spans="1:12" x14ac:dyDescent="0.2">
      <c r="B352" s="559" t="s">
        <v>53</v>
      </c>
      <c r="C352" s="567">
        <f>SUMPRODUCT(O49:X49,C85:L85)</f>
        <v>10317899.913771585</v>
      </c>
    </row>
    <row r="353" spans="2:3" x14ac:dyDescent="0.2">
      <c r="B353" s="559" t="s">
        <v>54</v>
      </c>
      <c r="C353" s="683">
        <f>SUMPRODUCT(O45:X45,C85:L85)</f>
        <v>15592540.268340206</v>
      </c>
    </row>
    <row r="354" spans="2:3" x14ac:dyDescent="0.2">
      <c r="B354" s="559" t="s">
        <v>19</v>
      </c>
      <c r="C354" s="567">
        <f>+C353+C352</f>
        <v>25910440.182111792</v>
      </c>
    </row>
  </sheetData>
  <customSheetViews>
    <customSheetView guid="{782F5CFE-DE26-4D5A-B82E-30A424B0A39B}"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1"/>
      <headerFooter alignWithMargins="0">
        <oddHeader>&amp;C&amp;"Arial,Bold"Public Service Electric and Gas Company Specific Addendum
Attachment 2</oddHeader>
        <oddFooter>&amp;CPage &amp;P of &amp;N</oddFooter>
      </headerFooter>
    </customSheetView>
    <customSheetView guid="{88B031DE-0423-45A5-B384-E560A52FDD07}"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2"/>
      <headerFooter alignWithMargins="0">
        <oddHeader>&amp;C&amp;"Arial,Bold"Public Service Electric and Gas Company Specific Addendum
Attachment 2</oddHeader>
        <oddFooter>&amp;CPage &amp;P of &amp;N</oddFooter>
      </headerFooter>
    </customSheetView>
    <customSheetView guid="{D5524E47-947F-4D9F-AE8B-3F0380261994}"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3"/>
      <headerFooter alignWithMargins="0">
        <oddHeader>&amp;C&amp;"Arial,Bold"Public Service Electric and Gas Company Specific Addendum
Attachment 2</oddHeader>
        <oddFooter>&amp;CPage &amp;P of &amp;N</oddFooter>
      </headerFooter>
    </customSheetView>
    <customSheetView guid="{9BF7FAF1-D686-4A6B-A2BE-0DAD43841920}"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4"/>
      <headerFooter alignWithMargins="0">
        <oddHeader>&amp;C&amp;"Arial,Bold"Public Service Electric and Gas Company Specific Addendum
Attachment 2</oddHeader>
        <oddFooter>&amp;CPage &amp;P of &amp;N</oddFooter>
      </headerFooter>
    </customSheetView>
  </customSheetViews>
  <mergeCells count="1">
    <mergeCell ref="R145:V145"/>
  </mergeCells>
  <phoneticPr fontId="0" type="noConversion"/>
  <pageMargins left="0.75" right="0.75" top="1" bottom="1" header="0.5" footer="0.5"/>
  <pageSetup scale="60" fitToHeight="9" orientation="landscape" r:id="rId5"/>
  <headerFooter alignWithMargins="0">
    <oddHeader>&amp;C&amp;"Arial,Bold"Public Service Electric and Gas Company Specific Addendum
Attachment 2</oddHeader>
    <oddFooter>&amp;CPage &amp;P of &amp;N</oddFooter>
  </headerFooter>
  <rowBreaks count="6" manualBreakCount="6">
    <brk id="39" max="16383" man="1"/>
    <brk id="87" max="11" man="1"/>
    <brk id="140" max="11" man="1"/>
    <brk id="185" max="11" man="1"/>
    <brk id="236" max="11" man="1"/>
    <brk id="296" max="11" man="1"/>
  </rowBreaks>
  <ignoredErrors>
    <ignoredError sqref="C94:C96 D94:E96 F94:O96 C112:C114 D112:E114 F112:I114 J112:L1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Q212"/>
  <sheetViews>
    <sheetView tabSelected="1" view="pageBreakPreview" zoomScale="80" zoomScaleNormal="70" zoomScaleSheetLayoutView="80" workbookViewId="0"/>
  </sheetViews>
  <sheetFormatPr defaultColWidth="9.140625" defaultRowHeight="12.75" x14ac:dyDescent="0.2"/>
  <cols>
    <col min="1" max="1" width="12.5703125" style="1" customWidth="1"/>
    <col min="2" max="2" width="34.7109375" style="1" customWidth="1"/>
    <col min="3" max="3" width="26.42578125" style="1" customWidth="1"/>
    <col min="4" max="4" width="13.140625" style="1" customWidth="1"/>
    <col min="5" max="5" width="14.42578125" style="1" customWidth="1"/>
    <col min="6" max="7" width="12.140625" style="1" customWidth="1"/>
    <col min="8" max="8" width="11.85546875" style="1" customWidth="1"/>
    <col min="9" max="9" width="11" style="1" customWidth="1"/>
    <col min="10" max="10" width="13.140625" style="1" customWidth="1"/>
    <col min="11" max="11" width="12.5703125" style="1" customWidth="1"/>
    <col min="12" max="12" width="12.5703125" style="1" bestFit="1" customWidth="1"/>
    <col min="13" max="13" width="14.28515625" style="1" bestFit="1" customWidth="1"/>
    <col min="14" max="14" width="24.140625" style="1" bestFit="1" customWidth="1"/>
    <col min="15" max="16" width="10.85546875" style="1" bestFit="1" customWidth="1"/>
    <col min="17" max="17" width="14.42578125" style="1" bestFit="1" customWidth="1"/>
    <col min="18" max="16384" width="9.140625" style="1"/>
  </cols>
  <sheetData>
    <row r="1" spans="1:17" ht="15.75" x14ac:dyDescent="0.25">
      <c r="B1" s="70" t="s">
        <v>637</v>
      </c>
    </row>
    <row r="2" spans="1:17" x14ac:dyDescent="0.2">
      <c r="B2" s="533" t="s">
        <v>647</v>
      </c>
    </row>
    <row r="3" spans="1:17" x14ac:dyDescent="0.2">
      <c r="B3" s="5" t="s">
        <v>587</v>
      </c>
    </row>
    <row r="4" spans="1:17" x14ac:dyDescent="0.2">
      <c r="M4" s="13"/>
      <c r="N4" s="13"/>
      <c r="O4" s="13"/>
      <c r="P4" s="13"/>
      <c r="Q4" s="13"/>
    </row>
    <row r="5" spans="1:17" x14ac:dyDescent="0.2">
      <c r="A5" s="6" t="s">
        <v>264</v>
      </c>
      <c r="B5" s="4" t="s">
        <v>286</v>
      </c>
      <c r="M5" s="13"/>
      <c r="N5" s="13"/>
      <c r="O5" s="13"/>
      <c r="P5" s="13"/>
      <c r="Q5" s="13"/>
    </row>
    <row r="6" spans="1:17" ht="51" customHeight="1" x14ac:dyDescent="0.2">
      <c r="A6" s="14" t="s">
        <v>203</v>
      </c>
      <c r="B6" s="4" t="s">
        <v>231</v>
      </c>
      <c r="C6" s="8" t="str">
        <f>Input!C135</f>
        <v>remaining portion of 36 month bid - 2018 auction</v>
      </c>
      <c r="D6" s="8" t="str">
        <f>Input!D135</f>
        <v>remaining portion of 36 month bid - 2019 auction</v>
      </c>
      <c r="E6" s="8" t="str">
        <f>Input!E135</f>
        <v>36 month bid - 2020 Auction</v>
      </c>
      <c r="G6" s="8" t="s">
        <v>204</v>
      </c>
      <c r="M6" s="13"/>
      <c r="N6" s="13"/>
      <c r="O6" s="13"/>
      <c r="P6" s="13"/>
      <c r="Q6" s="13"/>
    </row>
    <row r="7" spans="1:17" x14ac:dyDescent="0.2">
      <c r="M7" s="13"/>
      <c r="N7" s="13"/>
      <c r="O7" s="13"/>
      <c r="P7" s="13"/>
      <c r="Q7" s="13"/>
    </row>
    <row r="8" spans="1:17" x14ac:dyDescent="0.2">
      <c r="A8" s="14">
        <v>1</v>
      </c>
      <c r="B8" s="4" t="s">
        <v>205</v>
      </c>
      <c r="C8" s="35">
        <f>Input!C136</f>
        <v>91.77</v>
      </c>
      <c r="D8" s="35">
        <f>Input!D136</f>
        <v>98.04</v>
      </c>
      <c r="E8" s="35">
        <f>ROUND(IF(Input!E138="yes",Input!$E$136,IF(LEFT(Input!B2,6)="Rebase",Input!E136,(bid_factors!D235*(1+#REF!)*SUM(C20:C21)/1000-SUM(C26:D26))/(E$13/E$14/1000*(E16*$C20+E17*$C21)))),2)</f>
        <v>98.04</v>
      </c>
      <c r="G8" s="73" t="s">
        <v>648</v>
      </c>
      <c r="M8" s="13"/>
      <c r="N8" s="13"/>
      <c r="O8" s="13"/>
      <c r="P8" s="13"/>
      <c r="Q8" s="13"/>
    </row>
    <row r="9" spans="1:17" x14ac:dyDescent="0.2">
      <c r="A9" s="240"/>
      <c r="B9" s="4"/>
      <c r="C9" s="4"/>
      <c r="D9" s="4"/>
      <c r="E9" s="4"/>
      <c r="F9" s="4"/>
      <c r="G9" s="4"/>
      <c r="M9" s="13"/>
      <c r="N9" s="13"/>
      <c r="O9" s="13"/>
      <c r="P9" s="13"/>
      <c r="Q9" s="13"/>
    </row>
    <row r="10" spans="1:17" x14ac:dyDescent="0.2">
      <c r="A10" s="14"/>
      <c r="B10" s="4" t="s">
        <v>383</v>
      </c>
      <c r="C10" s="177">
        <f>+C8+C9</f>
        <v>91.77</v>
      </c>
      <c r="D10" s="177">
        <f>+D8+D9</f>
        <v>98.04</v>
      </c>
      <c r="E10" s="177">
        <f>+E8+E9</f>
        <v>98.04</v>
      </c>
      <c r="G10" s="178" t="s">
        <v>384</v>
      </c>
      <c r="M10" s="13"/>
      <c r="N10" s="13"/>
      <c r="O10" s="13"/>
      <c r="P10" s="13"/>
      <c r="Q10" s="13"/>
    </row>
    <row r="11" spans="1:17" x14ac:dyDescent="0.2">
      <c r="A11" s="14"/>
      <c r="B11" s="4"/>
      <c r="C11" s="177"/>
      <c r="D11" s="177"/>
      <c r="E11" s="177"/>
      <c r="G11" s="178"/>
      <c r="M11" s="13"/>
      <c r="N11" s="13"/>
      <c r="O11" s="13"/>
      <c r="P11" s="13"/>
      <c r="Q11" s="13"/>
    </row>
    <row r="12" spans="1:17" x14ac:dyDescent="0.2">
      <c r="B12" s="5" t="s">
        <v>298</v>
      </c>
      <c r="M12" s="13"/>
      <c r="N12" s="13"/>
      <c r="O12" s="13"/>
      <c r="P12" s="13"/>
      <c r="Q12" s="13"/>
    </row>
    <row r="13" spans="1:17" x14ac:dyDescent="0.2">
      <c r="A13" s="14">
        <v>2</v>
      </c>
      <c r="B13" s="4" t="s">
        <v>333</v>
      </c>
      <c r="C13" s="68">
        <f>Input!C137</f>
        <v>29</v>
      </c>
      <c r="D13" s="68">
        <f>Input!D137</f>
        <v>28</v>
      </c>
      <c r="E13" s="68">
        <f>Input!E137</f>
        <v>28</v>
      </c>
      <c r="G13" s="1" t="s">
        <v>206</v>
      </c>
      <c r="M13" s="13"/>
      <c r="N13" s="13"/>
      <c r="O13" s="13"/>
      <c r="P13" s="13"/>
      <c r="Q13" s="13"/>
    </row>
    <row r="14" spans="1:17" x14ac:dyDescent="0.2">
      <c r="A14" s="14">
        <v>3</v>
      </c>
      <c r="B14" s="4" t="s">
        <v>334</v>
      </c>
      <c r="C14" s="68">
        <v>85</v>
      </c>
      <c r="D14" s="68">
        <v>85</v>
      </c>
      <c r="E14" s="68">
        <v>85</v>
      </c>
      <c r="G14" s="1" t="s">
        <v>206</v>
      </c>
      <c r="M14" s="13"/>
      <c r="N14" s="13"/>
      <c r="O14" s="13"/>
      <c r="P14" s="13"/>
      <c r="Q14" s="13"/>
    </row>
    <row r="15" spans="1:17" x14ac:dyDescent="0.2">
      <c r="A15" s="14"/>
      <c r="B15" s="4" t="s">
        <v>207</v>
      </c>
      <c r="M15" s="13"/>
      <c r="N15" s="13"/>
      <c r="O15" s="13"/>
      <c r="P15" s="13"/>
      <c r="Q15" s="13"/>
    </row>
    <row r="16" spans="1:17" x14ac:dyDescent="0.2">
      <c r="A16" s="14">
        <v>4</v>
      </c>
      <c r="B16" s="27" t="s">
        <v>208</v>
      </c>
      <c r="C16" s="38">
        <f>Input!C140</f>
        <v>1</v>
      </c>
      <c r="D16" s="38">
        <f>Input!D140</f>
        <v>1</v>
      </c>
      <c r="E16" s="38">
        <f>D16</f>
        <v>1</v>
      </c>
      <c r="K16" s="38"/>
      <c r="M16" s="13"/>
      <c r="N16" s="13"/>
      <c r="O16" s="13"/>
      <c r="P16" s="13"/>
      <c r="Q16" s="13"/>
    </row>
    <row r="17" spans="1:17" ht="12.75" customHeight="1" x14ac:dyDescent="0.2">
      <c r="A17" s="14">
        <v>5</v>
      </c>
      <c r="B17" s="27" t="s">
        <v>209</v>
      </c>
      <c r="C17" s="38">
        <f>Input!C141</f>
        <v>1</v>
      </c>
      <c r="D17" s="38">
        <f>Input!D141</f>
        <v>1</v>
      </c>
      <c r="E17" s="38">
        <f>D17</f>
        <v>1</v>
      </c>
      <c r="K17" s="38"/>
      <c r="M17" s="13"/>
      <c r="N17" s="13"/>
      <c r="O17" s="13"/>
      <c r="P17" s="13"/>
      <c r="Q17" s="13"/>
    </row>
    <row r="18" spans="1:17" x14ac:dyDescent="0.2">
      <c r="A18" s="14"/>
    </row>
    <row r="19" spans="1:17" x14ac:dyDescent="0.2">
      <c r="A19" s="14"/>
      <c r="B19" s="4" t="s">
        <v>293</v>
      </c>
    </row>
    <row r="20" spans="1:17" x14ac:dyDescent="0.2">
      <c r="A20" s="14">
        <v>6</v>
      </c>
      <c r="B20" s="1" t="s">
        <v>210</v>
      </c>
      <c r="C20" s="42">
        <f>+bid_factors!C352</f>
        <v>10317899.913771585</v>
      </c>
      <c r="D20" s="11"/>
      <c r="E20" s="11"/>
      <c r="G20" s="1" t="s">
        <v>305</v>
      </c>
    </row>
    <row r="21" spans="1:17" x14ac:dyDescent="0.2">
      <c r="A21" s="14">
        <v>7</v>
      </c>
      <c r="B21" s="1" t="s">
        <v>211</v>
      </c>
      <c r="C21" s="42">
        <f>+bid_factors!C353</f>
        <v>15592540.268340206</v>
      </c>
      <c r="D21" s="11"/>
      <c r="E21" s="11"/>
    </row>
    <row r="22" spans="1:17" x14ac:dyDescent="0.2">
      <c r="A22" s="14"/>
    </row>
    <row r="23" spans="1:17" x14ac:dyDescent="0.2">
      <c r="A23" s="14"/>
      <c r="B23" s="4" t="s">
        <v>294</v>
      </c>
    </row>
    <row r="24" spans="1:17" x14ac:dyDescent="0.2">
      <c r="A24" s="14">
        <v>8</v>
      </c>
      <c r="B24" s="27" t="s">
        <v>208</v>
      </c>
      <c r="C24" s="241">
        <f>+C$8*C$13/C$14*C16*$C20/1000+C$9*C$13/C$14*$C20/1000</f>
        <v>323051.01855903212</v>
      </c>
      <c r="D24" s="241">
        <f t="shared" ref="D24:E24" si="0">+D$8*D$13/D$14*D16*$C20/1000+D$9*D$13/D$14*$C20/1000</f>
        <v>333222.04013285483</v>
      </c>
      <c r="E24" s="241">
        <f t="shared" si="0"/>
        <v>333222.04013285483</v>
      </c>
      <c r="F24" s="242"/>
      <c r="G24" s="243" t="s">
        <v>477</v>
      </c>
      <c r="J24" s="2"/>
      <c r="L24" s="2"/>
    </row>
    <row r="25" spans="1:17" ht="15" x14ac:dyDescent="0.35">
      <c r="A25" s="14">
        <v>9</v>
      </c>
      <c r="B25" s="27" t="s">
        <v>209</v>
      </c>
      <c r="C25" s="244">
        <f>+C$8*C$13/C$14*C17*$C21/1000+C$9*C$13/C$14*$C21/1000</f>
        <v>488198.76696872752</v>
      </c>
      <c r="D25" s="244">
        <f t="shared" ref="D25:E25" si="1">+D$8*D$13/D$14*D17*$C21/1000+D$9*D$13/D$14*$C21/1000</f>
        <v>503569.34284030675</v>
      </c>
      <c r="E25" s="244">
        <f t="shared" si="1"/>
        <v>503569.34284030675</v>
      </c>
      <c r="F25" s="242"/>
      <c r="G25" s="243" t="s">
        <v>478</v>
      </c>
    </row>
    <row r="26" spans="1:17" x14ac:dyDescent="0.2">
      <c r="A26" s="14">
        <v>10</v>
      </c>
      <c r="B26" s="1" t="s">
        <v>212</v>
      </c>
      <c r="C26" s="2">
        <f>+C25+C24</f>
        <v>811249.7855277597</v>
      </c>
      <c r="D26" s="2">
        <f>+D25+D24</f>
        <v>836791.38297316153</v>
      </c>
      <c r="E26" s="2">
        <f>+E25+E24</f>
        <v>836791.38297316153</v>
      </c>
      <c r="G26" s="1" t="s">
        <v>297</v>
      </c>
      <c r="J26" s="2"/>
      <c r="L26" s="2"/>
    </row>
    <row r="27" spans="1:17" x14ac:dyDescent="0.2">
      <c r="A27" s="14"/>
    </row>
    <row r="28" spans="1:17" x14ac:dyDescent="0.2">
      <c r="A28" s="14"/>
      <c r="B28" s="4" t="s">
        <v>295</v>
      </c>
    </row>
    <row r="29" spans="1:17" x14ac:dyDescent="0.2">
      <c r="A29" s="14">
        <v>11</v>
      </c>
      <c r="B29" s="27" t="s">
        <v>208</v>
      </c>
      <c r="C29" s="57">
        <f>ROUND(+SUM(C24:E24)/C20*1000,3)</f>
        <v>95.900999999999996</v>
      </c>
      <c r="D29" s="20"/>
      <c r="G29" s="18" t="s">
        <v>284</v>
      </c>
    </row>
    <row r="30" spans="1:17" x14ac:dyDescent="0.2">
      <c r="A30" s="14">
        <v>12</v>
      </c>
      <c r="B30" s="27" t="s">
        <v>209</v>
      </c>
      <c r="C30" s="58">
        <f>ROUND(+SUM(C25:E25)/C21*1000,3)</f>
        <v>95.900999999999996</v>
      </c>
      <c r="G30" s="18" t="s">
        <v>285</v>
      </c>
    </row>
    <row r="31" spans="1:17" x14ac:dyDescent="0.2">
      <c r="A31" s="14"/>
      <c r="B31" s="27"/>
      <c r="C31" s="47"/>
      <c r="G31" s="18"/>
    </row>
    <row r="32" spans="1:17" x14ac:dyDescent="0.2">
      <c r="A32" s="14">
        <v>13</v>
      </c>
      <c r="B32" s="1" t="s">
        <v>216</v>
      </c>
      <c r="C32" s="59">
        <f>ROUND(+SUM(C26:E26)/(C20+C21)*1000,3)</f>
        <v>95.900999999999996</v>
      </c>
      <c r="D32" s="1" t="s">
        <v>214</v>
      </c>
      <c r="G32" s="18" t="s">
        <v>213</v>
      </c>
    </row>
    <row r="33" spans="1:13" x14ac:dyDescent="0.2">
      <c r="D33" s="1" t="s">
        <v>215</v>
      </c>
      <c r="G33" s="1" t="s">
        <v>283</v>
      </c>
    </row>
    <row r="34" spans="1:13" x14ac:dyDescent="0.2">
      <c r="C34" s="20"/>
    </row>
    <row r="35" spans="1:13" x14ac:dyDescent="0.2">
      <c r="B35" s="41" t="s">
        <v>239</v>
      </c>
      <c r="D35" s="20"/>
    </row>
    <row r="36" spans="1:13" x14ac:dyDescent="0.2">
      <c r="A36" s="14">
        <v>14</v>
      </c>
      <c r="B36" s="12" t="s">
        <v>240</v>
      </c>
      <c r="C36" s="2">
        <f>(C32*(C21+C20))/1000</f>
        <v>2484837.1239047027</v>
      </c>
      <c r="D36" s="20"/>
      <c r="G36" s="18" t="s">
        <v>221</v>
      </c>
    </row>
    <row r="37" spans="1:13" ht="15" x14ac:dyDescent="0.35">
      <c r="A37" s="14">
        <v>15</v>
      </c>
      <c r="B37" s="12" t="s">
        <v>218</v>
      </c>
      <c r="C37" s="43">
        <f>SUM(C26:E26)</f>
        <v>2484832.5514740827</v>
      </c>
      <c r="D37" s="20"/>
      <c r="G37" s="18" t="s">
        <v>219</v>
      </c>
    </row>
    <row r="38" spans="1:13" x14ac:dyDescent="0.2">
      <c r="A38" s="14">
        <v>16</v>
      </c>
      <c r="B38" s="12" t="s">
        <v>217</v>
      </c>
      <c r="C38" s="16">
        <f>+C36-C37</f>
        <v>4.572430619969964</v>
      </c>
      <c r="D38" s="20"/>
      <c r="G38" s="18" t="s">
        <v>220</v>
      </c>
    </row>
    <row r="39" spans="1:13" x14ac:dyDescent="0.2">
      <c r="B39" s="12"/>
      <c r="D39" s="20"/>
    </row>
    <row r="41" spans="1:13" x14ac:dyDescent="0.2">
      <c r="A41" s="6" t="s">
        <v>265</v>
      </c>
      <c r="B41" s="4" t="s">
        <v>296</v>
      </c>
      <c r="G41" s="5" t="s">
        <v>200</v>
      </c>
    </row>
    <row r="42" spans="1:13" x14ac:dyDescent="0.2">
      <c r="A42" s="6"/>
      <c r="B42" s="4"/>
      <c r="G42" s="5" t="s">
        <v>308</v>
      </c>
    </row>
    <row r="43" spans="1:13" x14ac:dyDescent="0.2">
      <c r="B43" s="4" t="s">
        <v>41</v>
      </c>
    </row>
    <row r="44" spans="1:13" x14ac:dyDescent="0.2">
      <c r="B44" s="5" t="s">
        <v>88</v>
      </c>
    </row>
    <row r="45" spans="1:13" x14ac:dyDescent="0.2">
      <c r="B45" s="4"/>
    </row>
    <row r="46" spans="1:13" x14ac:dyDescent="0.2">
      <c r="C46" s="9" t="str">
        <f>+bid_factors!C243</f>
        <v>RS</v>
      </c>
      <c r="D46" s="9" t="str">
        <f>+bid_factors!D243</f>
        <v>RHS</v>
      </c>
      <c r="E46" s="9" t="str">
        <f>+bid_factors!E243</f>
        <v>RLM</v>
      </c>
      <c r="F46" s="9" t="str">
        <f>+bid_factors!F243</f>
        <v>WH</v>
      </c>
      <c r="G46" s="9" t="str">
        <f>+bid_factors!G243</f>
        <v>WHS</v>
      </c>
      <c r="H46" s="9" t="str">
        <f>+bid_factors!H243</f>
        <v>HS</v>
      </c>
      <c r="I46" s="9" t="str">
        <f>+bid_factors!I243</f>
        <v>PSAL</v>
      </c>
      <c r="J46" s="9" t="str">
        <f>+bid_factors!J243</f>
        <v>BPL</v>
      </c>
    </row>
    <row r="47" spans="1:13" x14ac:dyDescent="0.2">
      <c r="C47" s="9"/>
      <c r="D47" s="9"/>
      <c r="E47" s="9"/>
      <c r="F47" s="9"/>
      <c r="G47" s="9"/>
    </row>
    <row r="48" spans="1:13" x14ac:dyDescent="0.2">
      <c r="B48" s="10" t="s">
        <v>23</v>
      </c>
      <c r="E48" s="31"/>
      <c r="F48" s="30">
        <f>+bid_factors!F245</f>
        <v>0.48199999999999998</v>
      </c>
      <c r="G48" s="30">
        <f>+bid_factors!G245</f>
        <v>0.48299999999999998</v>
      </c>
      <c r="H48" s="30">
        <f>+bid_factors!H245</f>
        <v>1.1240000000000001</v>
      </c>
      <c r="I48" s="31">
        <f>+bid_factors!I245</f>
        <v>0.44500000000000001</v>
      </c>
      <c r="J48" s="31">
        <f>+bid_factors!J245</f>
        <v>0.44500000000000001</v>
      </c>
      <c r="K48" s="23"/>
      <c r="L48" s="23"/>
      <c r="M48" s="23"/>
    </row>
    <row r="49" spans="2:13" x14ac:dyDescent="0.2">
      <c r="B49" s="15" t="s">
        <v>84</v>
      </c>
      <c r="C49" s="22"/>
      <c r="D49" s="21"/>
      <c r="E49" s="30">
        <f>+bid_factors!E246</f>
        <v>2.1389999999999998</v>
      </c>
      <c r="F49" s="31"/>
      <c r="G49" s="31"/>
      <c r="H49" s="31"/>
      <c r="I49" s="7"/>
      <c r="J49" s="24" t="s">
        <v>168</v>
      </c>
      <c r="K49" s="23"/>
      <c r="L49" s="23"/>
      <c r="M49" s="23"/>
    </row>
    <row r="50" spans="2:13" x14ac:dyDescent="0.2">
      <c r="B50" s="15" t="s">
        <v>85</v>
      </c>
      <c r="C50" s="22"/>
      <c r="D50" s="21"/>
      <c r="E50" s="30">
        <f>+bid_factors!E247</f>
        <v>0.42699999999999999</v>
      </c>
      <c r="F50" s="31"/>
      <c r="G50" s="31"/>
      <c r="H50" s="32"/>
      <c r="I50" s="7"/>
      <c r="J50" s="24" t="s">
        <v>169</v>
      </c>
      <c r="K50" s="33">
        <f>+bid_factors!K247</f>
        <v>0.44500000000000001</v>
      </c>
      <c r="L50" s="23"/>
      <c r="M50" s="23"/>
    </row>
    <row r="51" spans="2:13" x14ac:dyDescent="0.2">
      <c r="E51" s="22"/>
      <c r="F51" s="21"/>
      <c r="G51" s="21"/>
      <c r="L51" s="23"/>
      <c r="M51" s="23"/>
    </row>
    <row r="52" spans="2:13" x14ac:dyDescent="0.2">
      <c r="B52" s="25" t="s">
        <v>165</v>
      </c>
      <c r="C52" s="30">
        <f>+bid_factors!C249</f>
        <v>1.1200000000000001</v>
      </c>
      <c r="D52" s="30">
        <f>+bid_factors!D249</f>
        <v>0.85599999999999998</v>
      </c>
      <c r="E52" s="22"/>
      <c r="F52" s="21"/>
      <c r="G52" s="21"/>
      <c r="H52" s="21"/>
      <c r="I52" s="21"/>
      <c r="J52" s="21"/>
      <c r="K52" s="23"/>
      <c r="L52" s="23"/>
      <c r="M52" s="23"/>
    </row>
    <row r="53" spans="2:13" x14ac:dyDescent="0.2">
      <c r="B53" s="25" t="s">
        <v>173</v>
      </c>
      <c r="C53" s="40">
        <f>+bid_factors!C250</f>
        <v>-3.0630000000000002</v>
      </c>
      <c r="D53" s="40">
        <f>+bid_factors!D250</f>
        <v>-3.9220000000000002</v>
      </c>
      <c r="E53" s="39" t="s">
        <v>166</v>
      </c>
      <c r="F53" s="21"/>
      <c r="G53" s="21"/>
      <c r="H53" s="21"/>
      <c r="I53" s="21"/>
      <c r="J53" s="21"/>
      <c r="K53" s="23"/>
      <c r="L53" s="23"/>
      <c r="M53" s="23"/>
    </row>
    <row r="54" spans="2:13" x14ac:dyDescent="0.2">
      <c r="B54" s="25" t="s">
        <v>173</v>
      </c>
      <c r="C54" s="40">
        <f>+bid_factors!C251</f>
        <v>5.5890000000000004</v>
      </c>
      <c r="D54" s="40">
        <f>+bid_factors!D251</f>
        <v>7.6470000000000002</v>
      </c>
      <c r="E54" s="39" t="s">
        <v>167</v>
      </c>
      <c r="F54" s="21"/>
      <c r="G54" s="21"/>
      <c r="H54" s="21"/>
      <c r="I54" s="21"/>
      <c r="J54" s="21"/>
      <c r="K54" s="23"/>
      <c r="L54" s="23"/>
      <c r="M54" s="23"/>
    </row>
    <row r="55" spans="2:13" x14ac:dyDescent="0.2">
      <c r="G55" s="21"/>
      <c r="H55" s="21"/>
      <c r="I55" s="21"/>
      <c r="J55" s="21"/>
      <c r="K55" s="23"/>
      <c r="L55" s="23"/>
      <c r="M55" s="23"/>
    </row>
    <row r="56" spans="2:13" x14ac:dyDescent="0.2">
      <c r="H56" s="21"/>
      <c r="I56" s="21"/>
      <c r="J56" s="21"/>
      <c r="K56" s="23"/>
      <c r="L56" s="23"/>
      <c r="M56" s="23"/>
    </row>
    <row r="57" spans="2:13" x14ac:dyDescent="0.2">
      <c r="C57" s="21"/>
      <c r="D57" s="21"/>
      <c r="E57" s="21"/>
      <c r="F57" s="21"/>
      <c r="G57" s="21"/>
      <c r="H57" s="21"/>
      <c r="I57" s="21"/>
      <c r="J57" s="21"/>
      <c r="K57" s="23"/>
      <c r="L57" s="23"/>
      <c r="M57" s="23"/>
    </row>
    <row r="58" spans="2:13" x14ac:dyDescent="0.2">
      <c r="B58" s="10" t="s">
        <v>24</v>
      </c>
      <c r="C58" s="30">
        <f>+bid_factors!C255</f>
        <v>1.18</v>
      </c>
      <c r="D58" s="30">
        <f>+bid_factors!D255</f>
        <v>0.93200000000000005</v>
      </c>
      <c r="E58" s="31"/>
      <c r="F58" s="30">
        <f>+bid_factors!F255</f>
        <v>0.54500000000000004</v>
      </c>
      <c r="G58" s="30">
        <f>+bid_factors!G255</f>
        <v>0.55000000000000004</v>
      </c>
      <c r="H58" s="30">
        <f>+bid_factors!H255</f>
        <v>1.194</v>
      </c>
      <c r="I58" s="31">
        <f>+bid_factors!I255</f>
        <v>0.52800000000000002</v>
      </c>
      <c r="J58" s="31">
        <f>+bid_factors!J255</f>
        <v>0.53100000000000003</v>
      </c>
      <c r="K58" s="23"/>
      <c r="L58" s="23"/>
      <c r="M58" s="23"/>
    </row>
    <row r="59" spans="2:13" x14ac:dyDescent="0.2">
      <c r="B59" s="15" t="s">
        <v>84</v>
      </c>
      <c r="C59" s="21"/>
      <c r="D59" s="21"/>
      <c r="E59" s="30">
        <f>+bid_factors!E256</f>
        <v>2.177</v>
      </c>
      <c r="F59" s="21"/>
      <c r="G59" s="21"/>
      <c r="H59" s="21"/>
      <c r="J59" s="24" t="s">
        <v>168</v>
      </c>
      <c r="K59" s="23"/>
      <c r="L59" s="23"/>
      <c r="M59" s="23"/>
    </row>
    <row r="60" spans="2:13" x14ac:dyDescent="0.2">
      <c r="B60" s="15" t="s">
        <v>85</v>
      </c>
      <c r="C60" s="21"/>
      <c r="D60" s="21"/>
      <c r="E60" s="30">
        <f>+bid_factors!E257</f>
        <v>0.51200000000000001</v>
      </c>
      <c r="F60" s="21"/>
      <c r="G60" s="21"/>
      <c r="J60" s="24" t="s">
        <v>169</v>
      </c>
      <c r="K60" s="33">
        <f>+bid_factors!K257</f>
        <v>0.53</v>
      </c>
      <c r="L60" s="23"/>
      <c r="M60" s="23"/>
    </row>
    <row r="61" spans="2:13" x14ac:dyDescent="0.2">
      <c r="C61" s="26"/>
      <c r="D61" s="26"/>
      <c r="E61" s="26"/>
      <c r="F61" s="26"/>
      <c r="G61" s="26"/>
      <c r="K61" s="23"/>
      <c r="L61" s="23"/>
      <c r="M61" s="23"/>
    </row>
    <row r="62" spans="2:13" x14ac:dyDescent="0.2">
      <c r="B62" s="1" t="s">
        <v>113</v>
      </c>
      <c r="C62" s="34">
        <f>+bid_factors!C259</f>
        <v>1.1539999999999999</v>
      </c>
      <c r="D62" s="34">
        <f>+bid_factors!D259</f>
        <v>0.91400000000000003</v>
      </c>
      <c r="E62" s="34">
        <f>+bid_factors!E259</f>
        <v>1.24</v>
      </c>
      <c r="F62" s="34">
        <f>+bid_factors!F259</f>
        <v>0.52900000000000003</v>
      </c>
      <c r="G62" s="34">
        <f>+bid_factors!G259</f>
        <v>0.53400000000000003</v>
      </c>
      <c r="H62" s="34">
        <f>+bid_factors!H259</f>
        <v>1.179</v>
      </c>
      <c r="I62" s="34">
        <f>+bid_factors!I259</f>
        <v>0.505</v>
      </c>
      <c r="J62" s="34">
        <f>+bid_factors!J259</f>
        <v>0.50800000000000001</v>
      </c>
      <c r="K62" s="23"/>
      <c r="L62" s="23"/>
      <c r="M62" s="23"/>
    </row>
    <row r="65" spans="2:11" x14ac:dyDescent="0.2">
      <c r="B65" s="4" t="s">
        <v>32</v>
      </c>
    </row>
    <row r="66" spans="2:11" x14ac:dyDescent="0.2">
      <c r="B66" s="5" t="s">
        <v>89</v>
      </c>
    </row>
    <row r="67" spans="2:11" x14ac:dyDescent="0.2">
      <c r="B67" s="7"/>
    </row>
    <row r="68" spans="2:11" x14ac:dyDescent="0.2">
      <c r="C68" s="9" t="str">
        <f>+bid_factors!C265</f>
        <v>GLP</v>
      </c>
      <c r="D68" s="9" t="str">
        <f>+bid_factors!D265</f>
        <v>GLP</v>
      </c>
      <c r="E68" s="9" t="str">
        <f>+bid_factors!E265</f>
        <v>LPL-S</v>
      </c>
      <c r="F68" s="9" t="str">
        <f>+bid_factors!F265</f>
        <v>LPL-S</v>
      </c>
      <c r="H68" s="4" t="s">
        <v>31</v>
      </c>
      <c r="I68" s="9" t="str">
        <f>+C68</f>
        <v>GLP</v>
      </c>
      <c r="J68" s="9" t="str">
        <f>+E68</f>
        <v>LPL-S</v>
      </c>
    </row>
    <row r="69" spans="2:11" ht="25.5" x14ac:dyDescent="0.2">
      <c r="C69" s="9" t="s">
        <v>123</v>
      </c>
      <c r="D69" s="29" t="s">
        <v>173</v>
      </c>
      <c r="E69" s="9" t="s">
        <v>123</v>
      </c>
      <c r="F69" s="29" t="s">
        <v>173</v>
      </c>
    </row>
    <row r="70" spans="2:11" x14ac:dyDescent="0.2">
      <c r="B70" s="10" t="s">
        <v>23</v>
      </c>
      <c r="C70" s="30">
        <f>+bid_factors!C267</f>
        <v>0.95399999999999996</v>
      </c>
      <c r="D70" s="33">
        <f>+bid_factors!D267</f>
        <v>-43.667000000000002</v>
      </c>
      <c r="E70" s="32"/>
      <c r="F70" s="32"/>
      <c r="H70" s="19" t="s">
        <v>28</v>
      </c>
    </row>
    <row r="71" spans="2:11" x14ac:dyDescent="0.2">
      <c r="B71" s="15" t="s">
        <v>84</v>
      </c>
      <c r="C71" s="31"/>
      <c r="D71" s="33"/>
      <c r="E71" s="30">
        <f>+bid_factors!E268</f>
        <v>1.1950000000000001</v>
      </c>
      <c r="F71" s="33">
        <f>+bid_factors!F268</f>
        <v>-61.01</v>
      </c>
      <c r="H71" s="12" t="s">
        <v>47</v>
      </c>
      <c r="I71" s="46">
        <f>+bid_factors!I$270</f>
        <v>5.4779999999999998</v>
      </c>
      <c r="J71" s="46">
        <f>+bid_factors!J$270</f>
        <v>5.4779999999999998</v>
      </c>
      <c r="K71" s="18" t="s">
        <v>51</v>
      </c>
    </row>
    <row r="72" spans="2:11" x14ac:dyDescent="0.2">
      <c r="B72" s="15" t="s">
        <v>85</v>
      </c>
      <c r="C72" s="31"/>
      <c r="D72" s="33"/>
      <c r="E72" s="30">
        <f>+bid_factors!E269</f>
        <v>0.42599999999999999</v>
      </c>
      <c r="F72" s="33">
        <f>+bid_factors!F269</f>
        <v>0</v>
      </c>
      <c r="H72" s="12" t="s">
        <v>48</v>
      </c>
      <c r="I72" s="46">
        <f>+bid_factors!I$270</f>
        <v>5.4779999999999998</v>
      </c>
      <c r="J72" s="46">
        <f>+bid_factors!J$270</f>
        <v>5.4779999999999998</v>
      </c>
      <c r="K72" s="18" t="s">
        <v>51</v>
      </c>
    </row>
    <row r="73" spans="2:11" x14ac:dyDescent="0.2">
      <c r="C73" s="31"/>
      <c r="D73" s="33"/>
      <c r="E73" s="31"/>
      <c r="F73" s="33"/>
      <c r="H73" s="12"/>
      <c r="I73" s="46"/>
      <c r="J73" s="46"/>
      <c r="K73" s="18"/>
    </row>
    <row r="74" spans="2:11" x14ac:dyDescent="0.2">
      <c r="B74" s="10" t="s">
        <v>24</v>
      </c>
      <c r="C74" s="30">
        <f>+bid_factors!C271</f>
        <v>1.0860000000000001</v>
      </c>
      <c r="D74" s="33">
        <f>+bid_factors!D271</f>
        <v>-50.978000000000002</v>
      </c>
      <c r="E74" s="30"/>
      <c r="F74" s="33"/>
      <c r="H74" s="19" t="s">
        <v>29</v>
      </c>
      <c r="I74" s="20"/>
      <c r="J74" s="20"/>
    </row>
    <row r="75" spans="2:11" x14ac:dyDescent="0.2">
      <c r="B75" s="15" t="s">
        <v>84</v>
      </c>
      <c r="C75" s="31"/>
      <c r="D75" s="32"/>
      <c r="E75" s="30">
        <f>+bid_factors!E272</f>
        <v>1.333</v>
      </c>
      <c r="F75" s="33">
        <f>+bid_factors!F272</f>
        <v>-70.881</v>
      </c>
      <c r="H75" s="12" t="s">
        <v>49</v>
      </c>
      <c r="I75" s="46">
        <f>+bid_factors!I273</f>
        <v>8.6258999999999997</v>
      </c>
      <c r="J75" s="46">
        <f>+bid_factors!J273</f>
        <v>8.6258999999999997</v>
      </c>
      <c r="K75" s="18" t="s">
        <v>52</v>
      </c>
    </row>
    <row r="76" spans="2:11" x14ac:dyDescent="0.2">
      <c r="B76" s="15" t="s">
        <v>85</v>
      </c>
      <c r="C76" s="31"/>
      <c r="D76" s="32"/>
      <c r="E76" s="30">
        <f>+bid_factors!E273</f>
        <v>0.50700000000000001</v>
      </c>
      <c r="F76" s="33">
        <f>+bid_factors!F273</f>
        <v>0</v>
      </c>
    </row>
    <row r="77" spans="2:11" x14ac:dyDescent="0.2">
      <c r="C77" s="34"/>
      <c r="D77" s="32"/>
      <c r="E77" s="34"/>
      <c r="F77" s="32"/>
    </row>
    <row r="78" spans="2:11" x14ac:dyDescent="0.2">
      <c r="B78" s="1" t="s">
        <v>109</v>
      </c>
      <c r="C78" s="34">
        <f>+bid_factors!C275</f>
        <v>1.0369999999999999</v>
      </c>
      <c r="D78" s="32"/>
      <c r="E78" s="34">
        <f>+bid_factors!E275</f>
        <v>0.877</v>
      </c>
      <c r="F78" s="32"/>
    </row>
    <row r="79" spans="2:11" x14ac:dyDescent="0.2">
      <c r="C79" s="34"/>
      <c r="D79" s="32"/>
      <c r="E79" s="34"/>
      <c r="F79" s="32"/>
    </row>
    <row r="80" spans="2:11" x14ac:dyDescent="0.2">
      <c r="C80" s="23"/>
      <c r="E80" s="23"/>
    </row>
    <row r="81" spans="1:13" x14ac:dyDescent="0.2">
      <c r="A81" s="60" t="s">
        <v>266</v>
      </c>
      <c r="B81" s="41" t="s">
        <v>281</v>
      </c>
      <c r="C81" s="23"/>
      <c r="E81" s="23"/>
    </row>
    <row r="82" spans="1:13" x14ac:dyDescent="0.2">
      <c r="A82" s="60"/>
      <c r="B82" s="5" t="s">
        <v>225</v>
      </c>
    </row>
    <row r="84" spans="1:13" x14ac:dyDescent="0.2">
      <c r="B84" s="4" t="s">
        <v>638</v>
      </c>
    </row>
    <row r="85" spans="1:13" x14ac:dyDescent="0.2">
      <c r="B85" s="5" t="s">
        <v>88</v>
      </c>
    </row>
    <row r="86" spans="1:13" x14ac:dyDescent="0.2">
      <c r="B86" s="4"/>
    </row>
    <row r="87" spans="1:13" x14ac:dyDescent="0.2">
      <c r="C87" s="9" t="str">
        <f>+C46</f>
        <v>RS</v>
      </c>
      <c r="D87" s="9" t="str">
        <f t="shared" ref="D87:J87" si="2">+D46</f>
        <v>RHS</v>
      </c>
      <c r="E87" s="9" t="str">
        <f t="shared" si="2"/>
        <v>RLM</v>
      </c>
      <c r="F87" s="9" t="str">
        <f t="shared" si="2"/>
        <v>WH</v>
      </c>
      <c r="G87" s="9" t="str">
        <f t="shared" si="2"/>
        <v>WHS</v>
      </c>
      <c r="H87" s="9" t="str">
        <f t="shared" si="2"/>
        <v>HS</v>
      </c>
      <c r="I87" s="9" t="str">
        <f t="shared" si="2"/>
        <v>PSAL</v>
      </c>
      <c r="J87" s="9" t="str">
        <f t="shared" si="2"/>
        <v>BPL</v>
      </c>
    </row>
    <row r="88" spans="1:13" x14ac:dyDescent="0.2">
      <c r="C88" s="60"/>
      <c r="D88" s="60"/>
      <c r="E88" s="60"/>
      <c r="F88" s="61"/>
      <c r="G88" s="61"/>
      <c r="H88" s="61"/>
      <c r="I88" s="61"/>
      <c r="J88" s="61"/>
    </row>
    <row r="89" spans="1:13" x14ac:dyDescent="0.2">
      <c r="B89" s="10" t="s">
        <v>23</v>
      </c>
      <c r="C89" s="60"/>
      <c r="D89" s="60"/>
      <c r="E89" s="60"/>
      <c r="F89" s="61">
        <f>ROUND(($C$32*F48)/10,4)</f>
        <v>4.6223999999999998</v>
      </c>
      <c r="G89" s="61">
        <f>ROUND(($C$32*G48)/10,4)</f>
        <v>4.6319999999999997</v>
      </c>
      <c r="H89" s="61">
        <f>ROUND(($C$32*H48)/10,4)</f>
        <v>10.779299999999999</v>
      </c>
      <c r="I89" s="61">
        <f>ROUND(($C$32*K50)/10,4)</f>
        <v>4.2675999999999998</v>
      </c>
      <c r="J89" s="61">
        <f>+I89</f>
        <v>4.2675999999999998</v>
      </c>
      <c r="L89" s="23"/>
      <c r="M89" s="23"/>
    </row>
    <row r="90" spans="1:13" x14ac:dyDescent="0.2">
      <c r="B90" s="15" t="s">
        <v>84</v>
      </c>
      <c r="C90" s="60"/>
      <c r="D90" s="60"/>
      <c r="E90" s="61">
        <f>ROUND(($C$32*E49)/10,4)</f>
        <v>20.513200000000001</v>
      </c>
      <c r="F90" s="60"/>
      <c r="G90" s="61"/>
      <c r="H90" s="61"/>
      <c r="I90" s="61"/>
      <c r="J90" s="60"/>
      <c r="L90" s="23"/>
      <c r="M90" s="23"/>
    </row>
    <row r="91" spans="1:13" x14ac:dyDescent="0.2">
      <c r="B91" s="15" t="s">
        <v>85</v>
      </c>
      <c r="C91" s="60"/>
      <c r="D91" s="60"/>
      <c r="E91" s="61">
        <f>ROUND(($C$32*E50/10),4)</f>
        <v>4.0949999999999998</v>
      </c>
      <c r="F91" s="60"/>
      <c r="G91" s="60"/>
      <c r="H91" s="60"/>
      <c r="I91" s="60"/>
      <c r="J91" s="60"/>
      <c r="L91" s="23"/>
      <c r="M91" s="23"/>
    </row>
    <row r="92" spans="1:13" x14ac:dyDescent="0.2">
      <c r="B92" s="25"/>
      <c r="C92" s="60"/>
      <c r="D92" s="60"/>
      <c r="E92" s="60"/>
      <c r="F92" s="60"/>
      <c r="G92" s="60"/>
      <c r="H92" s="60"/>
      <c r="I92" s="60"/>
      <c r="J92" s="60"/>
      <c r="L92" s="23"/>
      <c r="M92" s="23"/>
    </row>
    <row r="93" spans="1:13" x14ac:dyDescent="0.2">
      <c r="B93" s="39" t="s">
        <v>166</v>
      </c>
      <c r="C93" s="61">
        <f>ROUND((+$C$32*C52+C53)/10,4)</f>
        <v>10.4346</v>
      </c>
      <c r="D93" s="61">
        <f>ROUND((+$C$32*D52+D53)/10,4)</f>
        <v>7.8169000000000004</v>
      </c>
      <c r="E93" s="60"/>
      <c r="F93" s="60"/>
      <c r="G93" s="60"/>
      <c r="H93" s="60"/>
      <c r="I93" s="60"/>
      <c r="J93" s="60"/>
      <c r="L93" s="23"/>
      <c r="M93" s="23"/>
    </row>
    <row r="94" spans="1:13" x14ac:dyDescent="0.2">
      <c r="B94" s="39" t="s">
        <v>167</v>
      </c>
      <c r="C94" s="61">
        <f>ROUND((+$C$32*C52+C54)/10,4)</f>
        <v>11.299799999999999</v>
      </c>
      <c r="D94" s="61">
        <f>ROUND((+$C$32*D52+D54)/10,4)</f>
        <v>8.9738000000000007</v>
      </c>
      <c r="E94" s="60"/>
      <c r="F94" s="60"/>
      <c r="G94" s="60"/>
      <c r="H94" s="60"/>
      <c r="I94" s="60"/>
      <c r="J94" s="60"/>
      <c r="L94" s="23"/>
      <c r="M94" s="23"/>
    </row>
    <row r="95" spans="1:13" x14ac:dyDescent="0.2">
      <c r="C95" s="61"/>
      <c r="D95" s="61"/>
      <c r="E95" s="60"/>
      <c r="F95" s="60"/>
      <c r="G95" s="60"/>
      <c r="H95" s="60"/>
      <c r="I95" s="60"/>
      <c r="J95" s="60"/>
      <c r="L95" s="23"/>
      <c r="M95" s="23"/>
    </row>
    <row r="96" spans="1:13" x14ac:dyDescent="0.2">
      <c r="B96" s="10" t="s">
        <v>24</v>
      </c>
      <c r="C96" s="61">
        <f>ROUND(($C$32*C58)/10,4)</f>
        <v>11.3163</v>
      </c>
      <c r="D96" s="61">
        <f>ROUND(($C$32*D58)/10,4)</f>
        <v>8.9380000000000006</v>
      </c>
      <c r="E96" s="60"/>
      <c r="F96" s="61">
        <f>ROUND(($C$32*F58)/10,4)</f>
        <v>5.2266000000000004</v>
      </c>
      <c r="G96" s="61">
        <f>ROUND(($C$32*G58)/10,4)</f>
        <v>5.2746000000000004</v>
      </c>
      <c r="H96" s="61">
        <f>ROUND(($C$32*H58)/10,4)</f>
        <v>11.4506</v>
      </c>
      <c r="I96" s="61">
        <f>ROUND(($C$32*K60)/10,4)</f>
        <v>5.0827999999999998</v>
      </c>
      <c r="J96" s="61">
        <f>+I96</f>
        <v>5.0827999999999998</v>
      </c>
      <c r="L96" s="23"/>
      <c r="M96" s="23"/>
    </row>
    <row r="97" spans="2:13" x14ac:dyDescent="0.2">
      <c r="B97" s="15" t="s">
        <v>84</v>
      </c>
      <c r="C97" s="60"/>
      <c r="D97" s="60"/>
      <c r="E97" s="61">
        <f>ROUND(($C$32*E59)/10,4)</f>
        <v>20.877600000000001</v>
      </c>
      <c r="F97" s="60"/>
      <c r="G97" s="60"/>
      <c r="H97" s="60"/>
      <c r="I97" s="60"/>
      <c r="J97" s="60"/>
      <c r="L97" s="23"/>
      <c r="M97" s="23"/>
    </row>
    <row r="98" spans="2:13" x14ac:dyDescent="0.2">
      <c r="B98" s="15" t="s">
        <v>85</v>
      </c>
      <c r="C98" s="60"/>
      <c r="D98" s="60"/>
      <c r="E98" s="61">
        <f>ROUND(($C$32*E60)/10,4)</f>
        <v>4.9100999999999999</v>
      </c>
      <c r="F98" s="60"/>
      <c r="G98" s="60"/>
      <c r="H98" s="60"/>
      <c r="I98" s="60"/>
      <c r="J98" s="60"/>
      <c r="L98" s="23"/>
      <c r="M98" s="23"/>
    </row>
    <row r="99" spans="2:13" x14ac:dyDescent="0.2">
      <c r="C99" s="60"/>
      <c r="D99" s="60"/>
      <c r="E99" s="61"/>
      <c r="F99" s="60"/>
      <c r="G99" s="60"/>
      <c r="H99" s="60"/>
      <c r="I99" s="60"/>
      <c r="J99" s="60"/>
      <c r="L99" s="23"/>
      <c r="M99" s="23"/>
    </row>
    <row r="102" spans="2:13" x14ac:dyDescent="0.2">
      <c r="B102" s="4" t="s">
        <v>639</v>
      </c>
    </row>
    <row r="103" spans="2:13" x14ac:dyDescent="0.2">
      <c r="B103" s="5" t="s">
        <v>89</v>
      </c>
    </row>
    <row r="104" spans="2:13" x14ac:dyDescent="0.2">
      <c r="B104" s="7"/>
    </row>
    <row r="105" spans="2:13" x14ac:dyDescent="0.2">
      <c r="C105" s="9" t="str">
        <f>+C68</f>
        <v>GLP</v>
      </c>
      <c r="D105" s="9"/>
      <c r="E105" s="9" t="str">
        <f>+E68</f>
        <v>LPL-S</v>
      </c>
      <c r="F105" s="9"/>
      <c r="H105" s="4" t="s">
        <v>31</v>
      </c>
      <c r="I105" s="9" t="str">
        <f>+C105</f>
        <v>GLP</v>
      </c>
      <c r="J105" s="9" t="str">
        <f>+E105</f>
        <v>LPL-S</v>
      </c>
    </row>
    <row r="106" spans="2:13" x14ac:dyDescent="0.2">
      <c r="F106" s="29"/>
    </row>
    <row r="107" spans="2:13" x14ac:dyDescent="0.2">
      <c r="B107" s="10" t="s">
        <v>23</v>
      </c>
      <c r="C107" s="61">
        <f>ROUND(($C$32*C70+D70)/10,4)</f>
        <v>4.7823000000000002</v>
      </c>
      <c r="D107" s="61"/>
      <c r="E107" s="61"/>
      <c r="F107" s="32"/>
      <c r="H107" s="19" t="s">
        <v>28</v>
      </c>
    </row>
    <row r="108" spans="2:13" x14ac:dyDescent="0.2">
      <c r="B108" s="15" t="s">
        <v>84</v>
      </c>
      <c r="C108" s="61"/>
      <c r="D108" s="61"/>
      <c r="E108" s="61">
        <f>ROUND(($C$32*E71+F71)/10,4)</f>
        <v>5.3592000000000004</v>
      </c>
      <c r="F108" s="33"/>
      <c r="H108" s="12" t="s">
        <v>47</v>
      </c>
      <c r="I108" s="45">
        <f>+I71</f>
        <v>5.4779999999999998</v>
      </c>
      <c r="J108" s="45">
        <f>+J71</f>
        <v>5.4779999999999998</v>
      </c>
      <c r="K108" s="18" t="s">
        <v>51</v>
      </c>
    </row>
    <row r="109" spans="2:13" x14ac:dyDescent="0.2">
      <c r="B109" s="15" t="s">
        <v>85</v>
      </c>
      <c r="C109" s="61"/>
      <c r="D109" s="61"/>
      <c r="E109" s="61">
        <f>ROUND(($C$32*E72+F72)/10,4)</f>
        <v>4.0853999999999999</v>
      </c>
      <c r="F109" s="33"/>
      <c r="H109" s="12" t="s">
        <v>48</v>
      </c>
      <c r="I109" s="45">
        <f>+I72</f>
        <v>5.4779999999999998</v>
      </c>
      <c r="J109" s="45">
        <f>+J72</f>
        <v>5.4779999999999998</v>
      </c>
      <c r="K109" s="18" t="s">
        <v>51</v>
      </c>
    </row>
    <row r="110" spans="2:13" x14ac:dyDescent="0.2">
      <c r="C110" s="61"/>
      <c r="D110" s="61"/>
      <c r="E110" s="61"/>
      <c r="F110" s="33"/>
      <c r="H110" s="12"/>
      <c r="I110" s="46"/>
      <c r="J110" s="46"/>
      <c r="K110" s="18"/>
    </row>
    <row r="111" spans="2:13" x14ac:dyDescent="0.2">
      <c r="B111" s="10" t="s">
        <v>24</v>
      </c>
      <c r="C111" s="61">
        <f>ROUND(($C$32*C74+D74)/10,4)</f>
        <v>5.3170000000000002</v>
      </c>
      <c r="D111" s="61"/>
      <c r="E111" s="61"/>
      <c r="F111" s="33"/>
      <c r="H111" s="19" t="s">
        <v>29</v>
      </c>
      <c r="I111" s="20"/>
      <c r="J111" s="20"/>
    </row>
    <row r="112" spans="2:13" x14ac:dyDescent="0.2">
      <c r="B112" s="15" t="s">
        <v>84</v>
      </c>
      <c r="C112" s="61"/>
      <c r="D112" s="61"/>
      <c r="E112" s="61">
        <f>ROUND(($C$32*E75+F75)/10,4)</f>
        <v>5.6955</v>
      </c>
      <c r="F112" s="33"/>
      <c r="H112" s="12" t="s">
        <v>49</v>
      </c>
      <c r="I112" s="45">
        <f>+I75</f>
        <v>8.6258999999999997</v>
      </c>
      <c r="J112" s="45">
        <f>+J75</f>
        <v>8.6258999999999997</v>
      </c>
      <c r="K112" s="18" t="s">
        <v>52</v>
      </c>
    </row>
    <row r="113" spans="1:12" x14ac:dyDescent="0.2">
      <c r="B113" s="15" t="s">
        <v>85</v>
      </c>
      <c r="C113" s="61"/>
      <c r="D113" s="61"/>
      <c r="E113" s="61">
        <f>ROUND(($C$32*E76+F76)/10,4)</f>
        <v>4.8621999999999996</v>
      </c>
      <c r="F113" s="33"/>
    </row>
    <row r="114" spans="1:12" x14ac:dyDescent="0.2">
      <c r="C114" s="34"/>
      <c r="D114" s="32"/>
      <c r="E114" s="34"/>
      <c r="F114" s="32"/>
    </row>
    <row r="115" spans="1:12" x14ac:dyDescent="0.2">
      <c r="C115" s="34"/>
      <c r="D115" s="32"/>
      <c r="E115" s="34"/>
      <c r="F115" s="32"/>
    </row>
    <row r="117" spans="1:12" x14ac:dyDescent="0.2">
      <c r="A117" s="60" t="s">
        <v>267</v>
      </c>
      <c r="B117" s="4" t="s">
        <v>268</v>
      </c>
      <c r="C117" s="23"/>
      <c r="E117" s="23"/>
    </row>
    <row r="118" spans="1:12" x14ac:dyDescent="0.2">
      <c r="C118" s="23"/>
      <c r="E118" s="23"/>
    </row>
    <row r="119" spans="1:12" x14ac:dyDescent="0.2">
      <c r="C119" s="9" t="s">
        <v>0</v>
      </c>
      <c r="D119" s="9" t="s">
        <v>1</v>
      </c>
      <c r="E119" s="9" t="s">
        <v>2</v>
      </c>
      <c r="F119" s="9" t="s">
        <v>3</v>
      </c>
      <c r="G119" s="9" t="s">
        <v>4</v>
      </c>
      <c r="H119" s="9" t="s">
        <v>6</v>
      </c>
      <c r="I119" s="9" t="s">
        <v>37</v>
      </c>
      <c r="J119" s="9" t="s">
        <v>38</v>
      </c>
    </row>
    <row r="120" spans="1:12" x14ac:dyDescent="0.2">
      <c r="B120" s="1" t="s">
        <v>269</v>
      </c>
    </row>
    <row r="121" spans="1:12" x14ac:dyDescent="0.2">
      <c r="B121" s="14" t="s">
        <v>53</v>
      </c>
      <c r="C121" s="16">
        <f>+C93/100*bid_factors!O53+auction_results_and_rates!C94/100*bid_factors!O54</f>
        <v>577675.60918866331</v>
      </c>
      <c r="D121" s="16">
        <f>+D93/100*bid_factors!P53+auction_results_and_rates!D94/100*bid_factors!P54</f>
        <v>2148.4881696217931</v>
      </c>
      <c r="E121" s="28">
        <f>+E90/100*bid_factors!Q50+E91/100*bid_factors!Q51</f>
        <v>10691.121462773095</v>
      </c>
      <c r="F121" s="16">
        <f>+F89/100*bid_factors!R49</f>
        <v>11.972016</v>
      </c>
      <c r="G121" s="16">
        <f>+G89/100*bid_factors!S49</f>
        <v>0.18528</v>
      </c>
      <c r="H121" s="16">
        <f>+H89/100*bid_factors!T49</f>
        <v>280.76055643088677</v>
      </c>
      <c r="I121" s="16">
        <f>+I89/100*bid_factors!U49</f>
        <v>1803.3597319999999</v>
      </c>
      <c r="J121" s="16">
        <f>+J89/100*bid_factors!V49</f>
        <v>3169.3331399999997</v>
      </c>
    </row>
    <row r="122" spans="1:12" ht="15" x14ac:dyDescent="0.35">
      <c r="B122" s="14" t="s">
        <v>54</v>
      </c>
      <c r="C122" s="17">
        <f>+C96/100*bid_factors!O45</f>
        <v>793981.51049789158</v>
      </c>
      <c r="D122" s="17">
        <f>+D96/100*bid_factors!P45</f>
        <v>7488.6317582533366</v>
      </c>
      <c r="E122" s="17">
        <f>+E97/100*bid_factors!Q46+auction_results_and_rates!E98/100*bid_factors!Q47</f>
        <v>11995.35901993623</v>
      </c>
      <c r="F122" s="17">
        <f>+F96/100*bid_factors!R45</f>
        <v>38.624574000000003</v>
      </c>
      <c r="G122" s="17">
        <f>+G96/100*bid_factors!S45</f>
        <v>0.68569800000000003</v>
      </c>
      <c r="H122" s="17">
        <f>+H96/100*bid_factors!T45</f>
        <v>1151.4228818176539</v>
      </c>
      <c r="I122" s="17">
        <f>+I96/100*bid_factors!U45</f>
        <v>5633.3688959999999</v>
      </c>
      <c r="J122" s="17">
        <f>+J96/100*bid_factors!V45</f>
        <v>10691.517315999999</v>
      </c>
    </row>
    <row r="123" spans="1:12" x14ac:dyDescent="0.2">
      <c r="B123" s="14" t="s">
        <v>19</v>
      </c>
      <c r="C123" s="2">
        <f>+C122+C121</f>
        <v>1371657.1196865549</v>
      </c>
      <c r="D123" s="2">
        <f t="shared" ref="D123:J123" si="3">+D122+D121</f>
        <v>9637.1199278751301</v>
      </c>
      <c r="E123" s="2">
        <f t="shared" si="3"/>
        <v>22686.480482709325</v>
      </c>
      <c r="F123" s="2">
        <f t="shared" si="3"/>
        <v>50.596590000000006</v>
      </c>
      <c r="G123" s="2">
        <f t="shared" si="3"/>
        <v>0.87097800000000003</v>
      </c>
      <c r="H123" s="2">
        <f t="shared" si="3"/>
        <v>1432.1834382485406</v>
      </c>
      <c r="I123" s="2">
        <f t="shared" si="3"/>
        <v>7436.7286279999998</v>
      </c>
      <c r="J123" s="2">
        <f t="shared" si="3"/>
        <v>13860.850456</v>
      </c>
    </row>
    <row r="124" spans="1:12" x14ac:dyDescent="0.2">
      <c r="B124" s="14"/>
      <c r="C124" s="2"/>
      <c r="D124" s="2"/>
      <c r="E124" s="2"/>
      <c r="F124" s="2"/>
      <c r="G124" s="2"/>
      <c r="H124" s="2"/>
      <c r="I124" s="2"/>
      <c r="J124" s="2"/>
      <c r="K124" s="2"/>
      <c r="L124" s="2"/>
    </row>
    <row r="125" spans="1:12" x14ac:dyDescent="0.2">
      <c r="B125" s="14"/>
      <c r="C125" s="2"/>
      <c r="D125" s="2"/>
      <c r="E125" s="2"/>
      <c r="F125" s="2"/>
      <c r="G125" s="2"/>
      <c r="H125" s="2"/>
      <c r="I125" s="2"/>
      <c r="J125" s="2"/>
      <c r="K125" s="2"/>
      <c r="L125" s="2"/>
    </row>
    <row r="126" spans="1:12" x14ac:dyDescent="0.2">
      <c r="B126" s="14"/>
      <c r="C126" s="9" t="s">
        <v>5</v>
      </c>
      <c r="D126" s="9" t="s">
        <v>5</v>
      </c>
      <c r="F126" s="9" t="s">
        <v>36</v>
      </c>
      <c r="G126" s="9" t="s">
        <v>36</v>
      </c>
      <c r="H126" s="2"/>
      <c r="I126" s="2"/>
      <c r="J126" s="2"/>
      <c r="K126" s="2"/>
      <c r="L126" s="2"/>
    </row>
    <row r="127" spans="1:12" x14ac:dyDescent="0.2">
      <c r="B127" s="14"/>
      <c r="C127" s="9" t="s">
        <v>275</v>
      </c>
      <c r="D127" s="9" t="s">
        <v>276</v>
      </c>
      <c r="F127" s="9" t="s">
        <v>275</v>
      </c>
      <c r="G127" s="9" t="s">
        <v>276</v>
      </c>
      <c r="H127" s="2"/>
      <c r="I127" s="2"/>
      <c r="J127" s="2"/>
      <c r="K127" s="2"/>
      <c r="L127" s="2"/>
    </row>
    <row r="128" spans="1:12" x14ac:dyDescent="0.2">
      <c r="B128" s="14"/>
      <c r="G128" s="2"/>
      <c r="H128" s="2"/>
      <c r="I128" s="2"/>
      <c r="J128" s="2"/>
      <c r="K128" s="2"/>
      <c r="L128" s="2"/>
    </row>
    <row r="129" spans="2:12" x14ac:dyDescent="0.2">
      <c r="B129" s="14" t="s">
        <v>53</v>
      </c>
      <c r="C129" s="28">
        <f>+C107/100*bid_factors!W49</f>
        <v>114394.2959377904</v>
      </c>
      <c r="D129" s="28">
        <f>I108*bid_factors!K147*4+auction_results_and_rates!I112*bid_factors!K149*4</f>
        <v>104453.583</v>
      </c>
      <c r="F129" s="28">
        <f>+E108/100*bid_factors!X50+auction_results_and_rates!E109/100*bid_factors!X51</f>
        <v>83678.02260946382</v>
      </c>
      <c r="G129" s="28">
        <f>auction_results_and_rates!J108*bid_factors!L147*4+auction_results_and_rates!J112*bid_factors!L149*4</f>
        <v>54526.275239999995</v>
      </c>
      <c r="H129" s="2"/>
      <c r="I129" s="2"/>
      <c r="J129" s="2"/>
      <c r="K129" s="2"/>
      <c r="L129" s="2"/>
    </row>
    <row r="130" spans="2:12" ht="15" x14ac:dyDescent="0.35">
      <c r="B130" s="14" t="s">
        <v>54</v>
      </c>
      <c r="C130" s="44">
        <f>+C111/100*bid_factors!W45</f>
        <v>217888.89947232758</v>
      </c>
      <c r="D130" s="44">
        <f>auction_results_and_rates!I109*bid_factors!K147*8+auction_results_and_rates!I112*bid_factors!K149*8</f>
        <v>208907.166</v>
      </c>
      <c r="F130" s="44">
        <f>+E112/100*bid_factors!X46+auction_results_and_rates!E113/100*bid_factors!X47</f>
        <v>165492.56312683853</v>
      </c>
      <c r="G130" s="44">
        <f>auction_results_and_rates!J109*bid_factors!L147*8+auction_results_and_rates!J112*bid_factors!L149*8</f>
        <v>109052.55047999999</v>
      </c>
      <c r="H130" s="2"/>
      <c r="I130" s="2"/>
      <c r="J130" s="2"/>
      <c r="K130" s="2"/>
      <c r="L130" s="2"/>
    </row>
    <row r="131" spans="2:12" x14ac:dyDescent="0.2">
      <c r="B131" s="14" t="s">
        <v>19</v>
      </c>
      <c r="C131" s="2">
        <f>+C130+C129</f>
        <v>332283.19541011797</v>
      </c>
      <c r="D131" s="2">
        <f>+D130+D129</f>
        <v>313360.74900000001</v>
      </c>
      <c r="F131" s="2">
        <f>+F130+F129</f>
        <v>249170.58573630237</v>
      </c>
      <c r="G131" s="2">
        <f>+G130+G129</f>
        <v>163578.82571999999</v>
      </c>
      <c r="H131" s="2"/>
      <c r="I131" s="2"/>
      <c r="J131" s="2"/>
      <c r="K131" s="2"/>
      <c r="L131" s="2"/>
    </row>
    <row r="132" spans="2:12" x14ac:dyDescent="0.2">
      <c r="B132" s="14"/>
      <c r="C132" s="2"/>
      <c r="F132" s="2"/>
      <c r="G132" s="2"/>
      <c r="H132" s="2"/>
      <c r="I132" s="2"/>
      <c r="J132" s="2"/>
      <c r="K132" s="2"/>
      <c r="L132" s="2"/>
    </row>
    <row r="133" spans="2:12" x14ac:dyDescent="0.2">
      <c r="B133" s="14"/>
      <c r="C133" s="2"/>
      <c r="D133" s="2"/>
      <c r="E133" s="2"/>
      <c r="F133" s="2"/>
      <c r="G133" s="2"/>
      <c r="H133" s="2"/>
      <c r="I133" s="2"/>
      <c r="J133" s="2"/>
      <c r="K133" s="2"/>
      <c r="L133" s="2"/>
    </row>
    <row r="134" spans="2:12" x14ac:dyDescent="0.2">
      <c r="B134" s="14"/>
      <c r="C134" s="9" t="s">
        <v>275</v>
      </c>
      <c r="D134" s="9" t="s">
        <v>276</v>
      </c>
      <c r="E134" s="9" t="s">
        <v>277</v>
      </c>
      <c r="F134" s="2"/>
      <c r="G134" s="2"/>
      <c r="H134" s="2"/>
      <c r="I134" s="2"/>
      <c r="J134" s="2"/>
      <c r="K134" s="2"/>
      <c r="L134" s="2"/>
    </row>
    <row r="135" spans="2:12" x14ac:dyDescent="0.2">
      <c r="B135" s="14" t="s">
        <v>170</v>
      </c>
      <c r="C135" s="2">
        <f>SUM(C121:J121)+C129+F129</f>
        <v>793853.14809274324</v>
      </c>
      <c r="D135" s="2">
        <f>+D129+G129</f>
        <v>158979.85824</v>
      </c>
      <c r="E135" s="2">
        <f>+C135+D135</f>
        <v>952833.00633274321</v>
      </c>
      <c r="F135" s="2"/>
      <c r="G135" s="2"/>
      <c r="H135" s="2"/>
      <c r="I135" s="2"/>
      <c r="J135" s="2"/>
      <c r="K135" s="2"/>
      <c r="L135" s="2"/>
    </row>
    <row r="136" spans="2:12" ht="15" x14ac:dyDescent="0.35">
      <c r="B136" s="14" t="s">
        <v>171</v>
      </c>
      <c r="C136" s="43">
        <f>SUM(C122:J122)+C130+F130</f>
        <v>1214362.5832410648</v>
      </c>
      <c r="D136" s="43">
        <f>+D130+G130</f>
        <v>317959.71648</v>
      </c>
      <c r="E136" s="43">
        <f>+C136+D136</f>
        <v>1532322.2997210647</v>
      </c>
    </row>
    <row r="137" spans="2:12" x14ac:dyDescent="0.2">
      <c r="B137" s="14" t="s">
        <v>172</v>
      </c>
      <c r="C137" s="2">
        <f>+C136+C135</f>
        <v>2008215.731333808</v>
      </c>
      <c r="D137" s="2">
        <f>+D131+G131</f>
        <v>476939.57472000003</v>
      </c>
      <c r="E137" s="183">
        <f>+C137+D137</f>
        <v>2485155.306053808</v>
      </c>
    </row>
    <row r="138" spans="2:12" x14ac:dyDescent="0.2">
      <c r="B138" s="14"/>
      <c r="C138" s="23"/>
      <c r="E138" s="23"/>
    </row>
    <row r="139" spans="2:12" x14ac:dyDescent="0.2">
      <c r="C139" s="9"/>
      <c r="D139" s="9"/>
      <c r="E139" s="9"/>
      <c r="F139" s="9"/>
      <c r="G139" s="9"/>
      <c r="H139" s="9"/>
      <c r="I139" s="9"/>
      <c r="J139" s="9"/>
      <c r="K139" s="9"/>
      <c r="L139" s="9"/>
    </row>
    <row r="140" spans="2:12" x14ac:dyDescent="0.2">
      <c r="B140" s="1" t="s">
        <v>125</v>
      </c>
    </row>
    <row r="141" spans="2:12" x14ac:dyDescent="0.2">
      <c r="B141" s="14" t="s">
        <v>53</v>
      </c>
      <c r="C141" s="2">
        <f>+C24+D24+E24</f>
        <v>989495.09882474178</v>
      </c>
    </row>
    <row r="142" spans="2:12" ht="15" x14ac:dyDescent="0.35">
      <c r="B142" s="14" t="s">
        <v>54</v>
      </c>
      <c r="C142" s="43">
        <f>+C25+D25+E25</f>
        <v>1495337.452649341</v>
      </c>
      <c r="E142" s="51"/>
      <c r="F142" s="52"/>
      <c r="G142" s="52"/>
      <c r="H142" s="53"/>
    </row>
    <row r="143" spans="2:12" x14ac:dyDescent="0.2">
      <c r="B143" s="14" t="s">
        <v>19</v>
      </c>
      <c r="C143" s="2">
        <f>+C142+C141</f>
        <v>2484832.5514740827</v>
      </c>
      <c r="E143" s="54" t="s">
        <v>278</v>
      </c>
      <c r="F143" s="55"/>
      <c r="G143" s="55"/>
      <c r="H143" s="62"/>
    </row>
    <row r="144" spans="2:12" x14ac:dyDescent="0.2">
      <c r="C144" s="23"/>
      <c r="E144" s="54" t="s">
        <v>270</v>
      </c>
      <c r="F144" s="56" t="s">
        <v>274</v>
      </c>
      <c r="G144" s="55"/>
      <c r="H144" s="62"/>
    </row>
    <row r="145" spans="1:10" x14ac:dyDescent="0.2">
      <c r="B145" s="3" t="s">
        <v>224</v>
      </c>
      <c r="C145" s="50"/>
      <c r="D145" s="50"/>
      <c r="E145" s="63" t="s">
        <v>271</v>
      </c>
      <c r="F145" s="55"/>
      <c r="G145" s="55"/>
      <c r="H145" s="62"/>
    </row>
    <row r="146" spans="1:10" x14ac:dyDescent="0.2">
      <c r="B146" s="14" t="s">
        <v>53</v>
      </c>
      <c r="C146" s="2">
        <f>+C141-E135</f>
        <v>36662.09249199857</v>
      </c>
      <c r="D146" s="48"/>
      <c r="E146" s="184">
        <f>ROUND(1+(C146/C135),5)</f>
        <v>1.0461800000000001</v>
      </c>
      <c r="F146" s="55"/>
      <c r="G146" s="55"/>
      <c r="H146" s="62"/>
    </row>
    <row r="147" spans="1:10" ht="15" x14ac:dyDescent="0.35">
      <c r="B147" s="14" t="s">
        <v>54</v>
      </c>
      <c r="C147" s="43">
        <f>+C142-E136</f>
        <v>-36984.84707172378</v>
      </c>
      <c r="D147" s="48"/>
      <c r="E147" s="184">
        <f>ROUND(1+(C147/C136),5)</f>
        <v>0.96953999999999996</v>
      </c>
      <c r="F147" s="55"/>
      <c r="G147" s="55"/>
      <c r="H147" s="62"/>
    </row>
    <row r="148" spans="1:10" x14ac:dyDescent="0.2">
      <c r="B148" s="14" t="s">
        <v>19</v>
      </c>
      <c r="C148" s="2">
        <f>+C143-E137</f>
        <v>-322.75457972520962</v>
      </c>
      <c r="D148" s="48"/>
      <c r="E148" s="64"/>
      <c r="F148" s="65"/>
      <c r="G148" s="65"/>
      <c r="H148" s="66"/>
    </row>
    <row r="150" spans="1:10" x14ac:dyDescent="0.2">
      <c r="C150" s="1" t="s">
        <v>226</v>
      </c>
    </row>
    <row r="151" spans="1:10" x14ac:dyDescent="0.2">
      <c r="C151" s="1" t="s">
        <v>227</v>
      </c>
    </row>
    <row r="153" spans="1:10" x14ac:dyDescent="0.2">
      <c r="A153" s="60" t="s">
        <v>279</v>
      </c>
      <c r="B153" s="41" t="s">
        <v>317</v>
      </c>
      <c r="C153" s="23"/>
      <c r="E153" s="23"/>
    </row>
    <row r="154" spans="1:10" x14ac:dyDescent="0.2">
      <c r="B154" s="5" t="s">
        <v>225</v>
      </c>
    </row>
    <row r="156" spans="1:10" x14ac:dyDescent="0.2">
      <c r="B156" s="4" t="s">
        <v>638</v>
      </c>
    </row>
    <row r="157" spans="1:10" x14ac:dyDescent="0.2">
      <c r="B157" s="5" t="s">
        <v>272</v>
      </c>
    </row>
    <row r="158" spans="1:10" x14ac:dyDescent="0.2">
      <c r="B158" s="4"/>
    </row>
    <row r="159" spans="1:10" x14ac:dyDescent="0.2">
      <c r="C159" s="9" t="str">
        <f>+C119</f>
        <v>RS</v>
      </c>
      <c r="D159" s="9" t="str">
        <f t="shared" ref="D159:J159" si="4">+D119</f>
        <v>RHS</v>
      </c>
      <c r="E159" s="9" t="str">
        <f t="shared" si="4"/>
        <v>RLM</v>
      </c>
      <c r="F159" s="9" t="str">
        <f t="shared" si="4"/>
        <v>WH</v>
      </c>
      <c r="G159" s="9" t="str">
        <f t="shared" si="4"/>
        <v>WHS</v>
      </c>
      <c r="H159" s="9" t="str">
        <f t="shared" si="4"/>
        <v>HS</v>
      </c>
      <c r="I159" s="9" t="str">
        <f t="shared" si="4"/>
        <v>PSAL</v>
      </c>
      <c r="J159" s="9" t="str">
        <f t="shared" si="4"/>
        <v>BPL</v>
      </c>
    </row>
    <row r="160" spans="1:10" x14ac:dyDescent="0.2">
      <c r="C160" s="60"/>
      <c r="D160" s="60"/>
      <c r="E160" s="60"/>
      <c r="F160" s="61"/>
      <c r="G160" s="61"/>
      <c r="H160" s="61"/>
      <c r="I160" s="61"/>
      <c r="J160" s="61"/>
    </row>
    <row r="161" spans="2:10" x14ac:dyDescent="0.2">
      <c r="B161" s="10" t="s">
        <v>23</v>
      </c>
      <c r="C161" s="60"/>
      <c r="D161" s="60"/>
      <c r="E161" s="60"/>
      <c r="F161" s="61">
        <f>ROUND(+F89*$E$146,4)</f>
        <v>4.8358999999999996</v>
      </c>
      <c r="G161" s="61">
        <f>ROUND(+G89*$E$146,4)</f>
        <v>4.8459000000000003</v>
      </c>
      <c r="H161" s="61">
        <f>ROUND(+H89*$E$146,4)</f>
        <v>11.277100000000001</v>
      </c>
      <c r="I161" s="61">
        <f>ROUND(+I89*$E$146,4)</f>
        <v>4.4646999999999997</v>
      </c>
      <c r="J161" s="61">
        <f>ROUND(+J89*$E$146,4)</f>
        <v>4.4646999999999997</v>
      </c>
    </row>
    <row r="162" spans="2:10" x14ac:dyDescent="0.2">
      <c r="B162" s="15" t="s">
        <v>84</v>
      </c>
      <c r="C162" s="60"/>
      <c r="D162" s="60"/>
      <c r="E162" s="61">
        <f>ROUND(+E90*$E$146,4)</f>
        <v>21.4605</v>
      </c>
      <c r="G162" s="61"/>
      <c r="H162" s="61"/>
      <c r="I162" s="61"/>
      <c r="J162" s="60"/>
    </row>
    <row r="163" spans="2:10" x14ac:dyDescent="0.2">
      <c r="B163" s="15" t="s">
        <v>85</v>
      </c>
      <c r="C163" s="60"/>
      <c r="D163" s="60"/>
      <c r="E163" s="61">
        <f>ROUND(+E91*$E$146,4)</f>
        <v>4.2840999999999996</v>
      </c>
      <c r="F163" s="60"/>
      <c r="G163" s="60"/>
      <c r="H163" s="60"/>
      <c r="I163" s="60"/>
      <c r="J163" s="60"/>
    </row>
    <row r="164" spans="2:10" x14ac:dyDescent="0.2">
      <c r="B164" s="25"/>
      <c r="C164" s="60"/>
      <c r="D164" s="60"/>
      <c r="E164" s="60"/>
      <c r="F164" s="60"/>
      <c r="G164" s="60"/>
      <c r="H164" s="60"/>
      <c r="I164" s="60"/>
      <c r="J164" s="60"/>
    </row>
    <row r="165" spans="2:10" x14ac:dyDescent="0.2">
      <c r="B165" s="39" t="s">
        <v>166</v>
      </c>
      <c r="C165" s="61">
        <f>ROUND(+C93*$E$146,4)</f>
        <v>10.916499999999999</v>
      </c>
      <c r="D165" s="61">
        <f>ROUND(+D93*$E$146,4)</f>
        <v>8.1778999999999993</v>
      </c>
      <c r="E165" s="60"/>
      <c r="F165" s="60"/>
      <c r="G165" s="60"/>
      <c r="H165" s="60"/>
      <c r="I165" s="60"/>
      <c r="J165" s="60"/>
    </row>
    <row r="166" spans="2:10" x14ac:dyDescent="0.2">
      <c r="B166" s="39" t="s">
        <v>167</v>
      </c>
      <c r="C166" s="61">
        <f>ROUND(+C94*$E$146,4)</f>
        <v>11.8216</v>
      </c>
      <c r="D166" s="61">
        <f>ROUND(+D94*$E$146,4)</f>
        <v>9.3881999999999994</v>
      </c>
      <c r="E166" s="60"/>
      <c r="F166" s="60"/>
      <c r="G166" s="60"/>
      <c r="H166" s="60"/>
      <c r="I166" s="60"/>
      <c r="J166" s="60"/>
    </row>
    <row r="167" spans="2:10" x14ac:dyDescent="0.2">
      <c r="C167" s="61"/>
      <c r="D167" s="61"/>
      <c r="E167" s="60"/>
      <c r="F167" s="60"/>
      <c r="G167" s="60"/>
      <c r="H167" s="60"/>
      <c r="I167" s="60"/>
      <c r="J167" s="60"/>
    </row>
    <row r="168" spans="2:10" x14ac:dyDescent="0.2">
      <c r="B168" s="10" t="s">
        <v>24</v>
      </c>
      <c r="C168" s="61">
        <f>ROUND(+C96*$E$147,4)</f>
        <v>10.9716</v>
      </c>
      <c r="D168" s="61">
        <f>ROUND(+D96*$E$147,4)</f>
        <v>8.6656999999999993</v>
      </c>
      <c r="E168" s="60"/>
      <c r="F168" s="61">
        <f>ROUND(+F96*$E$147,4)</f>
        <v>5.0674000000000001</v>
      </c>
      <c r="G168" s="61">
        <f>ROUND(+G96*$E$147,4)</f>
        <v>5.1139000000000001</v>
      </c>
      <c r="H168" s="61">
        <f>ROUND(+H96*$E$147,4)</f>
        <v>11.101800000000001</v>
      </c>
      <c r="I168" s="61">
        <f>ROUND(+I96*$E$147,4)</f>
        <v>4.9279999999999999</v>
      </c>
      <c r="J168" s="61">
        <f>ROUND(+J96*$E$147,4)</f>
        <v>4.9279999999999999</v>
      </c>
    </row>
    <row r="169" spans="2:10" x14ac:dyDescent="0.2">
      <c r="B169" s="15" t="s">
        <v>84</v>
      </c>
      <c r="C169" s="60"/>
      <c r="D169" s="60"/>
      <c r="E169" s="61">
        <f>ROUND(+E97*$E$147,4)</f>
        <v>20.241700000000002</v>
      </c>
      <c r="F169" s="60"/>
      <c r="G169" s="60"/>
      <c r="H169" s="60"/>
      <c r="I169" s="60"/>
      <c r="J169" s="60"/>
    </row>
    <row r="170" spans="2:10" x14ac:dyDescent="0.2">
      <c r="B170" s="15" t="s">
        <v>85</v>
      </c>
      <c r="C170" s="60"/>
      <c r="D170" s="60"/>
      <c r="E170" s="61">
        <f>ROUND(+E98*$E$147,4)</f>
        <v>4.7605000000000004</v>
      </c>
      <c r="F170" s="60"/>
      <c r="G170" s="60"/>
      <c r="H170" s="60"/>
      <c r="I170" s="60"/>
      <c r="J170" s="60"/>
    </row>
    <row r="171" spans="2:10" x14ac:dyDescent="0.2">
      <c r="C171" s="60"/>
      <c r="D171" s="60"/>
      <c r="E171" s="61"/>
      <c r="F171" s="60"/>
      <c r="G171" s="60"/>
      <c r="H171" s="60"/>
      <c r="I171" s="60"/>
      <c r="J171" s="60"/>
    </row>
    <row r="174" spans="2:10" x14ac:dyDescent="0.2">
      <c r="B174" s="4" t="s">
        <v>639</v>
      </c>
    </row>
    <row r="175" spans="2:10" x14ac:dyDescent="0.2">
      <c r="B175" s="5" t="s">
        <v>273</v>
      </c>
    </row>
    <row r="176" spans="2:10" x14ac:dyDescent="0.2">
      <c r="B176" s="7"/>
    </row>
    <row r="177" spans="1:12" x14ac:dyDescent="0.2">
      <c r="C177" s="9" t="str">
        <f>+C105</f>
        <v>GLP</v>
      </c>
      <c r="D177" s="9"/>
      <c r="E177" s="9" t="str">
        <f>+E105</f>
        <v>LPL-S</v>
      </c>
      <c r="F177" s="9"/>
      <c r="H177" s="4" t="s">
        <v>31</v>
      </c>
      <c r="I177" s="9" t="str">
        <f>+C177</f>
        <v>GLP</v>
      </c>
      <c r="J177" s="9" t="str">
        <f>+E177</f>
        <v>LPL-S</v>
      </c>
    </row>
    <row r="178" spans="1:12" x14ac:dyDescent="0.2">
      <c r="F178" s="29"/>
    </row>
    <row r="179" spans="1:12" x14ac:dyDescent="0.2">
      <c r="B179" s="10" t="s">
        <v>23</v>
      </c>
      <c r="C179" s="61">
        <f>ROUND(+C107*$E$146,4)</f>
        <v>5.0030999999999999</v>
      </c>
      <c r="D179" s="61"/>
      <c r="E179" s="61"/>
      <c r="F179" s="32"/>
      <c r="H179" s="19" t="s">
        <v>28</v>
      </c>
    </row>
    <row r="180" spans="1:12" x14ac:dyDescent="0.2">
      <c r="B180" s="15" t="s">
        <v>84</v>
      </c>
      <c r="C180" s="61"/>
      <c r="D180" s="61"/>
      <c r="E180" s="61">
        <f>ROUND(+E108*$E$146,4)</f>
        <v>5.6067</v>
      </c>
      <c r="F180" s="33"/>
      <c r="H180" s="12" t="s">
        <v>47</v>
      </c>
      <c r="I180" s="67">
        <f>+I108</f>
        <v>5.4779999999999998</v>
      </c>
      <c r="J180" s="67">
        <f>+J108</f>
        <v>5.4779999999999998</v>
      </c>
    </row>
    <row r="181" spans="1:12" x14ac:dyDescent="0.2">
      <c r="B181" s="15" t="s">
        <v>85</v>
      </c>
      <c r="C181" s="61"/>
      <c r="D181" s="61"/>
      <c r="E181" s="61">
        <f>ROUND(+E109*$E$146,4)</f>
        <v>4.2740999999999998</v>
      </c>
      <c r="F181" s="33"/>
      <c r="H181" s="12" t="s">
        <v>48</v>
      </c>
      <c r="I181" s="67">
        <f>+I109</f>
        <v>5.4779999999999998</v>
      </c>
      <c r="J181" s="67">
        <f>+J109</f>
        <v>5.4779999999999998</v>
      </c>
    </row>
    <row r="182" spans="1:12" x14ac:dyDescent="0.2">
      <c r="C182" s="61"/>
      <c r="D182" s="61"/>
      <c r="E182" s="61"/>
      <c r="F182" s="33"/>
      <c r="H182" s="12"/>
      <c r="I182" s="46"/>
      <c r="J182" s="46"/>
    </row>
    <row r="183" spans="1:12" x14ac:dyDescent="0.2">
      <c r="B183" s="10" t="s">
        <v>24</v>
      </c>
      <c r="C183" s="61">
        <f>ROUND(+C111*$E$147,4)</f>
        <v>5.1550000000000002</v>
      </c>
      <c r="D183" s="61"/>
      <c r="E183" s="61"/>
      <c r="F183" s="33"/>
      <c r="H183" s="19" t="s">
        <v>29</v>
      </c>
      <c r="I183" s="20"/>
      <c r="J183" s="20"/>
    </row>
    <row r="184" spans="1:12" x14ac:dyDescent="0.2">
      <c r="B184" s="15" t="s">
        <v>84</v>
      </c>
      <c r="C184" s="61"/>
      <c r="D184" s="61"/>
      <c r="E184" s="61">
        <f>ROUND(+E112*$E$147,4)</f>
        <v>5.5220000000000002</v>
      </c>
      <c r="F184" s="33"/>
      <c r="H184" s="12" t="s">
        <v>49</v>
      </c>
      <c r="I184" s="67">
        <f>+I112</f>
        <v>8.6258999999999997</v>
      </c>
      <c r="J184" s="67">
        <f>+J112</f>
        <v>8.6258999999999997</v>
      </c>
    </row>
    <row r="185" spans="1:12" x14ac:dyDescent="0.2">
      <c r="B185" s="15" t="s">
        <v>85</v>
      </c>
      <c r="C185" s="61"/>
      <c r="D185" s="61"/>
      <c r="E185" s="61">
        <f>ROUND(+E113*$E$147,4)</f>
        <v>4.7141000000000002</v>
      </c>
      <c r="F185" s="33"/>
    </row>
    <row r="189" spans="1:12" x14ac:dyDescent="0.2">
      <c r="A189" s="60" t="s">
        <v>282</v>
      </c>
      <c r="B189" s="4" t="s">
        <v>280</v>
      </c>
      <c r="C189" s="23"/>
      <c r="E189" s="23"/>
    </row>
    <row r="190" spans="1:12" x14ac:dyDescent="0.2">
      <c r="C190" s="23"/>
      <c r="E190" s="23"/>
    </row>
    <row r="191" spans="1:12" x14ac:dyDescent="0.2">
      <c r="C191" s="9" t="s">
        <v>0</v>
      </c>
      <c r="D191" s="9" t="s">
        <v>1</v>
      </c>
      <c r="E191" s="9" t="s">
        <v>2</v>
      </c>
      <c r="F191" s="9" t="s">
        <v>3</v>
      </c>
      <c r="G191" s="9" t="s">
        <v>4</v>
      </c>
      <c r="H191" s="9" t="s">
        <v>6</v>
      </c>
      <c r="I191" s="9" t="s">
        <v>37</v>
      </c>
      <c r="J191" s="9" t="s">
        <v>38</v>
      </c>
      <c r="K191" s="9" t="s">
        <v>5</v>
      </c>
      <c r="L191" s="9" t="s">
        <v>36</v>
      </c>
    </row>
    <row r="192" spans="1:12" x14ac:dyDescent="0.2">
      <c r="B192" s="1" t="s">
        <v>124</v>
      </c>
    </row>
    <row r="193" spans="2:12" x14ac:dyDescent="0.2">
      <c r="B193" s="14" t="s">
        <v>53</v>
      </c>
      <c r="C193" s="16">
        <f>+C165/100*bid_factors!O53+auction_results_and_rates!C166/100*bid_factors!O54</f>
        <v>604353.24562398833</v>
      </c>
      <c r="D193" s="16">
        <f>+D165/100*bid_factors!P53+auction_results_and_rates!D166/100*bid_factors!P54</f>
        <v>2247.7071501019609</v>
      </c>
      <c r="E193" s="28">
        <f>+E162/100*bid_factors!Q50+E163/100*bid_factors!Q51</f>
        <v>11184.834342696766</v>
      </c>
      <c r="F193" s="16">
        <f>+F161/100*bid_factors!R49</f>
        <v>12.524981</v>
      </c>
      <c r="G193" s="16">
        <f>+G161/100*bid_factors!S49</f>
        <v>0.19383600000000001</v>
      </c>
      <c r="H193" s="16">
        <f>+H161/100*bid_factors!T49</f>
        <v>293.7263895546792</v>
      </c>
      <c r="I193" s="16">
        <f>+I161/100*bid_factors!U49</f>
        <v>1886.648279</v>
      </c>
      <c r="J193" s="16">
        <f>+J161/100*bid_factors!V49</f>
        <v>3315.7094550000002</v>
      </c>
      <c r="K193" s="28">
        <f>+C179/100*bid_factors!W49+I180*bid_factors!K147*4+auction_results_and_rates!I184*bid_factors!K149*4</f>
        <v>224129.49250094287</v>
      </c>
      <c r="L193" s="28">
        <f>+E180/100*bid_factors!X50+auction_results_and_rates!E181/100*bid_factors!X51+auction_results_and_rates!J180*bid_factors!L147*4+auction_results_and_rates!J184*bid_factors!L149*4</f>
        <v>142068.97476277183</v>
      </c>
    </row>
    <row r="194" spans="2:12" ht="15" x14ac:dyDescent="0.35">
      <c r="B194" s="14" t="s">
        <v>54</v>
      </c>
      <c r="C194" s="17">
        <f>+C168/100*bid_factors!O45</f>
        <v>769796.4476532673</v>
      </c>
      <c r="D194" s="17">
        <f>+D168/100*bid_factors!P45</f>
        <v>7260.4873828033051</v>
      </c>
      <c r="E194" s="17">
        <f>+E169/100*bid_factors!Q46+auction_results_and_rates!E170/100*bid_factors!Q47</f>
        <v>11629.972145317817</v>
      </c>
      <c r="F194" s="17">
        <f>+F168/100*bid_factors!R45</f>
        <v>37.448086000000004</v>
      </c>
      <c r="G194" s="17">
        <f>+G168/100*bid_factors!S45</f>
        <v>0.66480700000000004</v>
      </c>
      <c r="H194" s="17">
        <f>+H168/100*bid_factors!T45</f>
        <v>1116.3490602556399</v>
      </c>
      <c r="I194" s="17">
        <f>+I168/100*bid_factors!U45</f>
        <v>5461.8009599999996</v>
      </c>
      <c r="J194" s="17">
        <f>+J168/100*bid_factors!V45</f>
        <v>10365.900159999999</v>
      </c>
      <c r="K194" s="44">
        <f>+C183/100*bid_factors!W45+auction_results_and_rates!I181*bid_factors!K147*8+auction_results_and_rates!I184*bid_factors!K149*8</f>
        <v>420157.35911262908</v>
      </c>
      <c r="L194" s="44">
        <f>+E184/100*bid_factors!X46+auction_results_and_rates!E185/100*bid_factors!X47+auction_results_and_rates!J181*bid_factors!L147*8+auction_results_and_rates!J184*bid_factors!L149*8</f>
        <v>269504.02010541508</v>
      </c>
    </row>
    <row r="195" spans="2:12" x14ac:dyDescent="0.2">
      <c r="B195" s="14" t="s">
        <v>19</v>
      </c>
      <c r="C195" s="2">
        <f t="shared" ref="C195:L195" si="5">+C194+C193</f>
        <v>1374149.6932772556</v>
      </c>
      <c r="D195" s="2">
        <f t="shared" si="5"/>
        <v>9508.1945329052651</v>
      </c>
      <c r="E195" s="2">
        <f t="shared" si="5"/>
        <v>22814.806488014583</v>
      </c>
      <c r="F195" s="2">
        <f t="shared" si="5"/>
        <v>49.973067</v>
      </c>
      <c r="G195" s="2">
        <f t="shared" si="5"/>
        <v>0.85864300000000005</v>
      </c>
      <c r="H195" s="2">
        <f t="shared" si="5"/>
        <v>1410.075449810319</v>
      </c>
      <c r="I195" s="2">
        <f t="shared" si="5"/>
        <v>7348.4492389999996</v>
      </c>
      <c r="J195" s="2">
        <f t="shared" si="5"/>
        <v>13681.609614999999</v>
      </c>
      <c r="K195" s="2">
        <f t="shared" si="5"/>
        <v>644286.85161357198</v>
      </c>
      <c r="L195" s="2">
        <f t="shared" si="5"/>
        <v>411572.99486818688</v>
      </c>
    </row>
    <row r="196" spans="2:12" x14ac:dyDescent="0.2">
      <c r="B196" s="14"/>
      <c r="C196" s="2"/>
      <c r="D196" s="2"/>
      <c r="E196" s="2"/>
      <c r="F196" s="2"/>
      <c r="G196" s="2"/>
      <c r="H196" s="2"/>
      <c r="I196" s="2"/>
      <c r="J196" s="2"/>
      <c r="K196" s="2"/>
      <c r="L196" s="2"/>
    </row>
    <row r="197" spans="2:12" x14ac:dyDescent="0.2">
      <c r="B197" s="14" t="s">
        <v>170</v>
      </c>
      <c r="C197" s="2">
        <f>SUM(C193:L193)</f>
        <v>989493.05732105661</v>
      </c>
      <c r="D197" s="2"/>
      <c r="E197" s="2"/>
      <c r="F197" s="2"/>
      <c r="G197" s="2"/>
      <c r="H197" s="2"/>
      <c r="I197" s="2"/>
      <c r="J197" s="2"/>
      <c r="K197" s="2"/>
      <c r="L197" s="2"/>
    </row>
    <row r="198" spans="2:12" ht="15" x14ac:dyDescent="0.35">
      <c r="B198" s="14" t="s">
        <v>171</v>
      </c>
      <c r="C198" s="43">
        <f>SUM(C194:L194)</f>
        <v>1495330.4494726881</v>
      </c>
      <c r="E198" s="23"/>
    </row>
    <row r="199" spans="2:12" x14ac:dyDescent="0.2">
      <c r="B199" s="14" t="s">
        <v>172</v>
      </c>
      <c r="C199" s="2">
        <f>+C198+C197</f>
        <v>2484823.5067937449</v>
      </c>
      <c r="E199" s="23"/>
    </row>
    <row r="200" spans="2:12" x14ac:dyDescent="0.2">
      <c r="B200" s="14"/>
      <c r="C200" s="23"/>
      <c r="E200" s="23"/>
    </row>
    <row r="201" spans="2:12" x14ac:dyDescent="0.2">
      <c r="C201" s="9"/>
      <c r="D201" s="9"/>
      <c r="E201" s="9"/>
      <c r="F201" s="9"/>
      <c r="G201" s="9"/>
      <c r="H201" s="9"/>
      <c r="I201" s="9"/>
      <c r="J201" s="9"/>
      <c r="K201" s="9"/>
      <c r="L201" s="9"/>
    </row>
    <row r="202" spans="2:12" x14ac:dyDescent="0.2">
      <c r="B202" s="1" t="s">
        <v>125</v>
      </c>
    </row>
    <row r="203" spans="2:12" x14ac:dyDescent="0.2">
      <c r="B203" s="14" t="s">
        <v>53</v>
      </c>
      <c r="C203" s="2">
        <f>+C24+D24+E24</f>
        <v>989495.09882474178</v>
      </c>
    </row>
    <row r="204" spans="2:12" ht="15" x14ac:dyDescent="0.35">
      <c r="B204" s="14" t="s">
        <v>54</v>
      </c>
      <c r="C204" s="43">
        <f>+C25+D25+E25</f>
        <v>1495337.452649341</v>
      </c>
    </row>
    <row r="205" spans="2:12" x14ac:dyDescent="0.2">
      <c r="B205" s="14" t="s">
        <v>19</v>
      </c>
      <c r="C205" s="2">
        <f>+C204+C203</f>
        <v>2484832.5514740827</v>
      </c>
      <c r="D205" s="2"/>
      <c r="G205" s="14"/>
    </row>
    <row r="206" spans="2:12" x14ac:dyDescent="0.2">
      <c r="C206" s="23"/>
      <c r="E206" s="23"/>
      <c r="G206" s="14"/>
    </row>
    <row r="207" spans="2:12" x14ac:dyDescent="0.2">
      <c r="B207" s="3" t="s">
        <v>224</v>
      </c>
      <c r="C207" s="2"/>
      <c r="E207" s="37" t="s">
        <v>228</v>
      </c>
      <c r="G207" s="37"/>
    </row>
    <row r="208" spans="2:12" x14ac:dyDescent="0.2">
      <c r="B208" s="14" t="s">
        <v>53</v>
      </c>
      <c r="C208" s="2">
        <f>+C197-C203</f>
        <v>-2.0415036851773039</v>
      </c>
      <c r="E208" s="48">
        <f>+C208/C197</f>
        <v>-2.0631814140307868E-6</v>
      </c>
    </row>
    <row r="209" spans="2:5" ht="15" x14ac:dyDescent="0.35">
      <c r="B209" s="14" t="s">
        <v>54</v>
      </c>
      <c r="C209" s="43">
        <f>+C198-C204</f>
        <v>-7.0031766528263688</v>
      </c>
      <c r="E209" s="49">
        <f>+C209/C198</f>
        <v>-4.6833639048117839E-6</v>
      </c>
    </row>
    <row r="210" spans="2:5" x14ac:dyDescent="0.2">
      <c r="B210" s="14" t="s">
        <v>19</v>
      </c>
      <c r="C210" s="2">
        <f>+C199-C205</f>
        <v>-9.0446803378872573</v>
      </c>
      <c r="E210" s="48">
        <f>+C210/C199</f>
        <v>-3.6399689205926446E-6</v>
      </c>
    </row>
    <row r="212" spans="2:5" x14ac:dyDescent="0.2">
      <c r="C212" s="36"/>
    </row>
  </sheetData>
  <customSheetViews>
    <customSheetView guid="{782F5CFE-DE26-4D5A-B82E-30A424B0A39B}"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1"/>
      <headerFooter alignWithMargins="0">
        <oddHeader>&amp;CPublic Service Electric and Gas Company Specific Addendum
Attachment 3</oddHeader>
        <oddFooter>&amp;CPage &amp;P of &amp;N</oddFooter>
      </headerFooter>
    </customSheetView>
    <customSheetView guid="{88B031DE-0423-45A5-B384-E560A52FDD07}"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2"/>
      <headerFooter alignWithMargins="0">
        <oddHeader>&amp;CPublic Service Electric and Gas Company Specific Addendum
Attachment 3</oddHeader>
        <oddFooter>&amp;CPage &amp;P of &amp;N</oddFooter>
      </headerFooter>
    </customSheetView>
    <customSheetView guid="{D5524E47-947F-4D9F-AE8B-3F0380261994}" fitToPage="1" hiddenRows="1" topLeftCell="A76">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3"/>
      <headerFooter alignWithMargins="0">
        <oddHeader>&amp;CPublic Service Electric and Gas Company Specific Addendum
Attachment 3</oddHeader>
        <oddFooter>&amp;CPage &amp;P of &amp;N</oddFooter>
      </headerFooter>
    </customSheetView>
    <customSheetView guid="{9BF7FAF1-D686-4A6B-A2BE-0DAD43841920}"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4"/>
      <headerFooter alignWithMargins="0">
        <oddHeader>&amp;CPublic Service Electric and Gas Company Specific Addendum
Attachment 3</oddHeader>
        <oddFooter>&amp;CPage &amp;P of &amp;N</oddFooter>
      </headerFooter>
    </customSheetView>
  </customSheetViews>
  <phoneticPr fontId="0" type="noConversion"/>
  <pageMargins left="0.75" right="0.75" top="1" bottom="1" header="0.5" footer="0.5"/>
  <pageSetup scale="65" fitToHeight="0" orientation="landscape" r:id="rId5"/>
  <headerFooter alignWithMargins="0">
    <oddHeader>&amp;CPublic Service Electric and Gas Company Specific Addendum
Attachment 3</oddHeader>
    <oddFooter>&amp;CPage &amp;P of &amp;N</oddFooter>
  </headerFooter>
  <rowBreaks count="7" manualBreakCount="7">
    <brk id="39" max="11" man="1"/>
    <brk id="79" max="11" man="1"/>
    <brk id="115" max="11" man="1"/>
    <brk id="151" max="11" man="1"/>
    <brk id="187" max="11" man="1"/>
    <brk id="212" max="11" man="1"/>
    <brk id="250"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pageSetUpPr fitToPage="1"/>
  </sheetPr>
  <dimension ref="A1:CH93"/>
  <sheetViews>
    <sheetView workbookViewId="0"/>
  </sheetViews>
  <sheetFormatPr defaultColWidth="15.28515625" defaultRowHeight="12.75" x14ac:dyDescent="0.2"/>
  <cols>
    <col min="1" max="2" width="9.140625" style="175" customWidth="1"/>
    <col min="3" max="3" width="14.85546875" style="175" customWidth="1"/>
    <col min="4" max="4" width="41.7109375" style="175" customWidth="1"/>
    <col min="5" max="7" width="14.28515625" style="175" customWidth="1"/>
    <col min="8" max="21" width="15.42578125" style="175" customWidth="1"/>
    <col min="22" max="22" width="22.7109375" style="175" customWidth="1"/>
    <col min="23" max="23" width="15.42578125" style="175" customWidth="1"/>
    <col min="24" max="83" width="15.28515625" style="175" customWidth="1"/>
    <col min="84" max="16384" width="15.28515625" style="175"/>
  </cols>
  <sheetData>
    <row r="1" spans="1:86" s="190" customFormat="1" x14ac:dyDescent="0.2">
      <c r="D1" s="192" t="s">
        <v>433</v>
      </c>
      <c r="E1" s="188">
        <v>1</v>
      </c>
      <c r="F1" s="451"/>
      <c r="G1" s="451"/>
      <c r="H1" s="451"/>
    </row>
    <row r="2" spans="1:86" s="190" customFormat="1" ht="13.5" thickBot="1" x14ac:dyDescent="0.25">
      <c r="D2" s="193"/>
      <c r="E2" s="189">
        <v>2</v>
      </c>
    </row>
    <row r="3" spans="1:86" s="191" customFormat="1" x14ac:dyDescent="0.2">
      <c r="E3" s="194"/>
      <c r="F3" s="194">
        <v>1</v>
      </c>
      <c r="G3" s="194">
        <v>2</v>
      </c>
      <c r="H3" s="191">
        <v>3</v>
      </c>
      <c r="I3" s="194">
        <v>4</v>
      </c>
      <c r="J3" s="194">
        <v>5</v>
      </c>
      <c r="K3" s="191">
        <v>6</v>
      </c>
      <c r="L3" s="194">
        <v>7</v>
      </c>
      <c r="M3" s="194">
        <v>8</v>
      </c>
      <c r="N3" s="191">
        <v>9</v>
      </c>
      <c r="O3" s="194">
        <v>10</v>
      </c>
      <c r="P3" s="194">
        <v>11</v>
      </c>
      <c r="Q3" s="191">
        <v>12</v>
      </c>
      <c r="R3" s="194">
        <v>13</v>
      </c>
      <c r="S3" s="194">
        <v>14</v>
      </c>
      <c r="T3" s="191">
        <v>15</v>
      </c>
      <c r="U3" s="194">
        <v>16</v>
      </c>
      <c r="V3" s="194">
        <v>17</v>
      </c>
      <c r="W3" s="191">
        <v>18</v>
      </c>
      <c r="X3" s="194">
        <v>19</v>
      </c>
      <c r="Y3" s="194">
        <v>20</v>
      </c>
      <c r="Z3" s="191">
        <v>21</v>
      </c>
      <c r="AA3" s="194">
        <v>22</v>
      </c>
      <c r="AB3" s="194">
        <v>23</v>
      </c>
      <c r="AC3" s="191">
        <v>24</v>
      </c>
      <c r="AD3" s="194">
        <v>25</v>
      </c>
      <c r="AE3" s="194">
        <v>26</v>
      </c>
      <c r="AF3" s="191">
        <v>27</v>
      </c>
      <c r="AG3" s="194">
        <v>28</v>
      </c>
      <c r="AH3" s="194">
        <v>29</v>
      </c>
      <c r="AI3" s="191">
        <v>30</v>
      </c>
      <c r="AJ3" s="194">
        <v>31</v>
      </c>
      <c r="AK3" s="194">
        <v>32</v>
      </c>
      <c r="AL3" s="191">
        <v>33</v>
      </c>
      <c r="AM3" s="194">
        <v>34</v>
      </c>
      <c r="AN3" s="194">
        <v>35</v>
      </c>
      <c r="AO3" s="191">
        <v>36</v>
      </c>
      <c r="AP3" s="194">
        <v>37</v>
      </c>
      <c r="AQ3" s="194">
        <v>38</v>
      </c>
      <c r="AR3" s="191">
        <v>39</v>
      </c>
      <c r="AS3" s="194">
        <v>40</v>
      </c>
      <c r="AT3" s="194">
        <v>41</v>
      </c>
      <c r="AU3" s="191">
        <v>42</v>
      </c>
    </row>
    <row r="4" spans="1:86" s="199" customFormat="1" ht="68.25" customHeight="1" x14ac:dyDescent="0.25">
      <c r="D4" s="229" t="s">
        <v>445</v>
      </c>
      <c r="E4" s="236" t="s">
        <v>446</v>
      </c>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0"/>
      <c r="BK4" s="410"/>
      <c r="BL4" s="410"/>
      <c r="BM4" s="410"/>
      <c r="BN4" s="410"/>
      <c r="BO4" s="410"/>
      <c r="BP4" s="410"/>
      <c r="BQ4" s="410"/>
      <c r="BR4" s="410"/>
      <c r="BS4" s="410"/>
      <c r="BT4" s="410"/>
      <c r="BU4" s="410"/>
      <c r="BV4" s="410"/>
      <c r="BW4" s="410"/>
      <c r="BX4" s="410"/>
      <c r="BY4" s="410"/>
      <c r="BZ4" s="410"/>
      <c r="CA4" s="410"/>
      <c r="CB4" s="410"/>
      <c r="CC4" s="410"/>
      <c r="CD4" s="410"/>
      <c r="CE4" s="410"/>
      <c r="CF4" s="410"/>
      <c r="CG4" s="410"/>
      <c r="CH4" s="410"/>
    </row>
    <row r="5" spans="1:86" s="231" customFormat="1" ht="25.5" x14ac:dyDescent="0.2">
      <c r="A5" s="182" t="s">
        <v>405</v>
      </c>
      <c r="B5" s="182" t="s">
        <v>451</v>
      </c>
      <c r="C5" s="182" t="s">
        <v>406</v>
      </c>
      <c r="D5" s="182" t="s">
        <v>407</v>
      </c>
      <c r="E5" s="182" t="s">
        <v>432</v>
      </c>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row>
    <row r="6" spans="1:86" x14ac:dyDescent="0.2">
      <c r="A6" s="175" t="s">
        <v>336</v>
      </c>
      <c r="B6" s="175" t="s">
        <v>452</v>
      </c>
      <c r="C6" s="175" t="s">
        <v>252</v>
      </c>
      <c r="D6" s="175" t="s">
        <v>385</v>
      </c>
      <c r="E6" s="195" t="e">
        <f t="shared" ref="E6:E69" si="0">(INDEX($F6:$XFD6,1,$E$2)-INDEX($F6:$XFD6,1,$E$1))/INDEX($F6:$XFD6,1,$E$1)</f>
        <v>#DIV/0!</v>
      </c>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row>
    <row r="7" spans="1:86" x14ac:dyDescent="0.2">
      <c r="A7" s="175" t="s">
        <v>336</v>
      </c>
      <c r="B7" s="175" t="s">
        <v>452</v>
      </c>
      <c r="C7" s="175" t="s">
        <v>252</v>
      </c>
      <c r="D7" s="175" t="s">
        <v>386</v>
      </c>
      <c r="E7" s="195" t="e">
        <f t="shared" si="0"/>
        <v>#DIV/0!</v>
      </c>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row>
    <row r="8" spans="1:86" x14ac:dyDescent="0.2">
      <c r="A8" s="175" t="s">
        <v>336</v>
      </c>
      <c r="B8" s="175" t="s">
        <v>452</v>
      </c>
      <c r="C8" s="175" t="s">
        <v>252</v>
      </c>
      <c r="D8" s="175" t="s">
        <v>387</v>
      </c>
      <c r="E8" s="195" t="e">
        <f t="shared" si="0"/>
        <v>#DIV/0!</v>
      </c>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row>
    <row r="9" spans="1:86" x14ac:dyDescent="0.2">
      <c r="A9" s="175" t="s">
        <v>336</v>
      </c>
      <c r="B9" s="175" t="s">
        <v>452</v>
      </c>
      <c r="C9" s="175" t="s">
        <v>252</v>
      </c>
      <c r="D9" s="175" t="s">
        <v>388</v>
      </c>
      <c r="E9" s="195" t="e">
        <f t="shared" si="0"/>
        <v>#DIV/0!</v>
      </c>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row>
    <row r="10" spans="1:86" x14ac:dyDescent="0.2">
      <c r="A10" s="175" t="s">
        <v>336</v>
      </c>
      <c r="B10" s="175" t="s">
        <v>452</v>
      </c>
      <c r="C10" s="175" t="s">
        <v>252</v>
      </c>
      <c r="D10" s="175" t="s">
        <v>389</v>
      </c>
      <c r="E10" s="195" t="e">
        <f t="shared" si="0"/>
        <v>#DIV/0!</v>
      </c>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row>
    <row r="11" spans="1:86" x14ac:dyDescent="0.2">
      <c r="A11" s="175" t="s">
        <v>336</v>
      </c>
      <c r="B11" s="175" t="s">
        <v>452</v>
      </c>
      <c r="C11" s="175" t="s">
        <v>252</v>
      </c>
      <c r="D11" s="175" t="s">
        <v>390</v>
      </c>
      <c r="E11" s="195" t="e">
        <f t="shared" si="0"/>
        <v>#DIV/0!</v>
      </c>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row>
    <row r="12" spans="1:86" x14ac:dyDescent="0.2">
      <c r="A12" s="175" t="s">
        <v>336</v>
      </c>
      <c r="B12" s="175" t="s">
        <v>452</v>
      </c>
      <c r="C12" s="175" t="s">
        <v>252</v>
      </c>
      <c r="D12" s="175" t="s">
        <v>391</v>
      </c>
      <c r="E12" s="195" t="e">
        <f t="shared" si="0"/>
        <v>#DIV/0!</v>
      </c>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row>
    <row r="13" spans="1:86" x14ac:dyDescent="0.2">
      <c r="A13" s="175" t="s">
        <v>336</v>
      </c>
      <c r="B13" s="175" t="s">
        <v>452</v>
      </c>
      <c r="C13" s="175" t="s">
        <v>252</v>
      </c>
      <c r="D13" s="175" t="s">
        <v>392</v>
      </c>
      <c r="E13" s="195" t="e">
        <f t="shared" si="0"/>
        <v>#DIV/0!</v>
      </c>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row>
    <row r="14" spans="1:86" x14ac:dyDescent="0.2">
      <c r="A14" s="175" t="s">
        <v>336</v>
      </c>
      <c r="B14" s="175" t="s">
        <v>452</v>
      </c>
      <c r="C14" s="175" t="s">
        <v>252</v>
      </c>
      <c r="D14" s="175" t="s">
        <v>393</v>
      </c>
      <c r="E14" s="195" t="e">
        <f t="shared" si="0"/>
        <v>#DIV/0!</v>
      </c>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row>
    <row r="15" spans="1:86" ht="13.5" thickBot="1" x14ac:dyDescent="0.25">
      <c r="A15" s="175" t="s">
        <v>336</v>
      </c>
      <c r="B15" s="175" t="s">
        <v>452</v>
      </c>
      <c r="C15" s="175" t="s">
        <v>252</v>
      </c>
      <c r="D15" s="175" t="s">
        <v>394</v>
      </c>
      <c r="E15" s="195" t="e">
        <f t="shared" si="0"/>
        <v>#DIV/0!</v>
      </c>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c r="BC15" s="396"/>
      <c r="BD15" s="396"/>
      <c r="BE15" s="396"/>
      <c r="BF15" s="396"/>
      <c r="BG15" s="396"/>
      <c r="BH15" s="396"/>
      <c r="BI15" s="396"/>
      <c r="BJ15" s="396"/>
      <c r="BK15" s="396"/>
      <c r="BL15" s="396"/>
      <c r="BM15" s="396"/>
      <c r="BN15" s="396"/>
      <c r="BO15" s="396"/>
      <c r="BP15" s="396"/>
      <c r="BQ15" s="396"/>
      <c r="BR15" s="396"/>
      <c r="BS15" s="396"/>
      <c r="BT15" s="396"/>
      <c r="BU15" s="396"/>
      <c r="BV15" s="396"/>
      <c r="BW15" s="396"/>
      <c r="BX15" s="396"/>
      <c r="BY15" s="396"/>
      <c r="BZ15" s="396"/>
      <c r="CA15" s="396"/>
      <c r="CB15" s="396"/>
      <c r="CC15" s="396"/>
      <c r="CD15" s="396"/>
      <c r="CE15" s="396"/>
      <c r="CF15" s="396"/>
      <c r="CG15" s="396"/>
      <c r="CH15" s="396"/>
    </row>
    <row r="16" spans="1:86" x14ac:dyDescent="0.2">
      <c r="A16" s="176" t="s">
        <v>337</v>
      </c>
      <c r="B16" s="175" t="s">
        <v>452</v>
      </c>
      <c r="C16" s="175" t="s">
        <v>396</v>
      </c>
      <c r="D16" s="176" t="s">
        <v>418</v>
      </c>
      <c r="E16" s="195" t="e">
        <f t="shared" si="0"/>
        <v>#DIV/0!</v>
      </c>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row>
    <row r="17" spans="1:86" ht="13.5" thickBot="1" x14ac:dyDescent="0.25">
      <c r="A17" s="176" t="s">
        <v>337</v>
      </c>
      <c r="B17" s="175" t="s">
        <v>452</v>
      </c>
      <c r="C17" s="175" t="s">
        <v>396</v>
      </c>
      <c r="D17" s="176" t="s">
        <v>419</v>
      </c>
      <c r="E17" s="195" t="e">
        <f t="shared" si="0"/>
        <v>#DIV/0!</v>
      </c>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row>
    <row r="18" spans="1:86" x14ac:dyDescent="0.2">
      <c r="A18" s="176" t="s">
        <v>338</v>
      </c>
      <c r="B18" s="175" t="s">
        <v>452</v>
      </c>
      <c r="C18" s="175" t="s">
        <v>413</v>
      </c>
      <c r="D18" s="176" t="s">
        <v>414</v>
      </c>
      <c r="E18" s="195" t="e">
        <f t="shared" si="0"/>
        <v>#DIV/0!</v>
      </c>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c r="BA18" s="397"/>
      <c r="BB18" s="397"/>
      <c r="BC18" s="397"/>
      <c r="BD18" s="397"/>
      <c r="BE18" s="397"/>
      <c r="BF18" s="397"/>
      <c r="BG18" s="397"/>
      <c r="BH18" s="397"/>
      <c r="BI18" s="397"/>
      <c r="BJ18" s="397"/>
      <c r="BK18" s="397"/>
      <c r="BL18" s="397"/>
      <c r="BM18" s="397"/>
      <c r="BN18" s="397"/>
      <c r="BO18" s="397"/>
      <c r="BP18" s="397"/>
      <c r="BQ18" s="397"/>
      <c r="BR18" s="397"/>
      <c r="BS18" s="397"/>
      <c r="BT18" s="397"/>
      <c r="BU18" s="397"/>
      <c r="BV18" s="397"/>
      <c r="BW18" s="397"/>
      <c r="BX18" s="397"/>
      <c r="BY18" s="397"/>
      <c r="BZ18" s="397"/>
      <c r="CA18" s="397"/>
      <c r="CB18" s="397"/>
      <c r="CC18" s="397"/>
      <c r="CD18" s="397"/>
      <c r="CE18" s="397"/>
      <c r="CF18" s="397"/>
      <c r="CG18" s="397"/>
      <c r="CH18" s="397"/>
    </row>
    <row r="19" spans="1:86" x14ac:dyDescent="0.2">
      <c r="A19" s="176" t="s">
        <v>338</v>
      </c>
      <c r="B19" s="175" t="s">
        <v>452</v>
      </c>
      <c r="C19" s="175" t="s">
        <v>413</v>
      </c>
      <c r="D19" s="176" t="s">
        <v>416</v>
      </c>
      <c r="E19" s="195" t="e">
        <f t="shared" si="0"/>
        <v>#DIV/0!</v>
      </c>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92"/>
      <c r="AZ19" s="392"/>
      <c r="BA19" s="392"/>
      <c r="BB19" s="392"/>
      <c r="BC19" s="392"/>
      <c r="BD19" s="392"/>
      <c r="BE19" s="392"/>
      <c r="BF19" s="392"/>
      <c r="BG19" s="392"/>
      <c r="BH19" s="392"/>
      <c r="BI19" s="392"/>
      <c r="BJ19" s="392"/>
      <c r="BK19" s="392"/>
      <c r="BL19" s="392"/>
      <c r="BM19" s="392"/>
      <c r="BN19" s="392"/>
      <c r="BO19" s="392"/>
      <c r="BP19" s="392"/>
      <c r="BQ19" s="392"/>
      <c r="BR19" s="392"/>
      <c r="BS19" s="392"/>
      <c r="BT19" s="392"/>
      <c r="BU19" s="392"/>
      <c r="BV19" s="392"/>
      <c r="BW19" s="392"/>
      <c r="BX19" s="392"/>
      <c r="BY19" s="392"/>
      <c r="BZ19" s="392"/>
      <c r="CA19" s="392"/>
      <c r="CB19" s="392"/>
      <c r="CC19" s="392"/>
      <c r="CD19" s="392"/>
      <c r="CE19" s="392"/>
      <c r="CF19" s="392"/>
      <c r="CG19" s="392"/>
      <c r="CH19" s="392"/>
    </row>
    <row r="20" spans="1:86" x14ac:dyDescent="0.2">
      <c r="A20" s="176" t="s">
        <v>338</v>
      </c>
      <c r="B20" s="175" t="s">
        <v>452</v>
      </c>
      <c r="C20" s="175" t="s">
        <v>413</v>
      </c>
      <c r="D20" s="176" t="s">
        <v>415</v>
      </c>
      <c r="E20" s="195" t="e">
        <f t="shared" si="0"/>
        <v>#DIV/0!</v>
      </c>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2"/>
      <c r="BB20" s="392"/>
      <c r="BC20" s="392"/>
      <c r="BD20" s="392"/>
      <c r="BE20" s="392"/>
      <c r="BF20" s="392"/>
      <c r="BG20" s="392"/>
      <c r="BH20" s="392"/>
      <c r="BI20" s="392"/>
      <c r="BJ20" s="392"/>
      <c r="BK20" s="392"/>
      <c r="BL20" s="392"/>
      <c r="BM20" s="392"/>
      <c r="BN20" s="392"/>
      <c r="BO20" s="392"/>
      <c r="BP20" s="392"/>
      <c r="BQ20" s="392"/>
      <c r="BR20" s="392"/>
      <c r="BS20" s="392"/>
      <c r="BT20" s="392"/>
      <c r="BU20" s="392"/>
      <c r="BV20" s="392"/>
      <c r="BW20" s="392"/>
      <c r="BX20" s="392"/>
      <c r="BY20" s="392"/>
      <c r="BZ20" s="392"/>
      <c r="CA20" s="392"/>
      <c r="CB20" s="392"/>
      <c r="CC20" s="392"/>
      <c r="CD20" s="392"/>
      <c r="CE20" s="392"/>
      <c r="CF20" s="392"/>
      <c r="CG20" s="392"/>
      <c r="CH20" s="392"/>
    </row>
    <row r="21" spans="1:86" ht="13.5" thickBot="1" x14ac:dyDescent="0.25">
      <c r="A21" s="176" t="s">
        <v>338</v>
      </c>
      <c r="B21" s="175" t="s">
        <v>452</v>
      </c>
      <c r="C21" s="175" t="s">
        <v>413</v>
      </c>
      <c r="D21" s="176" t="s">
        <v>417</v>
      </c>
      <c r="E21" s="195" t="e">
        <f t="shared" si="0"/>
        <v>#DIV/0!</v>
      </c>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398"/>
      <c r="BG21" s="398"/>
      <c r="BH21" s="398"/>
      <c r="BI21" s="398"/>
      <c r="BJ21" s="398"/>
      <c r="BK21" s="398"/>
      <c r="BL21" s="398"/>
      <c r="BM21" s="398"/>
      <c r="BN21" s="398"/>
      <c r="BO21" s="398"/>
      <c r="BP21" s="398"/>
      <c r="BQ21" s="398"/>
      <c r="BR21" s="398"/>
      <c r="BS21" s="398"/>
      <c r="BT21" s="398"/>
      <c r="BU21" s="398"/>
      <c r="BV21" s="398"/>
      <c r="BW21" s="398"/>
      <c r="BX21" s="398"/>
      <c r="BY21" s="398"/>
      <c r="BZ21" s="398"/>
      <c r="CA21" s="398"/>
      <c r="CB21" s="398"/>
      <c r="CC21" s="398"/>
      <c r="CD21" s="398"/>
      <c r="CE21" s="398"/>
      <c r="CF21" s="398"/>
      <c r="CG21" s="398"/>
      <c r="CH21" s="398"/>
    </row>
    <row r="22" spans="1:86" ht="13.5" thickBot="1" x14ac:dyDescent="0.25">
      <c r="A22" s="176" t="s">
        <v>339</v>
      </c>
      <c r="B22" s="175" t="s">
        <v>452</v>
      </c>
      <c r="C22" s="175" t="s">
        <v>413</v>
      </c>
      <c r="D22" s="176" t="s">
        <v>327</v>
      </c>
      <c r="E22" s="195" t="e">
        <f t="shared" si="0"/>
        <v>#DIV/0!</v>
      </c>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399"/>
      <c r="AZ22" s="399"/>
      <c r="BA22" s="399"/>
      <c r="BB22" s="399"/>
      <c r="BC22" s="399"/>
      <c r="BD22" s="399"/>
      <c r="BE22" s="399"/>
      <c r="BF22" s="399"/>
      <c r="BG22" s="399"/>
      <c r="BH22" s="399"/>
      <c r="BI22" s="399"/>
      <c r="BJ22" s="399"/>
      <c r="BK22" s="399"/>
      <c r="BL22" s="399"/>
      <c r="BM22" s="399"/>
      <c r="BN22" s="399"/>
      <c r="BO22" s="399"/>
      <c r="BP22" s="399"/>
      <c r="BQ22" s="399"/>
      <c r="BR22" s="399"/>
      <c r="BS22" s="399"/>
      <c r="BT22" s="399"/>
      <c r="BU22" s="399"/>
      <c r="BV22" s="399"/>
      <c r="BW22" s="399"/>
      <c r="BX22" s="399"/>
      <c r="BY22" s="399"/>
      <c r="BZ22" s="399"/>
      <c r="CA22" s="399"/>
      <c r="CB22" s="399"/>
      <c r="CC22" s="399"/>
      <c r="CD22" s="399"/>
      <c r="CE22" s="399"/>
      <c r="CF22" s="399"/>
      <c r="CG22" s="399"/>
      <c r="CH22" s="399"/>
    </row>
    <row r="23" spans="1:86" ht="13.5" thickBot="1" x14ac:dyDescent="0.25">
      <c r="A23" s="176" t="s">
        <v>341</v>
      </c>
      <c r="B23" s="175" t="s">
        <v>452</v>
      </c>
      <c r="C23" s="175" t="s">
        <v>396</v>
      </c>
      <c r="D23" s="176" t="s">
        <v>420</v>
      </c>
      <c r="E23" s="195" t="e">
        <f t="shared" si="0"/>
        <v>#DIV/0!</v>
      </c>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row>
    <row r="24" spans="1:86" x14ac:dyDescent="0.2">
      <c r="A24" s="175" t="s">
        <v>340</v>
      </c>
      <c r="B24" s="175" t="s">
        <v>452</v>
      </c>
      <c r="C24" s="175" t="s">
        <v>251</v>
      </c>
      <c r="D24" s="175" t="s">
        <v>343</v>
      </c>
      <c r="E24" s="195" t="e">
        <f t="shared" si="0"/>
        <v>#DIV/0!</v>
      </c>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01"/>
      <c r="CH24" s="401"/>
    </row>
    <row r="25" spans="1:86" x14ac:dyDescent="0.2">
      <c r="A25" s="175" t="s">
        <v>340</v>
      </c>
      <c r="B25" s="175" t="s">
        <v>452</v>
      </c>
      <c r="C25" s="175" t="s">
        <v>251</v>
      </c>
      <c r="D25" s="175" t="s">
        <v>344</v>
      </c>
      <c r="E25" s="195" t="e">
        <f t="shared" si="0"/>
        <v>#DIV/0!</v>
      </c>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393"/>
      <c r="BG25" s="393"/>
      <c r="BH25" s="393"/>
      <c r="BI25" s="393"/>
      <c r="BJ25" s="393"/>
      <c r="BK25" s="393"/>
      <c r="BL25" s="393"/>
      <c r="BM25" s="393"/>
      <c r="BN25" s="393"/>
      <c r="BO25" s="393"/>
      <c r="BP25" s="393"/>
      <c r="BQ25" s="393"/>
      <c r="BR25" s="393"/>
      <c r="BS25" s="393"/>
      <c r="BT25" s="393"/>
      <c r="BU25" s="393"/>
      <c r="BV25" s="393"/>
      <c r="BW25" s="393"/>
      <c r="BX25" s="393"/>
      <c r="BY25" s="393"/>
      <c r="BZ25" s="393"/>
      <c r="CA25" s="393"/>
      <c r="CB25" s="393"/>
      <c r="CC25" s="393"/>
      <c r="CD25" s="393"/>
      <c r="CE25" s="393"/>
      <c r="CF25" s="393"/>
      <c r="CG25" s="393"/>
      <c r="CH25" s="393"/>
    </row>
    <row r="26" spans="1:86" x14ac:dyDescent="0.2">
      <c r="A26" s="175" t="s">
        <v>340</v>
      </c>
      <c r="B26" s="175" t="s">
        <v>452</v>
      </c>
      <c r="C26" s="175" t="s">
        <v>251</v>
      </c>
      <c r="D26" s="175" t="s">
        <v>345</v>
      </c>
      <c r="E26" s="195" t="e">
        <f t="shared" si="0"/>
        <v>#DIV/0!</v>
      </c>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3"/>
      <c r="BD26" s="393"/>
      <c r="BE26" s="393"/>
      <c r="BF26" s="393"/>
      <c r="BG26" s="393"/>
      <c r="BH26" s="393"/>
      <c r="BI26" s="393"/>
      <c r="BJ26" s="393"/>
      <c r="BK26" s="393"/>
      <c r="BL26" s="393"/>
      <c r="BM26" s="393"/>
      <c r="BN26" s="393"/>
      <c r="BO26" s="393"/>
      <c r="BP26" s="393"/>
      <c r="BQ26" s="393"/>
      <c r="BR26" s="393"/>
      <c r="BS26" s="393"/>
      <c r="BT26" s="393"/>
      <c r="BU26" s="393"/>
      <c r="BV26" s="393"/>
      <c r="BW26" s="393"/>
      <c r="BX26" s="393"/>
      <c r="BY26" s="393"/>
      <c r="BZ26" s="393"/>
      <c r="CA26" s="393"/>
      <c r="CB26" s="393"/>
      <c r="CC26" s="393"/>
      <c r="CD26" s="393"/>
      <c r="CE26" s="393"/>
      <c r="CF26" s="393"/>
      <c r="CG26" s="393"/>
      <c r="CH26" s="393"/>
    </row>
    <row r="27" spans="1:86" x14ac:dyDescent="0.2">
      <c r="A27" s="175" t="s">
        <v>340</v>
      </c>
      <c r="B27" s="175" t="s">
        <v>452</v>
      </c>
      <c r="C27" s="175" t="s">
        <v>251</v>
      </c>
      <c r="D27" s="175" t="s">
        <v>346</v>
      </c>
      <c r="E27" s="195" t="e">
        <f t="shared" si="0"/>
        <v>#DIV/0!</v>
      </c>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3"/>
      <c r="AY27" s="393"/>
      <c r="AZ27" s="393"/>
      <c r="BA27" s="393"/>
      <c r="BB27" s="393"/>
      <c r="BC27" s="393"/>
      <c r="BD27" s="393"/>
      <c r="BE27" s="393"/>
      <c r="BF27" s="393"/>
      <c r="BG27" s="393"/>
      <c r="BH27" s="393"/>
      <c r="BI27" s="393"/>
      <c r="BJ27" s="393"/>
      <c r="BK27" s="393"/>
      <c r="BL27" s="393"/>
      <c r="BM27" s="393"/>
      <c r="BN27" s="393"/>
      <c r="BO27" s="393"/>
      <c r="BP27" s="393"/>
      <c r="BQ27" s="393"/>
      <c r="BR27" s="393"/>
      <c r="BS27" s="393"/>
      <c r="BT27" s="393"/>
      <c r="BU27" s="393"/>
      <c r="BV27" s="393"/>
      <c r="BW27" s="393"/>
      <c r="BX27" s="393"/>
      <c r="BY27" s="393"/>
      <c r="BZ27" s="393"/>
      <c r="CA27" s="393"/>
      <c r="CB27" s="393"/>
      <c r="CC27" s="393"/>
      <c r="CD27" s="393"/>
      <c r="CE27" s="393"/>
      <c r="CF27" s="393"/>
      <c r="CG27" s="393"/>
      <c r="CH27" s="393"/>
    </row>
    <row r="28" spans="1:86" x14ac:dyDescent="0.2">
      <c r="A28" s="175" t="s">
        <v>340</v>
      </c>
      <c r="B28" s="175" t="s">
        <v>452</v>
      </c>
      <c r="C28" s="175" t="s">
        <v>251</v>
      </c>
      <c r="D28" s="175" t="s">
        <v>347</v>
      </c>
      <c r="E28" s="195" t="e">
        <f t="shared" si="0"/>
        <v>#DIV/0!</v>
      </c>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3"/>
      <c r="BA28" s="393"/>
      <c r="BB28" s="393"/>
      <c r="BC28" s="393"/>
      <c r="BD28" s="393"/>
      <c r="BE28" s="393"/>
      <c r="BF28" s="393"/>
      <c r="BG28" s="393"/>
      <c r="BH28" s="393"/>
      <c r="BI28" s="393"/>
      <c r="BJ28" s="393"/>
      <c r="BK28" s="393"/>
      <c r="BL28" s="393"/>
      <c r="BM28" s="393"/>
      <c r="BN28" s="393"/>
      <c r="BO28" s="393"/>
      <c r="BP28" s="393"/>
      <c r="BQ28" s="393"/>
      <c r="BR28" s="393"/>
      <c r="BS28" s="393"/>
      <c r="BT28" s="393"/>
      <c r="BU28" s="393"/>
      <c r="BV28" s="393"/>
      <c r="BW28" s="393"/>
      <c r="BX28" s="393"/>
      <c r="BY28" s="393"/>
      <c r="BZ28" s="393"/>
      <c r="CA28" s="393"/>
      <c r="CB28" s="393"/>
      <c r="CC28" s="393"/>
      <c r="CD28" s="393"/>
      <c r="CE28" s="393"/>
      <c r="CF28" s="393"/>
      <c r="CG28" s="393"/>
      <c r="CH28" s="393"/>
    </row>
    <row r="29" spans="1:86" x14ac:dyDescent="0.2">
      <c r="A29" s="175" t="s">
        <v>340</v>
      </c>
      <c r="B29" s="175" t="s">
        <v>452</v>
      </c>
      <c r="C29" s="175" t="s">
        <v>251</v>
      </c>
      <c r="D29" s="175" t="s">
        <v>348</v>
      </c>
      <c r="E29" s="195" t="e">
        <f t="shared" si="0"/>
        <v>#DIV/0!</v>
      </c>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3"/>
      <c r="BB29" s="393"/>
      <c r="BC29" s="393"/>
      <c r="BD29" s="393"/>
      <c r="BE29" s="393"/>
      <c r="BF29" s="393"/>
      <c r="BG29" s="393"/>
      <c r="BH29" s="393"/>
      <c r="BI29" s="393"/>
      <c r="BJ29" s="393"/>
      <c r="BK29" s="393"/>
      <c r="BL29" s="393"/>
      <c r="BM29" s="393"/>
      <c r="BN29" s="393"/>
      <c r="BO29" s="393"/>
      <c r="BP29" s="393"/>
      <c r="BQ29" s="393"/>
      <c r="BR29" s="393"/>
      <c r="BS29" s="393"/>
      <c r="BT29" s="393"/>
      <c r="BU29" s="393"/>
      <c r="BV29" s="393"/>
      <c r="BW29" s="393"/>
      <c r="BX29" s="393"/>
      <c r="BY29" s="393"/>
      <c r="BZ29" s="393"/>
      <c r="CA29" s="393"/>
      <c r="CB29" s="393"/>
      <c r="CC29" s="393"/>
      <c r="CD29" s="393"/>
      <c r="CE29" s="393"/>
      <c r="CF29" s="393"/>
      <c r="CG29" s="393"/>
      <c r="CH29" s="393"/>
    </row>
    <row r="30" spans="1:86" x14ac:dyDescent="0.2">
      <c r="A30" s="175" t="s">
        <v>340</v>
      </c>
      <c r="B30" s="175" t="s">
        <v>452</v>
      </c>
      <c r="C30" s="175" t="s">
        <v>251</v>
      </c>
      <c r="D30" s="175" t="s">
        <v>349</v>
      </c>
      <c r="E30" s="195" t="e">
        <f t="shared" si="0"/>
        <v>#DIV/0!</v>
      </c>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393"/>
      <c r="BC30" s="393"/>
      <c r="BD30" s="393"/>
      <c r="BE30" s="393"/>
      <c r="BF30" s="393"/>
      <c r="BG30" s="393"/>
      <c r="BH30" s="393"/>
      <c r="BI30" s="393"/>
      <c r="BJ30" s="393"/>
      <c r="BK30" s="393"/>
      <c r="BL30" s="393"/>
      <c r="BM30" s="393"/>
      <c r="BN30" s="393"/>
      <c r="BO30" s="393"/>
      <c r="BP30" s="393"/>
      <c r="BQ30" s="393"/>
      <c r="BR30" s="393"/>
      <c r="BS30" s="393"/>
      <c r="BT30" s="393"/>
      <c r="BU30" s="393"/>
      <c r="BV30" s="393"/>
      <c r="BW30" s="393"/>
      <c r="BX30" s="393"/>
      <c r="BY30" s="393"/>
      <c r="BZ30" s="393"/>
      <c r="CA30" s="393"/>
      <c r="CB30" s="393"/>
      <c r="CC30" s="393"/>
      <c r="CD30" s="393"/>
      <c r="CE30" s="393"/>
      <c r="CF30" s="393"/>
      <c r="CG30" s="393"/>
      <c r="CH30" s="393"/>
    </row>
    <row r="31" spans="1:86" x14ac:dyDescent="0.2">
      <c r="A31" s="175" t="s">
        <v>340</v>
      </c>
      <c r="B31" s="175" t="s">
        <v>452</v>
      </c>
      <c r="C31" s="175" t="s">
        <v>251</v>
      </c>
      <c r="D31" s="175" t="s">
        <v>350</v>
      </c>
      <c r="E31" s="195" t="e">
        <f t="shared" si="0"/>
        <v>#DIV/0!</v>
      </c>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3"/>
      <c r="BZ31" s="393"/>
      <c r="CA31" s="393"/>
      <c r="CB31" s="393"/>
      <c r="CC31" s="393"/>
      <c r="CD31" s="393"/>
      <c r="CE31" s="393"/>
      <c r="CF31" s="393"/>
      <c r="CG31" s="393"/>
      <c r="CH31" s="393"/>
    </row>
    <row r="32" spans="1:86" x14ac:dyDescent="0.2">
      <c r="A32" s="175" t="s">
        <v>340</v>
      </c>
      <c r="B32" s="175" t="s">
        <v>452</v>
      </c>
      <c r="C32" s="175" t="s">
        <v>251</v>
      </c>
      <c r="D32" s="175" t="s">
        <v>351</v>
      </c>
      <c r="E32" s="195" t="e">
        <f t="shared" si="0"/>
        <v>#DIV/0!</v>
      </c>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393"/>
      <c r="BG32" s="393"/>
      <c r="BH32" s="393"/>
      <c r="BI32" s="393"/>
      <c r="BJ32" s="393"/>
      <c r="BK32" s="393"/>
      <c r="BL32" s="393"/>
      <c r="BM32" s="393"/>
      <c r="BN32" s="393"/>
      <c r="BO32" s="393"/>
      <c r="BP32" s="393"/>
      <c r="BQ32" s="393"/>
      <c r="BR32" s="393"/>
      <c r="BS32" s="393"/>
      <c r="BT32" s="393"/>
      <c r="BU32" s="393"/>
      <c r="BV32" s="393"/>
      <c r="BW32" s="393"/>
      <c r="BX32" s="393"/>
      <c r="BY32" s="393"/>
      <c r="BZ32" s="393"/>
      <c r="CA32" s="393"/>
      <c r="CB32" s="393"/>
      <c r="CC32" s="393"/>
      <c r="CD32" s="393"/>
      <c r="CE32" s="393"/>
      <c r="CF32" s="393"/>
      <c r="CG32" s="393"/>
      <c r="CH32" s="393"/>
    </row>
    <row r="33" spans="1:86" ht="13.5" thickBot="1" x14ac:dyDescent="0.25">
      <c r="A33" s="175" t="s">
        <v>340</v>
      </c>
      <c r="B33" s="175" t="s">
        <v>452</v>
      </c>
      <c r="C33" s="175" t="s">
        <v>251</v>
      </c>
      <c r="D33" s="175" t="s">
        <v>352</v>
      </c>
      <c r="E33" s="195" t="e">
        <f t="shared" si="0"/>
        <v>#DIV/0!</v>
      </c>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2"/>
      <c r="BG33" s="402"/>
      <c r="BH33" s="402"/>
      <c r="BI33" s="402"/>
      <c r="BJ33" s="402"/>
      <c r="BK33" s="402"/>
      <c r="BL33" s="402"/>
      <c r="BM33" s="402"/>
      <c r="BN33" s="402"/>
      <c r="BO33" s="402"/>
      <c r="BP33" s="402"/>
      <c r="BQ33" s="402"/>
      <c r="BR33" s="402"/>
      <c r="BS33" s="402"/>
      <c r="BT33" s="402"/>
      <c r="BU33" s="402"/>
      <c r="BV33" s="402"/>
      <c r="BW33" s="402"/>
      <c r="BX33" s="402"/>
      <c r="BY33" s="402"/>
      <c r="BZ33" s="402"/>
      <c r="CA33" s="402"/>
      <c r="CB33" s="402"/>
      <c r="CC33" s="402"/>
      <c r="CD33" s="402"/>
      <c r="CE33" s="402"/>
      <c r="CF33" s="402"/>
      <c r="CG33" s="402"/>
      <c r="CH33" s="402"/>
    </row>
    <row r="34" spans="1:86" x14ac:dyDescent="0.2">
      <c r="A34" s="176" t="s">
        <v>340</v>
      </c>
      <c r="B34" s="175" t="s">
        <v>452</v>
      </c>
      <c r="C34" s="175" t="s">
        <v>410</v>
      </c>
      <c r="D34" s="174" t="s">
        <v>353</v>
      </c>
      <c r="E34" s="195" t="e">
        <f t="shared" si="0"/>
        <v>#DIV/0!</v>
      </c>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8"/>
      <c r="BD34" s="388"/>
      <c r="BE34" s="388"/>
      <c r="BF34" s="388"/>
      <c r="BG34" s="388"/>
      <c r="BH34" s="388"/>
      <c r="BI34" s="388"/>
      <c r="BJ34" s="388"/>
      <c r="BK34" s="388"/>
      <c r="BL34" s="388"/>
      <c r="BM34" s="388"/>
      <c r="BN34" s="388"/>
      <c r="BO34" s="388"/>
      <c r="BP34" s="388"/>
      <c r="BQ34" s="388"/>
      <c r="BR34" s="388"/>
      <c r="BS34" s="388"/>
      <c r="BT34" s="388"/>
      <c r="BU34" s="388"/>
      <c r="BV34" s="388"/>
      <c r="BW34" s="388"/>
      <c r="BX34" s="388"/>
      <c r="BY34" s="388"/>
      <c r="BZ34" s="388"/>
      <c r="CA34" s="388"/>
      <c r="CB34" s="388"/>
      <c r="CC34" s="388"/>
      <c r="CD34" s="388"/>
      <c r="CE34" s="388"/>
      <c r="CF34" s="388"/>
      <c r="CG34" s="388"/>
      <c r="CH34" s="388"/>
    </row>
    <row r="35" spans="1:86" ht="13.5" thickBot="1" x14ac:dyDescent="0.25">
      <c r="A35" s="176" t="s">
        <v>340</v>
      </c>
      <c r="B35" s="175" t="s">
        <v>452</v>
      </c>
      <c r="C35" s="175" t="s">
        <v>98</v>
      </c>
      <c r="D35" s="176" t="s">
        <v>423</v>
      </c>
      <c r="E35" s="195" t="e">
        <f t="shared" si="0"/>
        <v>#DIV/0!</v>
      </c>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3"/>
      <c r="BL35" s="403"/>
      <c r="BM35" s="403"/>
      <c r="BN35" s="403"/>
      <c r="BO35" s="403"/>
      <c r="BP35" s="403"/>
      <c r="BQ35" s="403"/>
      <c r="BR35" s="403"/>
      <c r="BS35" s="403"/>
      <c r="BT35" s="403"/>
      <c r="BU35" s="403"/>
      <c r="BV35" s="403"/>
      <c r="BW35" s="403"/>
      <c r="BX35" s="403"/>
      <c r="BY35" s="403"/>
      <c r="BZ35" s="403"/>
      <c r="CA35" s="403"/>
      <c r="CB35" s="403"/>
      <c r="CC35" s="403"/>
      <c r="CD35" s="403"/>
      <c r="CE35" s="403"/>
      <c r="CF35" s="403"/>
      <c r="CG35" s="403"/>
      <c r="CH35" s="403"/>
    </row>
    <row r="36" spans="1:86" ht="13.5" thickBot="1" x14ac:dyDescent="0.25">
      <c r="A36" s="176" t="s">
        <v>342</v>
      </c>
      <c r="B36" s="175" t="s">
        <v>453</v>
      </c>
      <c r="C36" s="175" t="s">
        <v>396</v>
      </c>
      <c r="D36" s="176" t="s">
        <v>397</v>
      </c>
      <c r="E36" s="195" t="e">
        <f t="shared" si="0"/>
        <v>#DIV/0!</v>
      </c>
      <c r="F36" s="404"/>
      <c r="G36" s="404"/>
      <c r="H36" s="404"/>
      <c r="I36" s="404"/>
      <c r="J36" s="404"/>
      <c r="K36" s="404"/>
      <c r="L36" s="404"/>
      <c r="M36" s="450"/>
      <c r="N36" s="450"/>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404"/>
      <c r="CE36" s="404"/>
      <c r="CF36" s="404"/>
      <c r="CG36" s="404"/>
      <c r="CH36" s="404"/>
    </row>
    <row r="37" spans="1:86" s="176" customFormat="1" x14ac:dyDescent="0.2">
      <c r="A37" s="176" t="s">
        <v>264</v>
      </c>
      <c r="B37" s="176" t="s">
        <v>453</v>
      </c>
      <c r="C37" s="176" t="s">
        <v>396</v>
      </c>
      <c r="D37" s="176" t="s">
        <v>354</v>
      </c>
      <c r="E37" s="195" t="e">
        <f t="shared" si="0"/>
        <v>#DIV/0!</v>
      </c>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row>
    <row r="38" spans="1:86" s="176" customFormat="1" x14ac:dyDescent="0.2">
      <c r="A38" s="176" t="s">
        <v>264</v>
      </c>
      <c r="B38" s="176" t="s">
        <v>453</v>
      </c>
      <c r="C38" s="176" t="s">
        <v>396</v>
      </c>
      <c r="D38" s="176" t="s">
        <v>355</v>
      </c>
      <c r="E38" s="195" t="e">
        <f t="shared" si="0"/>
        <v>#DIV/0!</v>
      </c>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4"/>
      <c r="AZ38" s="394"/>
      <c r="BA38" s="394"/>
      <c r="BB38" s="394"/>
      <c r="BC38" s="394"/>
      <c r="BD38" s="394"/>
      <c r="BE38" s="394"/>
      <c r="BF38" s="394"/>
      <c r="BG38" s="394"/>
      <c r="BH38" s="394"/>
      <c r="BI38" s="394"/>
      <c r="BJ38" s="394"/>
      <c r="BK38" s="394"/>
      <c r="BL38" s="394"/>
      <c r="BM38" s="394"/>
      <c r="BN38" s="394"/>
      <c r="BO38" s="394"/>
      <c r="BP38" s="394"/>
      <c r="BQ38" s="394"/>
      <c r="BR38" s="394"/>
      <c r="BS38" s="394"/>
      <c r="BT38" s="394"/>
      <c r="BU38" s="394"/>
      <c r="BV38" s="394"/>
      <c r="BW38" s="394"/>
      <c r="BX38" s="394"/>
      <c r="BY38" s="394"/>
      <c r="BZ38" s="394"/>
      <c r="CA38" s="394"/>
      <c r="CB38" s="394"/>
      <c r="CC38" s="394"/>
      <c r="CD38" s="394"/>
      <c r="CE38" s="394"/>
      <c r="CF38" s="394"/>
      <c r="CG38" s="394"/>
      <c r="CH38" s="394"/>
    </row>
    <row r="39" spans="1:86" s="176" customFormat="1" ht="13.5" thickBot="1" x14ac:dyDescent="0.25">
      <c r="A39" s="176" t="s">
        <v>264</v>
      </c>
      <c r="B39" s="176" t="s">
        <v>453</v>
      </c>
      <c r="C39" s="176" t="s">
        <v>396</v>
      </c>
      <c r="D39" s="176" t="s">
        <v>356</v>
      </c>
      <c r="E39" s="195" t="e">
        <f t="shared" si="0"/>
        <v>#DIV/0!</v>
      </c>
      <c r="F39" s="403"/>
      <c r="G39" s="456"/>
      <c r="H39" s="456"/>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3"/>
      <c r="BG39" s="403"/>
      <c r="BH39" s="403"/>
      <c r="BI39" s="403"/>
      <c r="BJ39" s="403"/>
      <c r="BK39" s="403"/>
      <c r="BL39" s="403"/>
      <c r="BM39" s="403"/>
      <c r="BN39" s="403"/>
      <c r="BO39" s="403"/>
      <c r="BP39" s="403"/>
      <c r="BQ39" s="403"/>
      <c r="BR39" s="403"/>
      <c r="BS39" s="403"/>
      <c r="BT39" s="403"/>
      <c r="BU39" s="403"/>
      <c r="BV39" s="403"/>
      <c r="BW39" s="403"/>
      <c r="BX39" s="403"/>
      <c r="BY39" s="403"/>
      <c r="BZ39" s="403"/>
      <c r="CA39" s="403"/>
      <c r="CB39" s="403"/>
      <c r="CC39" s="403"/>
      <c r="CD39" s="403"/>
      <c r="CE39" s="403"/>
      <c r="CF39" s="403"/>
      <c r="CG39" s="403"/>
      <c r="CH39" s="403"/>
    </row>
    <row r="40" spans="1:86" s="176" customFormat="1" x14ac:dyDescent="0.2">
      <c r="A40" s="176" t="s">
        <v>267</v>
      </c>
      <c r="B40" s="176" t="s">
        <v>453</v>
      </c>
      <c r="C40" s="176" t="s">
        <v>395</v>
      </c>
      <c r="D40" s="75" t="s">
        <v>357</v>
      </c>
      <c r="E40" s="195" t="e">
        <f t="shared" si="0"/>
        <v>#DIV/0!</v>
      </c>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89"/>
      <c r="BJ40" s="389"/>
      <c r="BK40" s="389"/>
      <c r="BL40" s="389"/>
      <c r="BM40" s="389"/>
      <c r="BN40" s="389"/>
      <c r="BO40" s="389"/>
      <c r="BP40" s="389"/>
      <c r="BQ40" s="389"/>
      <c r="BR40" s="389"/>
      <c r="BS40" s="389"/>
      <c r="BT40" s="389"/>
      <c r="BU40" s="389"/>
      <c r="BV40" s="389"/>
      <c r="BW40" s="389"/>
      <c r="BX40" s="389"/>
      <c r="BY40" s="389"/>
      <c r="BZ40" s="389"/>
      <c r="CA40" s="389"/>
      <c r="CB40" s="389"/>
      <c r="CC40" s="389"/>
      <c r="CD40" s="389"/>
      <c r="CE40" s="389"/>
      <c r="CF40" s="389"/>
      <c r="CG40" s="389"/>
      <c r="CH40" s="389"/>
    </row>
    <row r="41" spans="1:86" s="176" customFormat="1" x14ac:dyDescent="0.2">
      <c r="A41" s="176" t="s">
        <v>267</v>
      </c>
      <c r="B41" s="176" t="s">
        <v>453</v>
      </c>
      <c r="C41" s="176" t="s">
        <v>395</v>
      </c>
      <c r="D41" s="75" t="s">
        <v>424</v>
      </c>
      <c r="E41" s="195" t="e">
        <f t="shared" si="0"/>
        <v>#DIV/0!</v>
      </c>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row>
    <row r="42" spans="1:86" s="176" customFormat="1" x14ac:dyDescent="0.2">
      <c r="A42" s="176" t="s">
        <v>267</v>
      </c>
      <c r="B42" s="176" t="s">
        <v>453</v>
      </c>
      <c r="C42" s="176" t="s">
        <v>395</v>
      </c>
      <c r="D42" s="75" t="s">
        <v>425</v>
      </c>
      <c r="E42" s="195" t="e">
        <f t="shared" si="0"/>
        <v>#DIV/0!</v>
      </c>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89"/>
      <c r="AW42" s="389"/>
      <c r="AX42" s="389"/>
      <c r="AY42" s="389"/>
      <c r="AZ42" s="389"/>
      <c r="BA42" s="389"/>
      <c r="BB42" s="389"/>
      <c r="BC42" s="389"/>
      <c r="BD42" s="389"/>
      <c r="BE42" s="389"/>
      <c r="BF42" s="389"/>
      <c r="BG42" s="389"/>
      <c r="BH42" s="389"/>
      <c r="BI42" s="389"/>
      <c r="BJ42" s="389"/>
      <c r="BK42" s="389"/>
      <c r="BL42" s="389"/>
      <c r="BM42" s="389"/>
      <c r="BN42" s="389"/>
      <c r="BO42" s="389"/>
      <c r="BP42" s="389"/>
      <c r="BQ42" s="389"/>
      <c r="BR42" s="389"/>
      <c r="BS42" s="389"/>
      <c r="BT42" s="389"/>
      <c r="BU42" s="389"/>
      <c r="BV42" s="389"/>
      <c r="BW42" s="389"/>
      <c r="BX42" s="389"/>
      <c r="BY42" s="389"/>
      <c r="BZ42" s="389"/>
      <c r="CA42" s="389"/>
      <c r="CB42" s="389"/>
      <c r="CC42" s="389"/>
      <c r="CD42" s="389"/>
      <c r="CE42" s="389"/>
      <c r="CF42" s="389"/>
      <c r="CG42" s="389"/>
      <c r="CH42" s="389"/>
    </row>
    <row r="43" spans="1:86" s="176" customFormat="1" x14ac:dyDescent="0.2">
      <c r="A43" s="176" t="s">
        <v>267</v>
      </c>
      <c r="B43" s="176" t="s">
        <v>453</v>
      </c>
      <c r="C43" s="176" t="s">
        <v>413</v>
      </c>
      <c r="D43" s="75" t="s">
        <v>426</v>
      </c>
      <c r="E43" s="195" t="e">
        <f t="shared" si="0"/>
        <v>#DIV/0!</v>
      </c>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384"/>
      <c r="BF43" s="384"/>
      <c r="BG43" s="384"/>
      <c r="BH43" s="384"/>
      <c r="BI43" s="384"/>
      <c r="BJ43" s="384"/>
      <c r="BK43" s="384"/>
      <c r="BL43" s="384"/>
      <c r="BM43" s="384"/>
      <c r="BN43" s="384"/>
      <c r="BO43" s="384"/>
      <c r="BP43" s="384"/>
      <c r="BQ43" s="384"/>
      <c r="BR43" s="384"/>
      <c r="BS43" s="384"/>
      <c r="BT43" s="384"/>
      <c r="BU43" s="384"/>
      <c r="BV43" s="384"/>
      <c r="BW43" s="384"/>
      <c r="BX43" s="384"/>
      <c r="BY43" s="384"/>
      <c r="BZ43" s="384"/>
      <c r="CA43" s="384"/>
      <c r="CB43" s="384"/>
      <c r="CC43" s="384"/>
      <c r="CD43" s="384"/>
      <c r="CE43" s="384"/>
      <c r="CF43" s="384"/>
      <c r="CG43" s="384"/>
      <c r="CH43" s="384"/>
    </row>
    <row r="44" spans="1:86" s="176" customFormat="1" ht="13.5" thickBot="1" x14ac:dyDescent="0.25">
      <c r="A44" s="176" t="s">
        <v>267</v>
      </c>
      <c r="B44" s="176" t="s">
        <v>453</v>
      </c>
      <c r="C44" s="176" t="s">
        <v>413</v>
      </c>
      <c r="D44" s="75" t="s">
        <v>427</v>
      </c>
      <c r="E44" s="195" t="e">
        <f t="shared" si="0"/>
        <v>#DIV/0!</v>
      </c>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row>
    <row r="45" spans="1:86" s="176" customFormat="1" x14ac:dyDescent="0.2">
      <c r="A45" s="176" t="s">
        <v>279</v>
      </c>
      <c r="B45" s="176" t="s">
        <v>453</v>
      </c>
      <c r="C45" s="176" t="s">
        <v>422</v>
      </c>
      <c r="D45" s="75" t="s">
        <v>358</v>
      </c>
      <c r="E45" s="195" t="e">
        <f t="shared" si="0"/>
        <v>#DIV/0!</v>
      </c>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4"/>
      <c r="BK45" s="384"/>
      <c r="BL45" s="384"/>
      <c r="BM45" s="384"/>
      <c r="BN45" s="384"/>
      <c r="BO45" s="384"/>
      <c r="BP45" s="384"/>
      <c r="BQ45" s="384"/>
      <c r="BR45" s="384"/>
      <c r="BS45" s="384"/>
      <c r="BT45" s="384"/>
      <c r="BU45" s="384"/>
      <c r="BV45" s="384"/>
      <c r="BW45" s="384"/>
      <c r="BX45" s="384"/>
      <c r="BY45" s="384"/>
      <c r="BZ45" s="384"/>
      <c r="CA45" s="384"/>
      <c r="CB45" s="384"/>
      <c r="CC45" s="384"/>
      <c r="CD45" s="384"/>
      <c r="CE45" s="384"/>
      <c r="CF45" s="384"/>
      <c r="CG45" s="384"/>
      <c r="CH45" s="384"/>
    </row>
    <row r="46" spans="1:86" s="176" customFormat="1" x14ac:dyDescent="0.2">
      <c r="A46" s="176" t="s">
        <v>279</v>
      </c>
      <c r="B46" s="176" t="s">
        <v>453</v>
      </c>
      <c r="C46" s="176" t="s">
        <v>422</v>
      </c>
      <c r="D46" s="75" t="s">
        <v>359</v>
      </c>
      <c r="E46" s="195" t="e">
        <f t="shared" si="0"/>
        <v>#DIV/0!</v>
      </c>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c r="BS46" s="383"/>
      <c r="BT46" s="383"/>
      <c r="BU46" s="383"/>
      <c r="BV46" s="383"/>
      <c r="BW46" s="383"/>
      <c r="BX46" s="383"/>
      <c r="BY46" s="383"/>
      <c r="BZ46" s="383"/>
      <c r="CA46" s="383"/>
      <c r="CB46" s="383"/>
      <c r="CC46" s="383"/>
      <c r="CD46" s="383"/>
      <c r="CE46" s="383"/>
      <c r="CF46" s="383"/>
      <c r="CG46" s="383"/>
      <c r="CH46" s="383"/>
    </row>
    <row r="47" spans="1:86" s="176" customFormat="1" x14ac:dyDescent="0.2">
      <c r="A47" s="176" t="s">
        <v>279</v>
      </c>
      <c r="B47" s="176" t="s">
        <v>453</v>
      </c>
      <c r="C47" s="176" t="s">
        <v>422</v>
      </c>
      <c r="D47" s="75" t="s">
        <v>367</v>
      </c>
      <c r="E47" s="195" t="e">
        <f t="shared" si="0"/>
        <v>#DIV/0!</v>
      </c>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3"/>
      <c r="AQ47" s="383"/>
      <c r="AR47" s="383"/>
      <c r="AS47" s="383"/>
      <c r="AT47" s="383"/>
      <c r="AU47" s="383"/>
      <c r="AV47" s="383"/>
      <c r="AW47" s="383"/>
      <c r="AX47" s="383"/>
      <c r="AY47" s="383"/>
      <c r="AZ47" s="383"/>
      <c r="BA47" s="383"/>
      <c r="BB47" s="383"/>
      <c r="BC47" s="383"/>
      <c r="BD47" s="383"/>
      <c r="BE47" s="383"/>
      <c r="BF47" s="383"/>
      <c r="BG47" s="383"/>
      <c r="BH47" s="383"/>
      <c r="BI47" s="383"/>
      <c r="BJ47" s="383"/>
      <c r="BK47" s="383"/>
      <c r="BL47" s="383"/>
      <c r="BM47" s="383"/>
      <c r="BN47" s="383"/>
      <c r="BO47" s="383"/>
      <c r="BP47" s="383"/>
      <c r="BQ47" s="383"/>
      <c r="BR47" s="383"/>
      <c r="BS47" s="383"/>
      <c r="BT47" s="383"/>
      <c r="BU47" s="383"/>
      <c r="BV47" s="383"/>
      <c r="BW47" s="383"/>
      <c r="BX47" s="383"/>
      <c r="BY47" s="383"/>
      <c r="BZ47" s="383"/>
      <c r="CA47" s="383"/>
      <c r="CB47" s="383"/>
      <c r="CC47" s="383"/>
      <c r="CD47" s="383"/>
      <c r="CE47" s="383"/>
      <c r="CF47" s="383"/>
      <c r="CG47" s="383"/>
      <c r="CH47" s="383"/>
    </row>
    <row r="48" spans="1:86" s="176" customFormat="1" x14ac:dyDescent="0.2">
      <c r="A48" s="176" t="s">
        <v>279</v>
      </c>
      <c r="B48" s="176" t="s">
        <v>453</v>
      </c>
      <c r="C48" s="176" t="s">
        <v>422</v>
      </c>
      <c r="D48" s="75" t="s">
        <v>360</v>
      </c>
      <c r="E48" s="195" t="e">
        <f t="shared" si="0"/>
        <v>#DIV/0!</v>
      </c>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3"/>
      <c r="BJ48" s="383"/>
      <c r="BK48" s="383"/>
      <c r="BL48" s="383"/>
      <c r="BM48" s="383"/>
      <c r="BN48" s="383"/>
      <c r="BO48" s="383"/>
      <c r="BP48" s="383"/>
      <c r="BQ48" s="383"/>
      <c r="BR48" s="383"/>
      <c r="BS48" s="383"/>
      <c r="BT48" s="383"/>
      <c r="BU48" s="383"/>
      <c r="BV48" s="383"/>
      <c r="BW48" s="383"/>
      <c r="BX48" s="383"/>
      <c r="BY48" s="383"/>
      <c r="BZ48" s="383"/>
      <c r="CA48" s="383"/>
      <c r="CB48" s="383"/>
      <c r="CC48" s="383"/>
      <c r="CD48" s="383"/>
      <c r="CE48" s="383"/>
      <c r="CF48" s="383"/>
      <c r="CG48" s="383"/>
      <c r="CH48" s="383"/>
    </row>
    <row r="49" spans="1:86" s="176" customFormat="1" x14ac:dyDescent="0.2">
      <c r="A49" s="176" t="s">
        <v>279</v>
      </c>
      <c r="B49" s="176" t="s">
        <v>453</v>
      </c>
      <c r="C49" s="176" t="s">
        <v>422</v>
      </c>
      <c r="D49" s="75" t="s">
        <v>361</v>
      </c>
      <c r="E49" s="195" t="e">
        <f t="shared" si="0"/>
        <v>#DIV/0!</v>
      </c>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383"/>
      <c r="BT49" s="383"/>
      <c r="BU49" s="383"/>
      <c r="BV49" s="383"/>
      <c r="BW49" s="383"/>
      <c r="BX49" s="383"/>
      <c r="BY49" s="383"/>
      <c r="BZ49" s="383"/>
      <c r="CA49" s="383"/>
      <c r="CB49" s="383"/>
      <c r="CC49" s="383"/>
      <c r="CD49" s="383"/>
      <c r="CE49" s="383"/>
      <c r="CF49" s="383"/>
      <c r="CG49" s="383"/>
      <c r="CH49" s="383"/>
    </row>
    <row r="50" spans="1:86" s="176" customFormat="1" x14ac:dyDescent="0.2">
      <c r="A50" s="176" t="s">
        <v>279</v>
      </c>
      <c r="B50" s="176" t="s">
        <v>453</v>
      </c>
      <c r="C50" s="176" t="s">
        <v>422</v>
      </c>
      <c r="D50" s="75" t="s">
        <v>368</v>
      </c>
      <c r="E50" s="195" t="e">
        <f t="shared" si="0"/>
        <v>#DIV/0!</v>
      </c>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c r="BK50" s="383"/>
      <c r="BL50" s="383"/>
      <c r="BM50" s="383"/>
      <c r="BN50" s="383"/>
      <c r="BO50" s="383"/>
      <c r="BP50" s="383"/>
      <c r="BQ50" s="383"/>
      <c r="BR50" s="383"/>
      <c r="BS50" s="383"/>
      <c r="BT50" s="383"/>
      <c r="BU50" s="383"/>
      <c r="BV50" s="383"/>
      <c r="BW50" s="383"/>
      <c r="BX50" s="383"/>
      <c r="BY50" s="383"/>
      <c r="BZ50" s="383"/>
      <c r="CA50" s="383"/>
      <c r="CB50" s="383"/>
      <c r="CC50" s="383"/>
      <c r="CD50" s="383"/>
      <c r="CE50" s="383"/>
      <c r="CF50" s="383"/>
      <c r="CG50" s="383"/>
      <c r="CH50" s="383"/>
    </row>
    <row r="51" spans="1:86" s="176" customFormat="1" x14ac:dyDescent="0.2">
      <c r="A51" s="176" t="s">
        <v>279</v>
      </c>
      <c r="B51" s="176" t="s">
        <v>453</v>
      </c>
      <c r="C51" s="176" t="s">
        <v>422</v>
      </c>
      <c r="D51" s="75" t="s">
        <v>398</v>
      </c>
      <c r="E51" s="195" t="e">
        <f t="shared" si="0"/>
        <v>#DIV/0!</v>
      </c>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383"/>
      <c r="AY51" s="383"/>
      <c r="AZ51" s="383"/>
      <c r="BA51" s="383"/>
      <c r="BB51" s="383"/>
      <c r="BC51" s="383"/>
      <c r="BD51" s="383"/>
      <c r="BE51" s="383"/>
      <c r="BF51" s="383"/>
      <c r="BG51" s="383"/>
      <c r="BH51" s="383"/>
      <c r="BI51" s="383"/>
      <c r="BJ51" s="383"/>
      <c r="BK51" s="383"/>
      <c r="BL51" s="383"/>
      <c r="BM51" s="383"/>
      <c r="BN51" s="383"/>
      <c r="BO51" s="383"/>
      <c r="BP51" s="383"/>
      <c r="BQ51" s="383"/>
      <c r="BR51" s="383"/>
      <c r="BS51" s="383"/>
      <c r="BT51" s="383"/>
      <c r="BU51" s="383"/>
      <c r="BV51" s="383"/>
      <c r="BW51" s="383"/>
      <c r="BX51" s="383"/>
      <c r="BY51" s="383"/>
      <c r="BZ51" s="383"/>
      <c r="CA51" s="383"/>
      <c r="CB51" s="383"/>
      <c r="CC51" s="383"/>
      <c r="CD51" s="383"/>
      <c r="CE51" s="383"/>
      <c r="CF51" s="383"/>
      <c r="CG51" s="383"/>
      <c r="CH51" s="383"/>
    </row>
    <row r="52" spans="1:86" s="176" customFormat="1" x14ac:dyDescent="0.2">
      <c r="A52" s="176" t="s">
        <v>279</v>
      </c>
      <c r="B52" s="176" t="s">
        <v>453</v>
      </c>
      <c r="C52" s="176" t="s">
        <v>422</v>
      </c>
      <c r="D52" s="75" t="s">
        <v>399</v>
      </c>
      <c r="E52" s="195" t="e">
        <f t="shared" si="0"/>
        <v>#DIV/0!</v>
      </c>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383"/>
      <c r="BG52" s="383"/>
      <c r="BH52" s="383"/>
      <c r="BI52" s="383"/>
      <c r="BJ52" s="383"/>
      <c r="BK52" s="383"/>
      <c r="BL52" s="383"/>
      <c r="BM52" s="383"/>
      <c r="BN52" s="383"/>
      <c r="BO52" s="383"/>
      <c r="BP52" s="383"/>
      <c r="BQ52" s="383"/>
      <c r="BR52" s="383"/>
      <c r="BS52" s="383"/>
      <c r="BT52" s="383"/>
      <c r="BU52" s="383"/>
      <c r="BV52" s="383"/>
      <c r="BW52" s="383"/>
      <c r="BX52" s="383"/>
      <c r="BY52" s="383"/>
      <c r="BZ52" s="383"/>
      <c r="CA52" s="383"/>
      <c r="CB52" s="383"/>
      <c r="CC52" s="383"/>
      <c r="CD52" s="383"/>
      <c r="CE52" s="383"/>
      <c r="CF52" s="383"/>
      <c r="CG52" s="383"/>
      <c r="CH52" s="383"/>
    </row>
    <row r="53" spans="1:86" s="176" customFormat="1" x14ac:dyDescent="0.2">
      <c r="A53" s="176" t="s">
        <v>279</v>
      </c>
      <c r="B53" s="176" t="s">
        <v>453</v>
      </c>
      <c r="C53" s="176" t="s">
        <v>422</v>
      </c>
      <c r="D53" s="75" t="s">
        <v>375</v>
      </c>
      <c r="E53" s="195" t="e">
        <f t="shared" si="0"/>
        <v>#DIV/0!</v>
      </c>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3"/>
      <c r="BL53" s="383"/>
      <c r="BM53" s="383"/>
      <c r="BN53" s="383"/>
      <c r="BO53" s="383"/>
      <c r="BP53" s="383"/>
      <c r="BQ53" s="383"/>
      <c r="BR53" s="383"/>
      <c r="BS53" s="383"/>
      <c r="BT53" s="383"/>
      <c r="BU53" s="383"/>
      <c r="BV53" s="383"/>
      <c r="BW53" s="383"/>
      <c r="BX53" s="383"/>
      <c r="BY53" s="383"/>
      <c r="BZ53" s="383"/>
      <c r="CA53" s="383"/>
      <c r="CB53" s="383"/>
      <c r="CC53" s="383"/>
      <c r="CD53" s="383"/>
      <c r="CE53" s="383"/>
      <c r="CF53" s="383"/>
      <c r="CG53" s="383"/>
      <c r="CH53" s="383"/>
    </row>
    <row r="54" spans="1:86" s="176" customFormat="1" x14ac:dyDescent="0.2">
      <c r="A54" s="176" t="s">
        <v>279</v>
      </c>
      <c r="B54" s="176" t="s">
        <v>453</v>
      </c>
      <c r="C54" s="176" t="s">
        <v>422</v>
      </c>
      <c r="D54" s="75" t="s">
        <v>374</v>
      </c>
      <c r="E54" s="195" t="e">
        <f t="shared" si="0"/>
        <v>#DIV/0!</v>
      </c>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c r="BE54" s="383"/>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3"/>
      <c r="CB54" s="383"/>
      <c r="CC54" s="383"/>
      <c r="CD54" s="383"/>
      <c r="CE54" s="383"/>
      <c r="CF54" s="383"/>
      <c r="CG54" s="383"/>
      <c r="CH54" s="383"/>
    </row>
    <row r="55" spans="1:86" s="176" customFormat="1" x14ac:dyDescent="0.2">
      <c r="A55" s="176" t="s">
        <v>279</v>
      </c>
      <c r="B55" s="176" t="s">
        <v>453</v>
      </c>
      <c r="C55" s="176" t="s">
        <v>422</v>
      </c>
      <c r="D55" s="75" t="s">
        <v>362</v>
      </c>
      <c r="E55" s="195" t="e">
        <f t="shared" si="0"/>
        <v>#DIV/0!</v>
      </c>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3"/>
      <c r="AZ55" s="383"/>
      <c r="BA55" s="383"/>
      <c r="BB55" s="383"/>
      <c r="BC55" s="383"/>
      <c r="BD55" s="383"/>
      <c r="BE55" s="383"/>
      <c r="BF55" s="383"/>
      <c r="BG55" s="383"/>
      <c r="BH55" s="383"/>
      <c r="BI55" s="383"/>
      <c r="BJ55" s="383"/>
      <c r="BK55" s="383"/>
      <c r="BL55" s="383"/>
      <c r="BM55" s="383"/>
      <c r="BN55" s="383"/>
      <c r="BO55" s="383"/>
      <c r="BP55" s="383"/>
      <c r="BQ55" s="383"/>
      <c r="BR55" s="383"/>
      <c r="BS55" s="383"/>
      <c r="BT55" s="383"/>
      <c r="BU55" s="383"/>
      <c r="BV55" s="383"/>
      <c r="BW55" s="383"/>
      <c r="BX55" s="383"/>
      <c r="BY55" s="383"/>
      <c r="BZ55" s="383"/>
      <c r="CA55" s="383"/>
      <c r="CB55" s="383"/>
      <c r="CC55" s="383"/>
      <c r="CD55" s="383"/>
      <c r="CE55" s="383"/>
      <c r="CF55" s="383"/>
      <c r="CG55" s="383"/>
      <c r="CH55" s="383"/>
    </row>
    <row r="56" spans="1:86" s="176" customFormat="1" x14ac:dyDescent="0.2">
      <c r="A56" s="176" t="s">
        <v>279</v>
      </c>
      <c r="B56" s="176" t="s">
        <v>453</v>
      </c>
      <c r="C56" s="176" t="s">
        <v>422</v>
      </c>
      <c r="D56" s="75" t="s">
        <v>369</v>
      </c>
      <c r="E56" s="195" t="e">
        <f t="shared" si="0"/>
        <v>#DIV/0!</v>
      </c>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c r="AZ56" s="383"/>
      <c r="BA56" s="383"/>
      <c r="BB56" s="383"/>
      <c r="BC56" s="383"/>
      <c r="BD56" s="383"/>
      <c r="BE56" s="383"/>
      <c r="BF56" s="383"/>
      <c r="BG56" s="383"/>
      <c r="BH56" s="383"/>
      <c r="BI56" s="383"/>
      <c r="BJ56" s="383"/>
      <c r="BK56" s="383"/>
      <c r="BL56" s="383"/>
      <c r="BM56" s="383"/>
      <c r="BN56" s="383"/>
      <c r="BO56" s="383"/>
      <c r="BP56" s="383"/>
      <c r="BQ56" s="383"/>
      <c r="BR56" s="383"/>
      <c r="BS56" s="383"/>
      <c r="BT56" s="383"/>
      <c r="BU56" s="383"/>
      <c r="BV56" s="383"/>
      <c r="BW56" s="383"/>
      <c r="BX56" s="383"/>
      <c r="BY56" s="383"/>
      <c r="BZ56" s="383"/>
      <c r="CA56" s="383"/>
      <c r="CB56" s="383"/>
      <c r="CC56" s="383"/>
      <c r="CD56" s="383"/>
      <c r="CE56" s="383"/>
      <c r="CF56" s="383"/>
      <c r="CG56" s="383"/>
      <c r="CH56" s="383"/>
    </row>
    <row r="57" spans="1:86" s="176" customFormat="1" x14ac:dyDescent="0.2">
      <c r="A57" s="176" t="s">
        <v>279</v>
      </c>
      <c r="B57" s="176" t="s">
        <v>453</v>
      </c>
      <c r="C57" s="176" t="s">
        <v>422</v>
      </c>
      <c r="D57" s="75" t="s">
        <v>363</v>
      </c>
      <c r="E57" s="195" t="e">
        <f t="shared" si="0"/>
        <v>#DIV/0!</v>
      </c>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3"/>
      <c r="BE57" s="383"/>
      <c r="BF57" s="383"/>
      <c r="BG57" s="383"/>
      <c r="BH57" s="383"/>
      <c r="BI57" s="383"/>
      <c r="BJ57" s="383"/>
      <c r="BK57" s="383"/>
      <c r="BL57" s="383"/>
      <c r="BM57" s="383"/>
      <c r="BN57" s="383"/>
      <c r="BO57" s="383"/>
      <c r="BP57" s="383"/>
      <c r="BQ57" s="383"/>
      <c r="BR57" s="383"/>
      <c r="BS57" s="383"/>
      <c r="BT57" s="383"/>
      <c r="BU57" s="383"/>
      <c r="BV57" s="383"/>
      <c r="BW57" s="383"/>
      <c r="BX57" s="383"/>
      <c r="BY57" s="383"/>
      <c r="BZ57" s="383"/>
      <c r="CA57" s="383"/>
      <c r="CB57" s="383"/>
      <c r="CC57" s="383"/>
      <c r="CD57" s="383"/>
      <c r="CE57" s="383"/>
      <c r="CF57" s="383"/>
      <c r="CG57" s="383"/>
      <c r="CH57" s="383"/>
    </row>
    <row r="58" spans="1:86" s="176" customFormat="1" x14ac:dyDescent="0.2">
      <c r="A58" s="176" t="s">
        <v>279</v>
      </c>
      <c r="B58" s="176" t="s">
        <v>453</v>
      </c>
      <c r="C58" s="176" t="s">
        <v>422</v>
      </c>
      <c r="D58" s="75" t="s">
        <v>370</v>
      </c>
      <c r="E58" s="195" t="e">
        <f t="shared" si="0"/>
        <v>#DIV/0!</v>
      </c>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383"/>
      <c r="CG58" s="383"/>
      <c r="CH58" s="383"/>
    </row>
    <row r="59" spans="1:86" s="176" customFormat="1" x14ac:dyDescent="0.2">
      <c r="A59" s="176" t="s">
        <v>279</v>
      </c>
      <c r="B59" s="176" t="s">
        <v>453</v>
      </c>
      <c r="C59" s="176" t="s">
        <v>422</v>
      </c>
      <c r="D59" s="75" t="s">
        <v>364</v>
      </c>
      <c r="E59" s="195" t="e">
        <f t="shared" si="0"/>
        <v>#DIV/0!</v>
      </c>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3"/>
      <c r="BL59" s="383"/>
      <c r="BM59" s="383"/>
      <c r="BN59" s="383"/>
      <c r="BO59" s="383"/>
      <c r="BP59" s="383"/>
      <c r="BQ59" s="383"/>
      <c r="BR59" s="383"/>
      <c r="BS59" s="383"/>
      <c r="BT59" s="383"/>
      <c r="BU59" s="383"/>
      <c r="BV59" s="383"/>
      <c r="BW59" s="383"/>
      <c r="BX59" s="383"/>
      <c r="BY59" s="383"/>
      <c r="BZ59" s="383"/>
      <c r="CA59" s="383"/>
      <c r="CB59" s="383"/>
      <c r="CC59" s="383"/>
      <c r="CD59" s="383"/>
      <c r="CE59" s="383"/>
      <c r="CF59" s="383"/>
      <c r="CG59" s="383"/>
      <c r="CH59" s="383"/>
    </row>
    <row r="60" spans="1:86" s="176" customFormat="1" x14ac:dyDescent="0.2">
      <c r="A60" s="176" t="s">
        <v>279</v>
      </c>
      <c r="B60" s="176" t="s">
        <v>453</v>
      </c>
      <c r="C60" s="176" t="s">
        <v>422</v>
      </c>
      <c r="D60" s="75" t="s">
        <v>371</v>
      </c>
      <c r="E60" s="195" t="e">
        <f t="shared" si="0"/>
        <v>#DIV/0!</v>
      </c>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383"/>
      <c r="BE60" s="383"/>
      <c r="BF60" s="383"/>
      <c r="BG60" s="383"/>
      <c r="BH60" s="383"/>
      <c r="BI60" s="383"/>
      <c r="BJ60" s="383"/>
      <c r="BK60" s="383"/>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383"/>
      <c r="CH60" s="383"/>
    </row>
    <row r="61" spans="1:86" s="176" customFormat="1" x14ac:dyDescent="0.2">
      <c r="A61" s="176" t="s">
        <v>279</v>
      </c>
      <c r="B61" s="176" t="s">
        <v>453</v>
      </c>
      <c r="C61" s="176" t="s">
        <v>422</v>
      </c>
      <c r="D61" s="75" t="s">
        <v>365</v>
      </c>
      <c r="E61" s="195" t="e">
        <f t="shared" si="0"/>
        <v>#DIV/0!</v>
      </c>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3"/>
      <c r="AY61" s="383"/>
      <c r="AZ61" s="383"/>
      <c r="BA61" s="383"/>
      <c r="BB61" s="383"/>
      <c r="BC61" s="383"/>
      <c r="BD61" s="383"/>
      <c r="BE61" s="383"/>
      <c r="BF61" s="383"/>
      <c r="BG61" s="383"/>
      <c r="BH61" s="383"/>
      <c r="BI61" s="383"/>
      <c r="BJ61" s="383"/>
      <c r="BK61" s="383"/>
      <c r="BL61" s="383"/>
      <c r="BM61" s="383"/>
      <c r="BN61" s="383"/>
      <c r="BO61" s="383"/>
      <c r="BP61" s="383"/>
      <c r="BQ61" s="383"/>
      <c r="BR61" s="383"/>
      <c r="BS61" s="383"/>
      <c r="BT61" s="383"/>
      <c r="BU61" s="383"/>
      <c r="BV61" s="383"/>
      <c r="BW61" s="383"/>
      <c r="BX61" s="383"/>
      <c r="BY61" s="383"/>
      <c r="BZ61" s="383"/>
      <c r="CA61" s="383"/>
      <c r="CB61" s="383"/>
      <c r="CC61" s="383"/>
      <c r="CD61" s="383"/>
      <c r="CE61" s="383"/>
      <c r="CF61" s="383"/>
      <c r="CG61" s="383"/>
      <c r="CH61" s="383"/>
    </row>
    <row r="62" spans="1:86" s="176" customFormat="1" x14ac:dyDescent="0.2">
      <c r="A62" s="176" t="s">
        <v>279</v>
      </c>
      <c r="B62" s="176" t="s">
        <v>453</v>
      </c>
      <c r="C62" s="176" t="s">
        <v>422</v>
      </c>
      <c r="D62" s="75" t="s">
        <v>372</v>
      </c>
      <c r="E62" s="195" t="e">
        <f t="shared" si="0"/>
        <v>#DIV/0!</v>
      </c>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3"/>
      <c r="CH62" s="383"/>
    </row>
    <row r="63" spans="1:86" s="176" customFormat="1" x14ac:dyDescent="0.2">
      <c r="A63" s="176" t="s">
        <v>279</v>
      </c>
      <c r="B63" s="176" t="s">
        <v>453</v>
      </c>
      <c r="C63" s="176" t="s">
        <v>422</v>
      </c>
      <c r="D63" s="75" t="s">
        <v>366</v>
      </c>
      <c r="E63" s="195" t="e">
        <f t="shared" si="0"/>
        <v>#DIV/0!</v>
      </c>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3"/>
      <c r="AY63" s="383"/>
      <c r="AZ63" s="383"/>
      <c r="BA63" s="383"/>
      <c r="BB63" s="383"/>
      <c r="BC63" s="383"/>
      <c r="BD63" s="383"/>
      <c r="BE63" s="383"/>
      <c r="BF63" s="383"/>
      <c r="BG63" s="383"/>
      <c r="BH63" s="383"/>
      <c r="BI63" s="383"/>
      <c r="BJ63" s="383"/>
      <c r="BK63" s="383"/>
      <c r="BL63" s="383"/>
      <c r="BM63" s="383"/>
      <c r="BN63" s="383"/>
      <c r="BO63" s="383"/>
      <c r="BP63" s="383"/>
      <c r="BQ63" s="383"/>
      <c r="BR63" s="383"/>
      <c r="BS63" s="383"/>
      <c r="BT63" s="383"/>
      <c r="BU63" s="383"/>
      <c r="BV63" s="383"/>
      <c r="BW63" s="383"/>
      <c r="BX63" s="383"/>
      <c r="BY63" s="383"/>
      <c r="BZ63" s="383"/>
      <c r="CA63" s="383"/>
      <c r="CB63" s="383"/>
      <c r="CC63" s="383"/>
      <c r="CD63" s="383"/>
      <c r="CE63" s="383"/>
      <c r="CF63" s="383"/>
      <c r="CG63" s="383"/>
      <c r="CH63" s="383"/>
    </row>
    <row r="64" spans="1:86" s="176" customFormat="1" x14ac:dyDescent="0.2">
      <c r="A64" s="176" t="s">
        <v>279</v>
      </c>
      <c r="B64" s="176" t="s">
        <v>453</v>
      </c>
      <c r="C64" s="176" t="s">
        <v>422</v>
      </c>
      <c r="D64" s="75" t="s">
        <v>373</v>
      </c>
      <c r="E64" s="195" t="e">
        <f t="shared" si="0"/>
        <v>#DIV/0!</v>
      </c>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3"/>
      <c r="AY64" s="383"/>
      <c r="AZ64" s="383"/>
      <c r="BA64" s="383"/>
      <c r="BB64" s="383"/>
      <c r="BC64" s="383"/>
      <c r="BD64" s="383"/>
      <c r="BE64" s="383"/>
      <c r="BF64" s="383"/>
      <c r="BG64" s="383"/>
      <c r="BH64" s="383"/>
      <c r="BI64" s="383"/>
      <c r="BJ64" s="383"/>
      <c r="BK64" s="383"/>
      <c r="BL64" s="383"/>
      <c r="BM64" s="383"/>
      <c r="BN64" s="383"/>
      <c r="BO64" s="383"/>
      <c r="BP64" s="383"/>
      <c r="BQ64" s="383"/>
      <c r="BR64" s="383"/>
      <c r="BS64" s="383"/>
      <c r="BT64" s="383"/>
      <c r="BU64" s="383"/>
      <c r="BV64" s="383"/>
      <c r="BW64" s="383"/>
      <c r="BX64" s="383"/>
      <c r="BY64" s="383"/>
      <c r="BZ64" s="383"/>
      <c r="CA64" s="383"/>
      <c r="CB64" s="383"/>
      <c r="CC64" s="383"/>
      <c r="CD64" s="383"/>
      <c r="CE64" s="383"/>
      <c r="CF64" s="383"/>
      <c r="CG64" s="383"/>
      <c r="CH64" s="383"/>
    </row>
    <row r="65" spans="1:86" s="176" customFormat="1" x14ac:dyDescent="0.2">
      <c r="A65" s="176" t="s">
        <v>279</v>
      </c>
      <c r="B65" s="176" t="s">
        <v>453</v>
      </c>
      <c r="C65" s="176" t="s">
        <v>422</v>
      </c>
      <c r="D65" s="75" t="s">
        <v>376</v>
      </c>
      <c r="E65" s="195" t="e">
        <f t="shared" si="0"/>
        <v>#DIV/0!</v>
      </c>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3"/>
      <c r="BC65" s="383"/>
      <c r="BD65" s="383"/>
      <c r="BE65" s="383"/>
      <c r="BF65" s="383"/>
      <c r="BG65" s="383"/>
      <c r="BH65" s="383"/>
      <c r="BI65" s="383"/>
      <c r="BJ65" s="383"/>
      <c r="BK65" s="383"/>
      <c r="BL65" s="383"/>
      <c r="BM65" s="383"/>
      <c r="BN65" s="383"/>
      <c r="BO65" s="383"/>
      <c r="BP65" s="383"/>
      <c r="BQ65" s="383"/>
      <c r="BR65" s="383"/>
      <c r="BS65" s="383"/>
      <c r="BT65" s="383"/>
      <c r="BU65" s="383"/>
      <c r="BV65" s="383"/>
      <c r="BW65" s="383"/>
      <c r="BX65" s="383"/>
      <c r="BY65" s="383"/>
      <c r="BZ65" s="383"/>
      <c r="CA65" s="383"/>
      <c r="CB65" s="383"/>
      <c r="CC65" s="383"/>
      <c r="CD65" s="383"/>
      <c r="CE65" s="383"/>
      <c r="CF65" s="383"/>
      <c r="CG65" s="383"/>
      <c r="CH65" s="383"/>
    </row>
    <row r="66" spans="1:86" s="176" customFormat="1" x14ac:dyDescent="0.2">
      <c r="A66" s="176" t="s">
        <v>279</v>
      </c>
      <c r="B66" s="176" t="s">
        <v>453</v>
      </c>
      <c r="C66" s="176" t="s">
        <v>422</v>
      </c>
      <c r="D66" s="75" t="s">
        <v>379</v>
      </c>
      <c r="E66" s="195" t="e">
        <f t="shared" si="0"/>
        <v>#DIV/0!</v>
      </c>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3"/>
      <c r="AY66" s="383"/>
      <c r="AZ66" s="383"/>
      <c r="BA66" s="383"/>
      <c r="BB66" s="383"/>
      <c r="BC66" s="383"/>
      <c r="BD66" s="383"/>
      <c r="BE66" s="383"/>
      <c r="BF66" s="383"/>
      <c r="BG66" s="383"/>
      <c r="BH66" s="383"/>
      <c r="BI66" s="383"/>
      <c r="BJ66" s="383"/>
      <c r="BK66" s="383"/>
      <c r="BL66" s="383"/>
      <c r="BM66" s="383"/>
      <c r="BN66" s="383"/>
      <c r="BO66" s="383"/>
      <c r="BP66" s="383"/>
      <c r="BQ66" s="383"/>
      <c r="BR66" s="383"/>
      <c r="BS66" s="383"/>
      <c r="BT66" s="383"/>
      <c r="BU66" s="383"/>
      <c r="BV66" s="383"/>
      <c r="BW66" s="383"/>
      <c r="BX66" s="383"/>
      <c r="BY66" s="383"/>
      <c r="BZ66" s="383"/>
      <c r="CA66" s="383"/>
      <c r="CB66" s="383"/>
      <c r="CC66" s="383"/>
      <c r="CD66" s="383"/>
      <c r="CE66" s="383"/>
      <c r="CF66" s="383"/>
      <c r="CG66" s="383"/>
      <c r="CH66" s="383"/>
    </row>
    <row r="67" spans="1:86" s="176" customFormat="1" x14ac:dyDescent="0.2">
      <c r="A67" s="176" t="s">
        <v>279</v>
      </c>
      <c r="B67" s="176" t="s">
        <v>453</v>
      </c>
      <c r="C67" s="176" t="s">
        <v>422</v>
      </c>
      <c r="D67" s="75" t="s">
        <v>377</v>
      </c>
      <c r="E67" s="195" t="e">
        <f t="shared" si="0"/>
        <v>#DIV/0!</v>
      </c>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3"/>
      <c r="AZ67" s="383"/>
      <c r="BA67" s="383"/>
      <c r="BB67" s="383"/>
      <c r="BC67" s="383"/>
      <c r="BD67" s="383"/>
      <c r="BE67" s="383"/>
      <c r="BF67" s="383"/>
      <c r="BG67" s="383"/>
      <c r="BH67" s="383"/>
      <c r="BI67" s="383"/>
      <c r="BJ67" s="383"/>
      <c r="BK67" s="383"/>
      <c r="BL67" s="383"/>
      <c r="BM67" s="383"/>
      <c r="BN67" s="383"/>
      <c r="BO67" s="383"/>
      <c r="BP67" s="383"/>
      <c r="BQ67" s="383"/>
      <c r="BR67" s="383"/>
      <c r="BS67" s="383"/>
      <c r="BT67" s="383"/>
      <c r="BU67" s="383"/>
      <c r="BV67" s="383"/>
      <c r="BW67" s="383"/>
      <c r="BX67" s="383"/>
      <c r="BY67" s="383"/>
      <c r="BZ67" s="383"/>
      <c r="CA67" s="383"/>
      <c r="CB67" s="383"/>
      <c r="CC67" s="383"/>
      <c r="CD67" s="383"/>
      <c r="CE67" s="383"/>
      <c r="CF67" s="383"/>
      <c r="CG67" s="383"/>
      <c r="CH67" s="383"/>
    </row>
    <row r="68" spans="1:86" s="176" customFormat="1" x14ac:dyDescent="0.2">
      <c r="A68" s="176" t="s">
        <v>279</v>
      </c>
      <c r="B68" s="176" t="s">
        <v>453</v>
      </c>
      <c r="C68" s="176" t="s">
        <v>422</v>
      </c>
      <c r="D68" s="75" t="s">
        <v>378</v>
      </c>
      <c r="E68" s="195" t="e">
        <f t="shared" si="0"/>
        <v>#DIV/0!</v>
      </c>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c r="AZ68" s="383"/>
      <c r="BA68" s="383"/>
      <c r="BB68" s="383"/>
      <c r="BC68" s="383"/>
      <c r="BD68" s="383"/>
      <c r="BE68" s="383"/>
      <c r="BF68" s="383"/>
      <c r="BG68" s="383"/>
      <c r="BH68" s="383"/>
      <c r="BI68" s="383"/>
      <c r="BJ68" s="383"/>
      <c r="BK68" s="383"/>
      <c r="BL68" s="383"/>
      <c r="BM68" s="383"/>
      <c r="BN68" s="383"/>
      <c r="BO68" s="383"/>
      <c r="BP68" s="383"/>
      <c r="BQ68" s="383"/>
      <c r="BR68" s="383"/>
      <c r="BS68" s="383"/>
      <c r="BT68" s="383"/>
      <c r="BU68" s="383"/>
      <c r="BV68" s="383"/>
      <c r="BW68" s="383"/>
      <c r="BX68" s="383"/>
      <c r="BY68" s="383"/>
      <c r="BZ68" s="383"/>
      <c r="CA68" s="383"/>
      <c r="CB68" s="383"/>
      <c r="CC68" s="383"/>
      <c r="CD68" s="383"/>
      <c r="CE68" s="383"/>
      <c r="CF68" s="383"/>
      <c r="CG68" s="383"/>
      <c r="CH68" s="383"/>
    </row>
    <row r="69" spans="1:86" s="176" customFormat="1" x14ac:dyDescent="0.2">
      <c r="A69" s="176" t="s">
        <v>279</v>
      </c>
      <c r="B69" s="176" t="s">
        <v>453</v>
      </c>
      <c r="C69" s="176" t="s">
        <v>422</v>
      </c>
      <c r="D69" s="75" t="s">
        <v>380</v>
      </c>
      <c r="E69" s="195" t="e">
        <f t="shared" si="0"/>
        <v>#DIV/0!</v>
      </c>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c r="AK69" s="383"/>
      <c r="AL69" s="383"/>
      <c r="AM69" s="383"/>
      <c r="AN69" s="383"/>
      <c r="AO69" s="383"/>
      <c r="AP69" s="383"/>
      <c r="AQ69" s="383"/>
      <c r="AR69" s="383"/>
      <c r="AS69" s="383"/>
      <c r="AT69" s="383"/>
      <c r="AU69" s="383"/>
      <c r="AV69" s="383"/>
      <c r="AW69" s="383"/>
      <c r="AX69" s="383"/>
      <c r="AY69" s="383"/>
      <c r="AZ69" s="383"/>
      <c r="BA69" s="383"/>
      <c r="BB69" s="383"/>
      <c r="BC69" s="383"/>
      <c r="BD69" s="383"/>
      <c r="BE69" s="383"/>
      <c r="BF69" s="383"/>
      <c r="BG69" s="383"/>
      <c r="BH69" s="383"/>
      <c r="BI69" s="383"/>
      <c r="BJ69" s="383"/>
      <c r="BK69" s="383"/>
      <c r="BL69" s="383"/>
      <c r="BM69" s="383"/>
      <c r="BN69" s="383"/>
      <c r="BO69" s="383"/>
      <c r="BP69" s="383"/>
      <c r="BQ69" s="383"/>
      <c r="BR69" s="383"/>
      <c r="BS69" s="383"/>
      <c r="BT69" s="383"/>
      <c r="BU69" s="383"/>
      <c r="BV69" s="383"/>
      <c r="BW69" s="383"/>
      <c r="BX69" s="383"/>
      <c r="BY69" s="383"/>
      <c r="BZ69" s="383"/>
      <c r="CA69" s="383"/>
      <c r="CB69" s="383"/>
      <c r="CC69" s="383"/>
      <c r="CD69" s="383"/>
      <c r="CE69" s="383"/>
      <c r="CF69" s="383"/>
      <c r="CG69" s="383"/>
      <c r="CH69" s="383"/>
    </row>
    <row r="70" spans="1:86" s="176" customFormat="1" x14ac:dyDescent="0.2">
      <c r="A70" s="176" t="s">
        <v>279</v>
      </c>
      <c r="B70" s="176" t="s">
        <v>453</v>
      </c>
      <c r="C70" s="176" t="s">
        <v>422</v>
      </c>
      <c r="D70" s="75" t="s">
        <v>381</v>
      </c>
      <c r="E70" s="195" t="e">
        <f t="shared" ref="E70:E83" si="1">(INDEX($F70:$XFD70,1,$E$2)-INDEX($F70:$XFD70,1,$E$1))/INDEX($F70:$XFD70,1,$E$1)</f>
        <v>#DIV/0!</v>
      </c>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3"/>
      <c r="AY70" s="383"/>
      <c r="AZ70" s="383"/>
      <c r="BA70" s="383"/>
      <c r="BB70" s="383"/>
      <c r="BC70" s="383"/>
      <c r="BD70" s="383"/>
      <c r="BE70" s="383"/>
      <c r="BF70" s="383"/>
      <c r="BG70" s="383"/>
      <c r="BH70" s="383"/>
      <c r="BI70" s="383"/>
      <c r="BJ70" s="383"/>
      <c r="BK70" s="383"/>
      <c r="BL70" s="383"/>
      <c r="BM70" s="383"/>
      <c r="BN70" s="383"/>
      <c r="BO70" s="383"/>
      <c r="BP70" s="383"/>
      <c r="BQ70" s="383"/>
      <c r="BR70" s="383"/>
      <c r="BS70" s="383"/>
      <c r="BT70" s="383"/>
      <c r="BU70" s="383"/>
      <c r="BV70" s="383"/>
      <c r="BW70" s="383"/>
      <c r="BX70" s="383"/>
      <c r="BY70" s="383"/>
      <c r="BZ70" s="383"/>
      <c r="CA70" s="383"/>
      <c r="CB70" s="383"/>
      <c r="CC70" s="383"/>
      <c r="CD70" s="383"/>
      <c r="CE70" s="383"/>
      <c r="CF70" s="383"/>
      <c r="CG70" s="383"/>
      <c r="CH70" s="383"/>
    </row>
    <row r="71" spans="1:86" s="176" customFormat="1" x14ac:dyDescent="0.2">
      <c r="A71" s="176" t="s">
        <v>279</v>
      </c>
      <c r="B71" s="176" t="s">
        <v>453</v>
      </c>
      <c r="C71" s="176" t="s">
        <v>402</v>
      </c>
      <c r="D71" s="75" t="s">
        <v>400</v>
      </c>
      <c r="E71" s="195" t="e">
        <f t="shared" si="1"/>
        <v>#DIV/0!</v>
      </c>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383"/>
      <c r="AY71" s="383"/>
      <c r="AZ71" s="383"/>
      <c r="BA71" s="383"/>
      <c r="BB71" s="383"/>
      <c r="BC71" s="383"/>
      <c r="BD71" s="383"/>
      <c r="BE71" s="383"/>
      <c r="BF71" s="383"/>
      <c r="BG71" s="383"/>
      <c r="BH71" s="383"/>
      <c r="BI71" s="383"/>
      <c r="BJ71" s="383"/>
      <c r="BK71" s="383"/>
      <c r="BL71" s="383"/>
      <c r="BM71" s="383"/>
      <c r="BN71" s="383"/>
      <c r="BO71" s="383"/>
      <c r="BP71" s="383"/>
      <c r="BQ71" s="383"/>
      <c r="BR71" s="383"/>
      <c r="BS71" s="383"/>
      <c r="BT71" s="383"/>
      <c r="BU71" s="383"/>
      <c r="BV71" s="383"/>
      <c r="BW71" s="383"/>
      <c r="BX71" s="383"/>
      <c r="BY71" s="383"/>
      <c r="BZ71" s="383"/>
      <c r="CA71" s="383"/>
      <c r="CB71" s="383"/>
      <c r="CC71" s="383"/>
      <c r="CD71" s="383"/>
      <c r="CE71" s="383"/>
      <c r="CF71" s="383"/>
      <c r="CG71" s="383"/>
      <c r="CH71" s="383"/>
    </row>
    <row r="72" spans="1:86" s="176" customFormat="1" x14ac:dyDescent="0.2">
      <c r="A72" s="176" t="s">
        <v>279</v>
      </c>
      <c r="B72" s="176" t="s">
        <v>453</v>
      </c>
      <c r="C72" s="176" t="s">
        <v>402</v>
      </c>
      <c r="D72" s="75" t="s">
        <v>401</v>
      </c>
      <c r="E72" s="195" t="e">
        <f t="shared" si="1"/>
        <v>#DIV/0!</v>
      </c>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1"/>
      <c r="AY72" s="411"/>
      <c r="AZ72" s="411"/>
      <c r="BA72" s="411"/>
      <c r="BB72" s="411"/>
      <c r="BC72" s="411"/>
      <c r="BD72" s="411"/>
      <c r="BE72" s="411"/>
      <c r="BF72" s="411"/>
      <c r="BG72" s="411"/>
      <c r="BH72" s="411"/>
      <c r="BI72" s="411"/>
      <c r="BJ72" s="411"/>
      <c r="BK72" s="411"/>
      <c r="BL72" s="411"/>
      <c r="BM72" s="411"/>
      <c r="BN72" s="411"/>
      <c r="BO72" s="411"/>
      <c r="BP72" s="411"/>
      <c r="BQ72" s="411"/>
      <c r="BR72" s="411"/>
      <c r="BS72" s="411"/>
      <c r="BT72" s="411"/>
      <c r="BU72" s="411"/>
      <c r="BV72" s="411"/>
      <c r="BW72" s="411"/>
      <c r="BX72" s="411"/>
      <c r="BY72" s="411"/>
      <c r="BZ72" s="411"/>
      <c r="CA72" s="411"/>
      <c r="CB72" s="411"/>
      <c r="CC72" s="411"/>
      <c r="CD72" s="411"/>
      <c r="CE72" s="411"/>
      <c r="CF72" s="411"/>
      <c r="CG72" s="411"/>
      <c r="CH72" s="411"/>
    </row>
    <row r="73" spans="1:86" s="176" customFormat="1" x14ac:dyDescent="0.2">
      <c r="A73" s="176" t="s">
        <v>282</v>
      </c>
      <c r="B73" s="176" t="s">
        <v>453</v>
      </c>
      <c r="C73" s="176" t="s">
        <v>422</v>
      </c>
      <c r="D73" s="75" t="s">
        <v>435</v>
      </c>
      <c r="E73" s="195" t="e">
        <f t="shared" si="1"/>
        <v>#DIV/0!</v>
      </c>
      <c r="F73" s="412"/>
      <c r="G73" s="412"/>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2"/>
      <c r="AY73" s="412"/>
      <c r="AZ73" s="412"/>
      <c r="BA73" s="412"/>
      <c r="BB73" s="412"/>
      <c r="BC73" s="412"/>
      <c r="BD73" s="412"/>
      <c r="BE73" s="412"/>
      <c r="BF73" s="412"/>
      <c r="BG73" s="412"/>
      <c r="BH73" s="412"/>
      <c r="BI73" s="412"/>
      <c r="BJ73" s="412"/>
      <c r="BK73" s="412"/>
      <c r="BL73" s="412"/>
      <c r="BM73" s="412"/>
      <c r="BN73" s="412"/>
      <c r="BO73" s="412"/>
      <c r="BP73" s="412"/>
      <c r="BQ73" s="412"/>
      <c r="BR73" s="412"/>
      <c r="BS73" s="412"/>
      <c r="BT73" s="412"/>
      <c r="BU73" s="412"/>
      <c r="BV73" s="412"/>
      <c r="BW73" s="412"/>
      <c r="BX73" s="412"/>
      <c r="BY73" s="412"/>
      <c r="BZ73" s="412"/>
      <c r="CA73" s="412"/>
      <c r="CB73" s="412"/>
      <c r="CC73" s="412"/>
      <c r="CD73" s="412"/>
      <c r="CE73" s="412"/>
      <c r="CF73" s="412"/>
      <c r="CG73" s="412"/>
      <c r="CH73" s="412"/>
    </row>
    <row r="74" spans="1:86" s="176" customFormat="1" x14ac:dyDescent="0.2">
      <c r="A74" s="176" t="s">
        <v>282</v>
      </c>
      <c r="B74" s="176" t="s">
        <v>453</v>
      </c>
      <c r="C74" s="176" t="s">
        <v>422</v>
      </c>
      <c r="D74" s="75" t="s">
        <v>436</v>
      </c>
      <c r="E74" s="195" t="e">
        <f t="shared" si="1"/>
        <v>#DIV/0!</v>
      </c>
      <c r="F74" s="412"/>
      <c r="G74" s="412"/>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2"/>
      <c r="AO74" s="412"/>
      <c r="AP74" s="412"/>
      <c r="AQ74" s="412"/>
      <c r="AR74" s="412"/>
      <c r="AS74" s="412"/>
      <c r="AT74" s="412"/>
      <c r="AU74" s="412"/>
      <c r="AV74" s="412"/>
      <c r="AW74" s="412"/>
      <c r="AX74" s="412"/>
      <c r="AY74" s="412"/>
      <c r="AZ74" s="412"/>
      <c r="BA74" s="412"/>
      <c r="BB74" s="412"/>
      <c r="BC74" s="412"/>
      <c r="BD74" s="412"/>
      <c r="BE74" s="412"/>
      <c r="BF74" s="412"/>
      <c r="BG74" s="412"/>
      <c r="BH74" s="412"/>
      <c r="BI74" s="412"/>
      <c r="BJ74" s="412"/>
      <c r="BK74" s="412"/>
      <c r="BL74" s="412"/>
      <c r="BM74" s="412"/>
      <c r="BN74" s="412"/>
      <c r="BO74" s="412"/>
      <c r="BP74" s="412"/>
      <c r="BQ74" s="412"/>
      <c r="BR74" s="412"/>
      <c r="BS74" s="412"/>
      <c r="BT74" s="412"/>
      <c r="BU74" s="412"/>
      <c r="BV74" s="412"/>
      <c r="BW74" s="412"/>
      <c r="BX74" s="412"/>
      <c r="BY74" s="412"/>
      <c r="BZ74" s="412"/>
      <c r="CA74" s="412"/>
      <c r="CB74" s="412"/>
      <c r="CC74" s="412"/>
      <c r="CD74" s="412"/>
      <c r="CE74" s="412"/>
      <c r="CF74" s="412"/>
      <c r="CG74" s="412"/>
      <c r="CH74" s="412"/>
    </row>
    <row r="75" spans="1:86" s="176" customFormat="1" x14ac:dyDescent="0.2">
      <c r="A75" s="176" t="s">
        <v>282</v>
      </c>
      <c r="B75" s="176" t="s">
        <v>453</v>
      </c>
      <c r="C75" s="176" t="s">
        <v>422</v>
      </c>
      <c r="D75" s="75" t="s">
        <v>437</v>
      </c>
      <c r="E75" s="195" t="e">
        <f t="shared" si="1"/>
        <v>#DIV/0!</v>
      </c>
      <c r="F75" s="412"/>
      <c r="G75" s="412"/>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2"/>
      <c r="AY75" s="412"/>
      <c r="AZ75" s="412"/>
      <c r="BA75" s="412"/>
      <c r="BB75" s="412"/>
      <c r="BC75" s="412"/>
      <c r="BD75" s="412"/>
      <c r="BE75" s="412"/>
      <c r="BF75" s="412"/>
      <c r="BG75" s="412"/>
      <c r="BH75" s="412"/>
      <c r="BI75" s="412"/>
      <c r="BJ75" s="412"/>
      <c r="BK75" s="412"/>
      <c r="BL75" s="412"/>
      <c r="BM75" s="412"/>
      <c r="BN75" s="412"/>
      <c r="BO75" s="412"/>
      <c r="BP75" s="412"/>
      <c r="BQ75" s="412"/>
      <c r="BR75" s="412"/>
      <c r="BS75" s="412"/>
      <c r="BT75" s="412"/>
      <c r="BU75" s="412"/>
      <c r="BV75" s="412"/>
      <c r="BW75" s="412"/>
      <c r="BX75" s="412"/>
      <c r="BY75" s="412"/>
      <c r="BZ75" s="412"/>
      <c r="CA75" s="412"/>
      <c r="CB75" s="412"/>
      <c r="CC75" s="412"/>
      <c r="CD75" s="412"/>
      <c r="CE75" s="412"/>
      <c r="CF75" s="412"/>
      <c r="CG75" s="412"/>
      <c r="CH75" s="412"/>
    </row>
    <row r="76" spans="1:86" s="176" customFormat="1" x14ac:dyDescent="0.2">
      <c r="A76" s="176" t="s">
        <v>282</v>
      </c>
      <c r="B76" s="176" t="s">
        <v>453</v>
      </c>
      <c r="C76" s="176" t="s">
        <v>422</v>
      </c>
      <c r="D76" s="75" t="s">
        <v>438</v>
      </c>
      <c r="E76" s="195" t="e">
        <f t="shared" si="1"/>
        <v>#DIV/0!</v>
      </c>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c r="AT76" s="412"/>
      <c r="AU76" s="412"/>
      <c r="AV76" s="412"/>
      <c r="AW76" s="412"/>
      <c r="AX76" s="412"/>
      <c r="AY76" s="412"/>
      <c r="AZ76" s="412"/>
      <c r="BA76" s="412"/>
      <c r="BB76" s="412"/>
      <c r="BC76" s="412"/>
      <c r="BD76" s="412"/>
      <c r="BE76" s="412"/>
      <c r="BF76" s="412"/>
      <c r="BG76" s="412"/>
      <c r="BH76" s="412"/>
      <c r="BI76" s="412"/>
      <c r="BJ76" s="412"/>
      <c r="BK76" s="412"/>
      <c r="BL76" s="412"/>
      <c r="BM76" s="412"/>
      <c r="BN76" s="412"/>
      <c r="BO76" s="412"/>
      <c r="BP76" s="412"/>
      <c r="BQ76" s="412"/>
      <c r="BR76" s="412"/>
      <c r="BS76" s="412"/>
      <c r="BT76" s="412"/>
      <c r="BU76" s="412"/>
      <c r="BV76" s="412"/>
      <c r="BW76" s="412"/>
      <c r="BX76" s="412"/>
      <c r="BY76" s="412"/>
      <c r="BZ76" s="412"/>
      <c r="CA76" s="412"/>
      <c r="CB76" s="412"/>
      <c r="CC76" s="412"/>
      <c r="CD76" s="412"/>
      <c r="CE76" s="412"/>
      <c r="CF76" s="412"/>
      <c r="CG76" s="412"/>
      <c r="CH76" s="412"/>
    </row>
    <row r="77" spans="1:86" s="176" customFormat="1" x14ac:dyDescent="0.2">
      <c r="A77" s="176" t="s">
        <v>282</v>
      </c>
      <c r="B77" s="176" t="s">
        <v>453</v>
      </c>
      <c r="C77" s="176" t="s">
        <v>422</v>
      </c>
      <c r="D77" s="75" t="s">
        <v>439</v>
      </c>
      <c r="E77" s="195" t="e">
        <f t="shared" si="1"/>
        <v>#DIV/0!</v>
      </c>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2"/>
      <c r="AY77" s="412"/>
      <c r="AZ77" s="412"/>
      <c r="BA77" s="412"/>
      <c r="BB77" s="412"/>
      <c r="BC77" s="412"/>
      <c r="BD77" s="412"/>
      <c r="BE77" s="412"/>
      <c r="BF77" s="412"/>
      <c r="BG77" s="412"/>
      <c r="BH77" s="412"/>
      <c r="BI77" s="412"/>
      <c r="BJ77" s="412"/>
      <c r="BK77" s="412"/>
      <c r="BL77" s="412"/>
      <c r="BM77" s="412"/>
      <c r="BN77" s="412"/>
      <c r="BO77" s="412"/>
      <c r="BP77" s="412"/>
      <c r="BQ77" s="412"/>
      <c r="BR77" s="412"/>
      <c r="BS77" s="412"/>
      <c r="BT77" s="412"/>
      <c r="BU77" s="412"/>
      <c r="BV77" s="412"/>
      <c r="BW77" s="412"/>
      <c r="BX77" s="412"/>
      <c r="BY77" s="412"/>
      <c r="BZ77" s="412"/>
      <c r="CA77" s="412"/>
      <c r="CB77" s="412"/>
      <c r="CC77" s="412"/>
      <c r="CD77" s="412"/>
      <c r="CE77" s="412"/>
      <c r="CF77" s="412"/>
      <c r="CG77" s="412"/>
      <c r="CH77" s="412"/>
    </row>
    <row r="78" spans="1:86" s="176" customFormat="1" x14ac:dyDescent="0.2">
      <c r="A78" s="176" t="s">
        <v>282</v>
      </c>
      <c r="B78" s="176" t="s">
        <v>453</v>
      </c>
      <c r="C78" s="176" t="s">
        <v>422</v>
      </c>
      <c r="D78" s="75" t="s">
        <v>440</v>
      </c>
      <c r="E78" s="195" t="e">
        <f t="shared" si="1"/>
        <v>#DIV/0!</v>
      </c>
      <c r="F78" s="412"/>
      <c r="G78" s="412"/>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12"/>
      <c r="AX78" s="412"/>
      <c r="AY78" s="412"/>
      <c r="AZ78" s="412"/>
      <c r="BA78" s="412"/>
      <c r="BB78" s="412"/>
      <c r="BC78" s="412"/>
      <c r="BD78" s="412"/>
      <c r="BE78" s="412"/>
      <c r="BF78" s="412"/>
      <c r="BG78" s="412"/>
      <c r="BH78" s="412"/>
      <c r="BI78" s="412"/>
      <c r="BJ78" s="412"/>
      <c r="BK78" s="412"/>
      <c r="BL78" s="412"/>
      <c r="BM78" s="412"/>
      <c r="BN78" s="412"/>
      <c r="BO78" s="412"/>
      <c r="BP78" s="412"/>
      <c r="BQ78" s="412"/>
      <c r="BR78" s="412"/>
      <c r="BS78" s="412"/>
      <c r="BT78" s="412"/>
      <c r="BU78" s="412"/>
      <c r="BV78" s="412"/>
      <c r="BW78" s="412"/>
      <c r="BX78" s="412"/>
      <c r="BY78" s="412"/>
      <c r="BZ78" s="412"/>
      <c r="CA78" s="412"/>
      <c r="CB78" s="412"/>
      <c r="CC78" s="412"/>
      <c r="CD78" s="412"/>
      <c r="CE78" s="412"/>
      <c r="CF78" s="412"/>
      <c r="CG78" s="412"/>
      <c r="CH78" s="412"/>
    </row>
    <row r="79" spans="1:86" s="176" customFormat="1" x14ac:dyDescent="0.2">
      <c r="A79" s="176" t="s">
        <v>282</v>
      </c>
      <c r="B79" s="176" t="s">
        <v>453</v>
      </c>
      <c r="C79" s="176" t="s">
        <v>422</v>
      </c>
      <c r="D79" s="75" t="s">
        <v>441</v>
      </c>
      <c r="E79" s="195" t="e">
        <f t="shared" si="1"/>
        <v>#DIV/0!</v>
      </c>
      <c r="F79" s="412"/>
      <c r="G79" s="412"/>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c r="AT79" s="412"/>
      <c r="AU79" s="412"/>
      <c r="AV79" s="412"/>
      <c r="AW79" s="412"/>
      <c r="AX79" s="412"/>
      <c r="AY79" s="412"/>
      <c r="AZ79" s="412"/>
      <c r="BA79" s="412"/>
      <c r="BB79" s="412"/>
      <c r="BC79" s="412"/>
      <c r="BD79" s="412"/>
      <c r="BE79" s="412"/>
      <c r="BF79" s="412"/>
      <c r="BG79" s="412"/>
      <c r="BH79" s="412"/>
      <c r="BI79" s="412"/>
      <c r="BJ79" s="412"/>
      <c r="BK79" s="412"/>
      <c r="BL79" s="412"/>
      <c r="BM79" s="412"/>
      <c r="BN79" s="412"/>
      <c r="BO79" s="412"/>
      <c r="BP79" s="412"/>
      <c r="BQ79" s="412"/>
      <c r="BR79" s="412"/>
      <c r="BS79" s="412"/>
      <c r="BT79" s="412"/>
      <c r="BU79" s="412"/>
      <c r="BV79" s="412"/>
      <c r="BW79" s="412"/>
      <c r="BX79" s="412"/>
      <c r="BY79" s="412"/>
      <c r="BZ79" s="412"/>
      <c r="CA79" s="412"/>
      <c r="CB79" s="412"/>
      <c r="CC79" s="412"/>
      <c r="CD79" s="412"/>
      <c r="CE79" s="412"/>
      <c r="CF79" s="412"/>
      <c r="CG79" s="412"/>
      <c r="CH79" s="412"/>
    </row>
    <row r="80" spans="1:86" s="176" customFormat="1" x14ac:dyDescent="0.2">
      <c r="A80" s="176" t="s">
        <v>282</v>
      </c>
      <c r="B80" s="176" t="s">
        <v>453</v>
      </c>
      <c r="C80" s="176" t="s">
        <v>422</v>
      </c>
      <c r="D80" s="75" t="s">
        <v>442</v>
      </c>
      <c r="E80" s="195" t="e">
        <f t="shared" si="1"/>
        <v>#DIV/0!</v>
      </c>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2"/>
      <c r="AY80" s="412"/>
      <c r="AZ80" s="412"/>
      <c r="BA80" s="412"/>
      <c r="BB80" s="412"/>
      <c r="BC80" s="412"/>
      <c r="BD80" s="412"/>
      <c r="BE80" s="412"/>
      <c r="BF80" s="412"/>
      <c r="BG80" s="412"/>
      <c r="BH80" s="412"/>
      <c r="BI80" s="412"/>
      <c r="BJ80" s="412"/>
      <c r="BK80" s="412"/>
      <c r="BL80" s="412"/>
      <c r="BM80" s="412"/>
      <c r="BN80" s="412"/>
      <c r="BO80" s="412"/>
      <c r="BP80" s="412"/>
      <c r="BQ80" s="412"/>
      <c r="BR80" s="412"/>
      <c r="BS80" s="412"/>
      <c r="BT80" s="412"/>
      <c r="BU80" s="412"/>
      <c r="BV80" s="412"/>
      <c r="BW80" s="412"/>
      <c r="BX80" s="412"/>
      <c r="BY80" s="412"/>
      <c r="BZ80" s="412"/>
      <c r="CA80" s="412"/>
      <c r="CB80" s="412"/>
      <c r="CC80" s="412"/>
      <c r="CD80" s="412"/>
      <c r="CE80" s="412"/>
      <c r="CF80" s="412"/>
      <c r="CG80" s="412"/>
      <c r="CH80" s="412"/>
    </row>
    <row r="81" spans="1:86" s="176" customFormat="1" x14ac:dyDescent="0.2">
      <c r="A81" s="176" t="s">
        <v>282</v>
      </c>
      <c r="B81" s="176" t="s">
        <v>453</v>
      </c>
      <c r="C81" s="176" t="s">
        <v>422</v>
      </c>
      <c r="D81" s="75" t="s">
        <v>443</v>
      </c>
      <c r="E81" s="195" t="e">
        <f t="shared" si="1"/>
        <v>#DIV/0!</v>
      </c>
      <c r="F81" s="412"/>
      <c r="G81" s="412"/>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2"/>
      <c r="AY81" s="412"/>
      <c r="AZ81" s="412"/>
      <c r="BA81" s="412"/>
      <c r="BB81" s="412"/>
      <c r="BC81" s="412"/>
      <c r="BD81" s="412"/>
      <c r="BE81" s="412"/>
      <c r="BF81" s="412"/>
      <c r="BG81" s="412"/>
      <c r="BH81" s="412"/>
      <c r="BI81" s="412"/>
      <c r="BJ81" s="412"/>
      <c r="BK81" s="412"/>
      <c r="BL81" s="412"/>
      <c r="BM81" s="412"/>
      <c r="BN81" s="412"/>
      <c r="BO81" s="412"/>
      <c r="BP81" s="412"/>
      <c r="BQ81" s="412"/>
      <c r="BR81" s="412"/>
      <c r="BS81" s="412"/>
      <c r="BT81" s="412"/>
      <c r="BU81" s="412"/>
      <c r="BV81" s="412"/>
      <c r="BW81" s="412"/>
      <c r="BX81" s="412"/>
      <c r="BY81" s="412"/>
      <c r="BZ81" s="412"/>
      <c r="CA81" s="412"/>
      <c r="CB81" s="412"/>
      <c r="CC81" s="412"/>
      <c r="CD81" s="412"/>
      <c r="CE81" s="412"/>
      <c r="CF81" s="412"/>
      <c r="CG81" s="412"/>
      <c r="CH81" s="412"/>
    </row>
    <row r="82" spans="1:86" s="176" customFormat="1" x14ac:dyDescent="0.2">
      <c r="A82" s="176" t="s">
        <v>282</v>
      </c>
      <c r="B82" s="176" t="s">
        <v>453</v>
      </c>
      <c r="C82" s="176" t="s">
        <v>422</v>
      </c>
      <c r="D82" s="75" t="s">
        <v>444</v>
      </c>
      <c r="E82" s="195" t="e">
        <f t="shared" si="1"/>
        <v>#DIV/0!</v>
      </c>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2"/>
      <c r="AY82" s="412"/>
      <c r="AZ82" s="412"/>
      <c r="BA82" s="412"/>
      <c r="BB82" s="412"/>
      <c r="BC82" s="412"/>
      <c r="BD82" s="412"/>
      <c r="BE82" s="412"/>
      <c r="BF82" s="412"/>
      <c r="BG82" s="412"/>
      <c r="BH82" s="412"/>
      <c r="BI82" s="412"/>
      <c r="BJ82" s="412"/>
      <c r="BK82" s="412"/>
      <c r="BL82" s="412"/>
      <c r="BM82" s="412"/>
      <c r="BN82" s="412"/>
      <c r="BO82" s="412"/>
      <c r="BP82" s="412"/>
      <c r="BQ82" s="412"/>
      <c r="BR82" s="412"/>
      <c r="BS82" s="412"/>
      <c r="BT82" s="412"/>
      <c r="BU82" s="412"/>
      <c r="BV82" s="412"/>
      <c r="BW82" s="412"/>
      <c r="BX82" s="412"/>
      <c r="BY82" s="412"/>
      <c r="BZ82" s="412"/>
      <c r="CA82" s="412"/>
      <c r="CB82" s="412"/>
      <c r="CC82" s="412"/>
      <c r="CD82" s="412"/>
      <c r="CE82" s="412"/>
      <c r="CF82" s="412"/>
      <c r="CG82" s="412"/>
      <c r="CH82" s="412"/>
    </row>
    <row r="83" spans="1:86" s="176" customFormat="1" ht="13.5" thickBot="1" x14ac:dyDescent="0.25">
      <c r="A83" s="179" t="s">
        <v>282</v>
      </c>
      <c r="B83" s="176" t="s">
        <v>453</v>
      </c>
      <c r="C83" s="180" t="s">
        <v>395</v>
      </c>
      <c r="D83" s="230" t="s">
        <v>382</v>
      </c>
      <c r="E83" s="195" t="e">
        <f t="shared" si="1"/>
        <v>#DIV/0!</v>
      </c>
      <c r="F83" s="413"/>
      <c r="G83" s="413"/>
      <c r="H83" s="452"/>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3"/>
      <c r="AY83" s="413"/>
      <c r="AZ83" s="413"/>
      <c r="BA83" s="413"/>
      <c r="BB83" s="413"/>
      <c r="BC83" s="413"/>
      <c r="BD83" s="413"/>
      <c r="BE83" s="413"/>
      <c r="BF83" s="413"/>
      <c r="BG83" s="413"/>
      <c r="BH83" s="413"/>
      <c r="BI83" s="413"/>
      <c r="BJ83" s="413"/>
      <c r="BK83" s="413"/>
      <c r="BL83" s="413"/>
      <c r="BM83" s="413"/>
      <c r="BN83" s="413"/>
      <c r="BO83" s="413"/>
      <c r="BP83" s="413"/>
      <c r="BQ83" s="413"/>
      <c r="BR83" s="413"/>
      <c r="BS83" s="413"/>
      <c r="BT83" s="413"/>
      <c r="BU83" s="413"/>
      <c r="BV83" s="413"/>
      <c r="BW83" s="413"/>
      <c r="BX83" s="413"/>
      <c r="BY83" s="413"/>
      <c r="BZ83" s="413"/>
      <c r="CA83" s="413"/>
      <c r="CB83" s="413"/>
      <c r="CC83" s="413"/>
      <c r="CD83" s="413"/>
      <c r="CE83" s="413"/>
      <c r="CF83" s="413"/>
      <c r="CG83" s="413"/>
      <c r="CH83" s="413"/>
    </row>
    <row r="84" spans="1:86" s="233" customFormat="1" x14ac:dyDescent="0.2">
      <c r="A84" s="232" t="s">
        <v>404</v>
      </c>
      <c r="B84" s="232" t="s">
        <v>453</v>
      </c>
      <c r="C84" s="233" t="s">
        <v>396</v>
      </c>
      <c r="D84" s="234" t="s">
        <v>421</v>
      </c>
      <c r="E84" s="235"/>
      <c r="F84" s="455"/>
      <c r="G84" s="455"/>
      <c r="H84" s="453"/>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405"/>
      <c r="AL84" s="405"/>
      <c r="AM84" s="405"/>
      <c r="AN84" s="405"/>
      <c r="AO84" s="405"/>
      <c r="AP84" s="405"/>
      <c r="AQ84" s="405"/>
      <c r="AR84" s="405"/>
      <c r="AS84" s="405"/>
      <c r="AT84" s="405"/>
      <c r="AU84" s="405"/>
      <c r="AV84" s="405"/>
      <c r="AW84" s="405"/>
      <c r="AX84" s="405"/>
      <c r="AY84" s="405"/>
      <c r="AZ84" s="405"/>
      <c r="BA84" s="405"/>
      <c r="BB84" s="405"/>
      <c r="BC84" s="405"/>
      <c r="BD84" s="405"/>
      <c r="BE84" s="405"/>
      <c r="BF84" s="405"/>
      <c r="BG84" s="405"/>
      <c r="BH84" s="405"/>
      <c r="BI84" s="405"/>
      <c r="BJ84" s="405"/>
      <c r="BK84" s="405"/>
      <c r="BL84" s="405"/>
      <c r="BM84" s="405"/>
      <c r="BN84" s="405"/>
      <c r="BO84" s="405"/>
      <c r="BP84" s="405"/>
      <c r="BQ84" s="405"/>
      <c r="BR84" s="405"/>
      <c r="BS84" s="405"/>
      <c r="BT84" s="405"/>
      <c r="BU84" s="405"/>
      <c r="BV84" s="405"/>
      <c r="BW84" s="405"/>
      <c r="BX84" s="405"/>
      <c r="BY84" s="405"/>
      <c r="BZ84" s="405"/>
      <c r="CA84" s="405"/>
      <c r="CB84" s="405"/>
      <c r="CC84" s="405"/>
      <c r="CD84" s="405"/>
      <c r="CE84" s="405"/>
      <c r="CF84" s="405"/>
      <c r="CG84" s="405"/>
      <c r="CH84" s="405"/>
    </row>
    <row r="85" spans="1:86" s="233" customFormat="1" x14ac:dyDescent="0.2">
      <c r="A85" s="232" t="s">
        <v>404</v>
      </c>
      <c r="B85" s="232" t="s">
        <v>453</v>
      </c>
      <c r="C85" s="233" t="s">
        <v>396</v>
      </c>
      <c r="D85" s="234" t="s">
        <v>411</v>
      </c>
      <c r="E85" s="235"/>
      <c r="F85" s="455"/>
      <c r="G85" s="455"/>
      <c r="H85" s="453"/>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405"/>
      <c r="AL85" s="405"/>
      <c r="AM85" s="405"/>
      <c r="AN85" s="405"/>
      <c r="AO85" s="405"/>
      <c r="AP85" s="405"/>
      <c r="AQ85" s="405"/>
      <c r="AR85" s="405"/>
      <c r="AS85" s="405"/>
      <c r="AT85" s="405"/>
      <c r="AU85" s="405"/>
      <c r="AV85" s="405"/>
      <c r="AW85" s="405"/>
      <c r="AX85" s="405"/>
      <c r="AY85" s="405"/>
      <c r="AZ85" s="405"/>
      <c r="BA85" s="405"/>
      <c r="BB85" s="405"/>
      <c r="BC85" s="405"/>
      <c r="BD85" s="405"/>
      <c r="BE85" s="405"/>
      <c r="BF85" s="405"/>
      <c r="BG85" s="405"/>
      <c r="BH85" s="405"/>
      <c r="BI85" s="405"/>
      <c r="BJ85" s="405"/>
      <c r="BK85" s="405"/>
      <c r="BL85" s="405"/>
      <c r="BM85" s="405"/>
      <c r="BN85" s="405"/>
      <c r="BO85" s="405"/>
      <c r="BP85" s="405"/>
      <c r="BQ85" s="405"/>
      <c r="BR85" s="405"/>
      <c r="BS85" s="405"/>
      <c r="BT85" s="405"/>
      <c r="BU85" s="405"/>
      <c r="BV85" s="405"/>
      <c r="BW85" s="405"/>
      <c r="BX85" s="405"/>
      <c r="BY85" s="405"/>
      <c r="BZ85" s="405"/>
      <c r="CA85" s="405"/>
      <c r="CB85" s="405"/>
      <c r="CC85" s="405"/>
      <c r="CD85" s="405"/>
      <c r="CE85" s="405"/>
      <c r="CF85" s="405"/>
      <c r="CG85" s="405"/>
      <c r="CH85" s="405"/>
    </row>
    <row r="86" spans="1:86" s="233" customFormat="1" ht="13.5" thickBot="1" x14ac:dyDescent="0.25">
      <c r="A86" s="232" t="s">
        <v>404</v>
      </c>
      <c r="B86" s="232" t="s">
        <v>453</v>
      </c>
      <c r="C86" s="233" t="s">
        <v>396</v>
      </c>
      <c r="D86" s="234" t="s">
        <v>412</v>
      </c>
      <c r="E86" s="235"/>
      <c r="F86" s="455"/>
      <c r="G86" s="455"/>
      <c r="H86" s="453"/>
      <c r="I86" s="405"/>
      <c r="J86" s="405"/>
      <c r="K86" s="405"/>
      <c r="L86" s="405"/>
      <c r="M86" s="405"/>
      <c r="N86" s="405"/>
      <c r="O86" s="405"/>
      <c r="P86" s="405"/>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05"/>
      <c r="AN86" s="405"/>
      <c r="AO86" s="405"/>
      <c r="AP86" s="405"/>
      <c r="AQ86" s="405"/>
      <c r="AR86" s="405"/>
      <c r="AS86" s="405"/>
      <c r="AT86" s="405"/>
      <c r="AU86" s="405"/>
      <c r="AV86" s="405"/>
      <c r="AW86" s="405"/>
      <c r="AX86" s="405"/>
      <c r="AY86" s="405"/>
      <c r="AZ86" s="405"/>
      <c r="BA86" s="405"/>
      <c r="BB86" s="405"/>
      <c r="BC86" s="405"/>
      <c r="BD86" s="405"/>
      <c r="BE86" s="405"/>
      <c r="BF86" s="405"/>
      <c r="BG86" s="405"/>
      <c r="BH86" s="405"/>
      <c r="BI86" s="405"/>
      <c r="BJ86" s="405"/>
      <c r="BK86" s="405"/>
      <c r="BL86" s="405"/>
      <c r="BM86" s="405"/>
      <c r="BN86" s="405"/>
      <c r="BO86" s="405"/>
      <c r="BP86" s="405"/>
      <c r="BQ86" s="405"/>
      <c r="BR86" s="405"/>
      <c r="BS86" s="405"/>
      <c r="BT86" s="405"/>
      <c r="BU86" s="405"/>
      <c r="BV86" s="405"/>
      <c r="BW86" s="405"/>
      <c r="BX86" s="405"/>
      <c r="BY86" s="405"/>
      <c r="BZ86" s="405"/>
      <c r="CA86" s="405"/>
      <c r="CB86" s="405"/>
      <c r="CC86" s="405"/>
      <c r="CD86" s="405"/>
      <c r="CE86" s="405"/>
      <c r="CF86" s="405"/>
      <c r="CG86" s="405"/>
      <c r="CH86" s="405"/>
    </row>
    <row r="87" spans="1:86" ht="13.5" thickBot="1" x14ac:dyDescent="0.25">
      <c r="A87" s="176" t="s">
        <v>404</v>
      </c>
      <c r="B87" s="176" t="s">
        <v>453</v>
      </c>
      <c r="C87" s="176" t="s">
        <v>403</v>
      </c>
      <c r="D87" s="74" t="s">
        <v>397</v>
      </c>
      <c r="E87" s="395" t="e">
        <f>(INDEX($H87:$XFD87,1,$E$2)-INDEX($H87:$XFD87,1,$E$1))/INDEX($H87:$XFD87,1,$E$1)</f>
        <v>#DIV/0!</v>
      </c>
      <c r="F87" s="406"/>
      <c r="G87" s="406"/>
      <c r="H87" s="454"/>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K87" s="406"/>
      <c r="AL87" s="406"/>
      <c r="AM87" s="406"/>
      <c r="AN87" s="406"/>
      <c r="AO87" s="406"/>
      <c r="AP87" s="406"/>
      <c r="AQ87" s="406"/>
      <c r="AR87" s="406"/>
      <c r="AS87" s="406"/>
      <c r="AT87" s="406"/>
      <c r="AU87" s="406"/>
      <c r="AV87" s="406"/>
      <c r="AW87" s="406"/>
      <c r="AX87" s="406"/>
      <c r="AY87" s="406"/>
      <c r="AZ87" s="406"/>
      <c r="BA87" s="406"/>
      <c r="BB87" s="406"/>
      <c r="BC87" s="406"/>
      <c r="BD87" s="406"/>
      <c r="BE87" s="406"/>
      <c r="BF87" s="406"/>
      <c r="BG87" s="406"/>
      <c r="BH87" s="406"/>
      <c r="BI87" s="406"/>
      <c r="BJ87" s="406"/>
      <c r="BK87" s="406"/>
      <c r="BL87" s="406"/>
      <c r="BM87" s="406"/>
      <c r="BN87" s="406"/>
      <c r="BO87" s="406"/>
      <c r="BP87" s="406"/>
      <c r="BQ87" s="406"/>
      <c r="BR87" s="406"/>
      <c r="BS87" s="406"/>
      <c r="BT87" s="406"/>
      <c r="BU87" s="406"/>
      <c r="BV87" s="406"/>
      <c r="BW87" s="406"/>
      <c r="BX87" s="406"/>
      <c r="BY87" s="406"/>
      <c r="BZ87" s="406"/>
      <c r="CA87" s="406"/>
      <c r="CB87" s="406"/>
      <c r="CC87" s="406"/>
      <c r="CD87" s="406"/>
      <c r="CE87" s="406"/>
      <c r="CF87" s="406"/>
      <c r="CG87" s="406"/>
      <c r="CH87" s="406"/>
    </row>
    <row r="88" spans="1:86" x14ac:dyDescent="0.2">
      <c r="A88" s="176" t="s">
        <v>404</v>
      </c>
      <c r="B88" s="176" t="s">
        <v>453</v>
      </c>
      <c r="D88" s="175" t="s">
        <v>448</v>
      </c>
      <c r="F88" s="457"/>
      <c r="G88" s="449"/>
      <c r="H88" s="449"/>
      <c r="I88" s="449"/>
      <c r="J88" s="449"/>
      <c r="K88" s="449"/>
      <c r="L88" s="449"/>
      <c r="M88" s="449"/>
      <c r="N88" s="449"/>
      <c r="O88" s="449"/>
      <c r="P88" s="449"/>
      <c r="Q88" s="449"/>
      <c r="R88" s="449"/>
      <c r="S88" s="449"/>
      <c r="T88" s="449"/>
      <c r="U88" s="449"/>
      <c r="V88" s="449"/>
      <c r="W88" s="449"/>
      <c r="X88" s="449"/>
      <c r="Y88" s="449"/>
      <c r="Z88" s="449"/>
      <c r="AA88" s="449"/>
      <c r="AB88" s="449"/>
      <c r="AC88" s="449"/>
      <c r="AD88" s="292"/>
      <c r="AE88" s="292"/>
      <c r="AF88" s="292"/>
      <c r="AG88" s="292"/>
      <c r="AH88" s="292"/>
      <c r="AI88" s="292"/>
      <c r="AJ88" s="292"/>
      <c r="AK88" s="292"/>
      <c r="AL88" s="292"/>
      <c r="AM88" s="292"/>
      <c r="AN88" s="292"/>
      <c r="AO88" s="292"/>
      <c r="AP88" s="292"/>
      <c r="AQ88" s="292"/>
      <c r="AR88" s="292"/>
      <c r="AS88" s="292"/>
      <c r="AT88" s="292"/>
      <c r="AU88" s="292"/>
      <c r="AV88" s="292"/>
      <c r="AW88" s="292"/>
      <c r="AX88" s="292"/>
      <c r="AY88" s="292"/>
      <c r="AZ88" s="292"/>
      <c r="BA88" s="292"/>
      <c r="BB88" s="292"/>
      <c r="BC88" s="292"/>
      <c r="BD88" s="292"/>
      <c r="BE88" s="292"/>
      <c r="BF88" s="292"/>
      <c r="BG88" s="292"/>
      <c r="BH88" s="292"/>
      <c r="BI88" s="292"/>
      <c r="BJ88" s="292"/>
      <c r="BK88" s="292"/>
      <c r="BL88" s="292"/>
      <c r="BM88" s="292"/>
      <c r="BN88" s="292"/>
      <c r="BO88" s="292"/>
      <c r="BP88" s="292"/>
      <c r="BQ88" s="292"/>
      <c r="BR88" s="292"/>
      <c r="BS88" s="292"/>
      <c r="BT88" s="292"/>
      <c r="BU88" s="292"/>
      <c r="BV88" s="292"/>
      <c r="BW88" s="292"/>
      <c r="BX88" s="292"/>
      <c r="BY88" s="292"/>
      <c r="BZ88" s="292"/>
      <c r="CA88" s="292"/>
      <c r="CB88" s="292"/>
      <c r="CC88" s="292"/>
      <c r="CD88" s="292"/>
      <c r="CE88" s="292"/>
      <c r="CF88" s="292"/>
      <c r="CG88" s="292"/>
      <c r="CH88" s="292"/>
    </row>
    <row r="89" spans="1:86" x14ac:dyDescent="0.2">
      <c r="A89" s="176" t="s">
        <v>404</v>
      </c>
      <c r="B89" s="176" t="s">
        <v>453</v>
      </c>
      <c r="D89" s="175" t="s">
        <v>449</v>
      </c>
      <c r="F89" s="457"/>
      <c r="G89" s="449"/>
      <c r="H89" s="449"/>
      <c r="I89" s="449"/>
      <c r="J89" s="449"/>
      <c r="K89" s="449"/>
      <c r="L89" s="449"/>
      <c r="M89" s="449"/>
      <c r="N89" s="449"/>
      <c r="O89" s="449"/>
      <c r="P89" s="449"/>
      <c r="Q89" s="449"/>
      <c r="R89" s="449"/>
      <c r="S89" s="449"/>
      <c r="T89" s="449"/>
      <c r="U89" s="449"/>
      <c r="V89" s="449"/>
      <c r="W89" s="449"/>
      <c r="X89" s="449"/>
      <c r="Y89" s="449"/>
      <c r="Z89" s="449"/>
      <c r="AA89" s="449"/>
      <c r="AB89" s="449"/>
      <c r="AC89" s="449"/>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2"/>
      <c r="BA89" s="292"/>
      <c r="BB89" s="292"/>
      <c r="BC89" s="292"/>
      <c r="BD89" s="292"/>
      <c r="BE89" s="292"/>
      <c r="BF89" s="292"/>
      <c r="BG89" s="292"/>
      <c r="BH89" s="292"/>
      <c r="BI89" s="292"/>
      <c r="BJ89" s="292"/>
      <c r="BK89" s="292"/>
      <c r="BL89" s="292"/>
      <c r="BM89" s="292"/>
      <c r="BN89" s="292"/>
      <c r="BO89" s="292"/>
      <c r="BP89" s="292"/>
      <c r="BQ89" s="292"/>
      <c r="BR89" s="292"/>
      <c r="BS89" s="292"/>
      <c r="BT89" s="292"/>
      <c r="BU89" s="292"/>
      <c r="BV89" s="292"/>
      <c r="BW89" s="292"/>
      <c r="BX89" s="292"/>
      <c r="BY89" s="292"/>
      <c r="BZ89" s="292"/>
      <c r="CA89" s="292"/>
      <c r="CB89" s="292"/>
      <c r="CC89" s="292"/>
      <c r="CD89" s="292"/>
      <c r="CE89" s="292"/>
      <c r="CF89" s="292"/>
      <c r="CG89" s="292"/>
      <c r="CH89" s="292"/>
    </row>
    <row r="90" spans="1:86" x14ac:dyDescent="0.2">
      <c r="A90" s="176" t="s">
        <v>404</v>
      </c>
      <c r="B90" s="176" t="s">
        <v>453</v>
      </c>
      <c r="D90" s="175" t="s">
        <v>450</v>
      </c>
      <c r="F90" s="457"/>
      <c r="G90" s="449"/>
      <c r="H90" s="449"/>
      <c r="I90" s="449"/>
      <c r="J90" s="449"/>
      <c r="K90" s="449"/>
      <c r="L90" s="449"/>
      <c r="M90" s="449"/>
      <c r="N90" s="449"/>
      <c r="O90" s="449"/>
      <c r="P90" s="449"/>
      <c r="Q90" s="449"/>
      <c r="R90" s="449"/>
      <c r="S90" s="449"/>
      <c r="T90" s="449"/>
      <c r="U90" s="449"/>
      <c r="V90" s="449"/>
      <c r="W90" s="449"/>
      <c r="X90" s="449"/>
      <c r="Y90" s="449"/>
      <c r="Z90" s="449"/>
      <c r="AA90" s="449"/>
      <c r="AB90" s="449"/>
      <c r="AC90" s="449"/>
      <c r="AD90" s="292"/>
      <c r="AE90" s="292"/>
      <c r="AF90" s="292"/>
      <c r="AG90" s="292"/>
      <c r="AH90" s="292"/>
      <c r="AI90" s="292"/>
      <c r="AJ90" s="292"/>
      <c r="AK90" s="292"/>
      <c r="AL90" s="292"/>
      <c r="AM90" s="292"/>
      <c r="AN90" s="292"/>
      <c r="AO90" s="292"/>
      <c r="AP90" s="292"/>
      <c r="AQ90" s="292"/>
      <c r="AR90" s="292"/>
      <c r="AS90" s="292"/>
      <c r="AT90" s="292"/>
      <c r="AU90" s="292"/>
      <c r="AV90" s="292"/>
      <c r="AW90" s="292"/>
      <c r="AX90" s="292"/>
      <c r="AY90" s="292"/>
      <c r="AZ90" s="292"/>
      <c r="BA90" s="292"/>
      <c r="BB90" s="292"/>
      <c r="BC90" s="292"/>
      <c r="BD90" s="292"/>
      <c r="BE90" s="292"/>
      <c r="BF90" s="292"/>
      <c r="BG90" s="292"/>
      <c r="BH90" s="292"/>
      <c r="BI90" s="292"/>
      <c r="BJ90" s="292"/>
      <c r="BK90" s="292"/>
      <c r="BL90" s="292"/>
      <c r="BM90" s="292"/>
      <c r="BN90" s="292"/>
      <c r="BO90" s="292"/>
      <c r="BP90" s="292"/>
      <c r="BQ90" s="292"/>
      <c r="BR90" s="292"/>
      <c r="BS90" s="292"/>
      <c r="BT90" s="292"/>
      <c r="BU90" s="292"/>
      <c r="BV90" s="292"/>
      <c r="BW90" s="292"/>
      <c r="BX90" s="292"/>
      <c r="BY90" s="292"/>
      <c r="BZ90" s="292"/>
      <c r="CA90" s="292"/>
      <c r="CB90" s="292"/>
      <c r="CC90" s="292"/>
      <c r="CD90" s="292"/>
      <c r="CE90" s="292"/>
      <c r="CF90" s="292"/>
      <c r="CG90" s="292"/>
      <c r="CH90" s="292"/>
    </row>
    <row r="91" spans="1:86" x14ac:dyDescent="0.2">
      <c r="R91" s="407"/>
      <c r="S91" s="294"/>
    </row>
    <row r="92" spans="1:86" x14ac:dyDescent="0.2">
      <c r="R92" s="408"/>
      <c r="S92" s="294"/>
      <c r="Y92" s="448"/>
    </row>
    <row r="93" spans="1:86" x14ac:dyDescent="0.2">
      <c r="R93" s="408"/>
      <c r="S93" s="294"/>
      <c r="Y93" s="448"/>
    </row>
  </sheetData>
  <customSheetViews>
    <customSheetView guid="{782F5CFE-DE26-4D5A-B82E-30A424B0A39B}" scale="70" fitToPage="1">
      <pane xSplit="5" ySplit="5" topLeftCell="F63" activePane="bottomRight" state="frozen"/>
      <selection pane="bottomRight" activeCell="F84" sqref="F84"/>
      <pageMargins left="0.25" right="0.25" top="0.75" bottom="0.75" header="0.3" footer="0.3"/>
      <printOptions headings="1"/>
      <pageSetup fitToHeight="0" orientation="portrait" r:id="rId1"/>
    </customSheetView>
    <customSheetView guid="{88B031DE-0423-45A5-B384-E560A52FDD07}" scale="70" fitToPage="1">
      <pane xSplit="5" ySplit="5" topLeftCell="F63" activePane="bottomRight" state="frozen"/>
      <selection pane="bottomRight" activeCell="F84" sqref="F84"/>
      <pageMargins left="0.25" right="0.25" top="0.75" bottom="0.75" header="0.3" footer="0.3"/>
      <printOptions headings="1"/>
      <pageSetup fitToHeight="0" orientation="portrait" r:id="rId2"/>
    </customSheetView>
    <customSheetView guid="{D5524E47-947F-4D9F-AE8B-3F0380261994}" scale="70" fitToPage="1">
      <pane xSplit="5" ySplit="6.0277777777777777" topLeftCell="F63" activePane="bottomRight" state="frozen"/>
      <selection pane="bottomRight" activeCell="F84" sqref="F84"/>
      <pageMargins left="0.25" right="0.25" top="0.75" bottom="0.75" header="0.3" footer="0.3"/>
      <printOptions headings="1"/>
      <pageSetup fitToHeight="0" orientation="portrait" r:id="rId3"/>
    </customSheetView>
    <customSheetView guid="{9BF7FAF1-D686-4A6B-A2BE-0DAD43841920}" scale="70" fitToPage="1">
      <pane xSplit="5" ySplit="5" topLeftCell="F63" activePane="bottomRight" state="frozen"/>
      <selection pane="bottomRight" activeCell="F84" sqref="F84"/>
      <pageMargins left="0.25" right="0.25" top="0.75" bottom="0.75" header="0.3" footer="0.3"/>
      <printOptions headings="1"/>
      <pageSetup fitToHeight="0" orientation="portrait" r:id="rId4"/>
    </customSheetView>
  </customSheetViews>
  <printOptions headings="1"/>
  <pageMargins left="0.25" right="0.25" top="0.75" bottom="0.75" header="0.3" footer="0.3"/>
  <pageSetup fitToHeight="0"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9"/>
  <dimension ref="A1"/>
  <sheetViews>
    <sheetView workbookViewId="0"/>
  </sheetViews>
  <sheetFormatPr defaultRowHeight="12.75" x14ac:dyDescent="0.2"/>
  <sheetData/>
  <customSheetViews>
    <customSheetView guid="{782F5CFE-DE26-4D5A-B82E-30A424B0A39B}" state="hidden">
      <pageMargins left="0.7" right="0.7" top="0.75" bottom="0.75" header="0.3" footer="0.3"/>
    </customSheetView>
    <customSheetView guid="{88B031DE-0423-45A5-B384-E560A52FDD07}" state="hidden">
      <pageMargins left="0.7" right="0.7" top="0.75" bottom="0.75" header="0.3" footer="0.3"/>
    </customSheetView>
    <customSheetView guid="{D5524E47-947F-4D9F-AE8B-3F0380261994}" state="hidden">
      <pageMargins left="0.7" right="0.7" top="0.75" bottom="0.75" header="0.3" footer="0.3"/>
    </customSheetView>
    <customSheetView guid="{9BF7FAF1-D686-4A6B-A2BE-0DAD43841920}"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Bridge for 0301 NITS Changes</vt:lpstr>
      <vt:lpstr>Summary w Bridge to 0301</vt:lpstr>
      <vt:lpstr>Summary</vt:lpstr>
      <vt:lpstr>Updates to Spreadsheet</vt:lpstr>
      <vt:lpstr>Input</vt:lpstr>
      <vt:lpstr>bid_factors</vt:lpstr>
      <vt:lpstr>auction_results_and_rates</vt:lpstr>
      <vt:lpstr>Full Step Overview </vt:lpstr>
      <vt:lpstr>Sheet1</vt:lpstr>
      <vt:lpstr>Summary of CP Changes</vt:lpstr>
      <vt:lpstr>NITS DIFFJan-Dec17</vt:lpstr>
      <vt:lpstr>RNDM</vt:lpstr>
      <vt:lpstr>auction_results_and_rates!Print_Area</vt:lpstr>
      <vt:lpstr>bid_factors!Print_Area</vt:lpstr>
      <vt:lpstr>Input!Print_Area</vt:lpstr>
      <vt:lpstr>'NITS DIFFJan-Dec17'!Print_Area</vt:lpstr>
      <vt:lpstr>auction_results_and_rates!Print_Titles</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PSE&amp;G BGS-FP Bid Factors for 2009-10</dc:title>
  <dc:subject>BGS Worksheet</dc:subject>
  <dc:creator>Bob Taylor/Myron Filewicz</dc:creator>
  <dc:description>Worksheet incorporating NERA input, primarily Energy Forward Prices, Capacity Prices, Congestion Factors, and Ancillary Costs and Summer Winter factors.  The calculations in this model are identical to last years, although the Marginal Losses have been updated.</dc:description>
  <cp:lastModifiedBy>Author</cp:lastModifiedBy>
  <cp:lastPrinted>2019-02-21T18:03:30Z</cp:lastPrinted>
  <dcterms:created xsi:type="dcterms:W3CDTF">2002-02-27T17:48:59Z</dcterms:created>
  <dcterms:modified xsi:type="dcterms:W3CDTF">2019-06-28T12:09:34Z</dcterms:modified>
</cp:coreProperties>
</file>