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nera-nycfs\Work\Projects\Energy\20-21 BGS (114324)\2020 Auction\3 RSCP Rates\1 July Filing\1 Rcvd frm EDCs\0 to post\"/>
    </mc:Choice>
  </mc:AlternateContent>
  <xr:revisionPtr revIDLastSave="0" documentId="13_ncr:1_{39AFBEC2-D016-47E4-90CB-1316F0279C64}" xr6:coauthVersionLast="36" xr6:coauthVersionMax="36" xr10:uidLastSave="{00000000-0000-0000-0000-000000000000}"/>
  <bookViews>
    <workbookView xWindow="1080" yWindow="510" windowWidth="17280" windowHeight="9570" activeTab="3" xr2:uid="{005EE60C-7EF3-4263-82AC-389E3981228E}"/>
  </bookViews>
  <sheets>
    <sheet name="BGS PTY16 Cost Alloc" sheetId="13" r:id="rId1"/>
    <sheet name="BGS PTY17 Cost Alloc" sheetId="11" r:id="rId2"/>
    <sheet name="BGS PTY18 Cost Alloc" sheetId="10" r:id="rId3"/>
    <sheet name="Composite Cost Allocation" sheetId="14" r:id="rId4"/>
  </sheets>
  <definedNames>
    <definedName name="_xlnm.Print_Area" localSheetId="0">'BGS PTY16 Cost Alloc'!$A$1:$L$330</definedName>
    <definedName name="_xlnm.Print_Area" localSheetId="1">'BGS PTY17 Cost Alloc'!$A$1:$J$330</definedName>
    <definedName name="_xlnm.Print_Area" localSheetId="2">'BGS PTY18 Cost Alloc'!$A$1:$J$327</definedName>
    <definedName name="_xlnm.Print_Area" localSheetId="3">'Composite Cost Allocation'!$A$1:$N$182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1" i="10" l="1"/>
  <c r="G201" i="10"/>
  <c r="F201" i="10"/>
  <c r="D194" i="13" l="1"/>
  <c r="E194" i="13" s="1"/>
  <c r="D180" i="13"/>
  <c r="D193" i="11" l="1"/>
  <c r="Q15" i="10" l="1"/>
  <c r="B330" i="11" l="1"/>
  <c r="B330" i="13"/>
  <c r="F194" i="10" l="1"/>
  <c r="X95" i="10" l="1"/>
  <c r="U184" i="10" l="1"/>
  <c r="U191" i="10" l="1"/>
  <c r="U183" i="10"/>
  <c r="D180" i="10" l="1"/>
  <c r="E174" i="10"/>
  <c r="X87" i="10" l="1"/>
  <c r="E95" i="10"/>
  <c r="R15" i="10"/>
  <c r="Q16" i="10"/>
  <c r="R16" i="10"/>
  <c r="Q17" i="10"/>
  <c r="R17" i="10"/>
  <c r="I60" i="10"/>
  <c r="I60" i="11" s="1"/>
  <c r="I61" i="10"/>
  <c r="I61" i="13" s="1"/>
  <c r="I62" i="10"/>
  <c r="I62" i="13" s="1"/>
  <c r="I63" i="10"/>
  <c r="I63" i="13" s="1"/>
  <c r="I64" i="10"/>
  <c r="I64" i="11" s="1"/>
  <c r="I65" i="10"/>
  <c r="I66" i="10"/>
  <c r="I67" i="10"/>
  <c r="I67" i="13" s="1"/>
  <c r="I68" i="10"/>
  <c r="I68" i="11" s="1"/>
  <c r="I69" i="10"/>
  <c r="I69" i="13" s="1"/>
  <c r="I70" i="10"/>
  <c r="I70" i="13" s="1"/>
  <c r="I71" i="10"/>
  <c r="I71" i="11" s="1"/>
  <c r="W72" i="10"/>
  <c r="E107" i="14"/>
  <c r="R95" i="10"/>
  <c r="F65" i="10"/>
  <c r="F65" i="11" s="1"/>
  <c r="F66" i="10"/>
  <c r="F66" i="11" s="1"/>
  <c r="F67" i="10"/>
  <c r="F67" i="13" s="1"/>
  <c r="F68" i="10"/>
  <c r="F68" i="11" s="1"/>
  <c r="S93" i="10"/>
  <c r="S94" i="10"/>
  <c r="Q95" i="10"/>
  <c r="F60" i="10"/>
  <c r="F60" i="13" s="1"/>
  <c r="F61" i="10"/>
  <c r="F61" i="11" s="1"/>
  <c r="F62" i="10"/>
  <c r="F62" i="11" s="1"/>
  <c r="F63" i="10"/>
  <c r="F63" i="11" s="1"/>
  <c r="F64" i="10"/>
  <c r="F64" i="11" s="1"/>
  <c r="F69" i="10"/>
  <c r="F69" i="11" s="1"/>
  <c r="F70" i="10"/>
  <c r="F70" i="11" s="1"/>
  <c r="F71" i="10"/>
  <c r="F71" i="11" s="1"/>
  <c r="E94" i="11"/>
  <c r="E95" i="11" s="1"/>
  <c r="E97" i="11" s="1"/>
  <c r="E94" i="13"/>
  <c r="E95" i="13" s="1"/>
  <c r="F87" i="13"/>
  <c r="D87" i="13"/>
  <c r="F87" i="11"/>
  <c r="D87" i="11"/>
  <c r="E180" i="11"/>
  <c r="C313" i="11" s="1"/>
  <c r="AD72" i="10"/>
  <c r="E179" i="11"/>
  <c r="C312" i="11" s="1"/>
  <c r="T30" i="10"/>
  <c r="T30" i="11" s="1"/>
  <c r="Q30" i="10"/>
  <c r="Q30" i="13" s="1"/>
  <c r="X72" i="10"/>
  <c r="E179" i="13"/>
  <c r="C312" i="13" s="1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I90" i="11"/>
  <c r="I89" i="11"/>
  <c r="I88" i="11"/>
  <c r="H90" i="11"/>
  <c r="H89" i="11"/>
  <c r="H88" i="11"/>
  <c r="I87" i="11"/>
  <c r="H87" i="11"/>
  <c r="I86" i="11"/>
  <c r="I85" i="11"/>
  <c r="H86" i="11"/>
  <c r="H85" i="11"/>
  <c r="I83" i="11"/>
  <c r="I82" i="11"/>
  <c r="I81" i="11"/>
  <c r="I80" i="11"/>
  <c r="H83" i="11"/>
  <c r="H82" i="11"/>
  <c r="H81" i="11"/>
  <c r="H80" i="11"/>
  <c r="Y65" i="10"/>
  <c r="Y66" i="10"/>
  <c r="Y67" i="10"/>
  <c r="Y68" i="10"/>
  <c r="Y60" i="10"/>
  <c r="Y61" i="10"/>
  <c r="Y62" i="10"/>
  <c r="Y63" i="10"/>
  <c r="Y64" i="10"/>
  <c r="Y69" i="10"/>
  <c r="Y70" i="10"/>
  <c r="Y71" i="10"/>
  <c r="H85" i="10"/>
  <c r="H86" i="10" s="1"/>
  <c r="H87" i="10" s="1"/>
  <c r="H80" i="10"/>
  <c r="H81" i="10"/>
  <c r="H82" i="10"/>
  <c r="H83" i="10"/>
  <c r="G95" i="10"/>
  <c r="H88" i="10"/>
  <c r="H89" i="10"/>
  <c r="H90" i="10"/>
  <c r="F95" i="10"/>
  <c r="H95" i="10"/>
  <c r="I95" i="10"/>
  <c r="I161" i="14"/>
  <c r="H161" i="14"/>
  <c r="G161" i="14"/>
  <c r="F161" i="14"/>
  <c r="E161" i="14"/>
  <c r="AF72" i="10"/>
  <c r="W55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C322" i="11"/>
  <c r="C321" i="11"/>
  <c r="C320" i="11"/>
  <c r="B102" i="11"/>
  <c r="B165" i="11"/>
  <c r="B57" i="11"/>
  <c r="H30" i="11"/>
  <c r="E30" i="11"/>
  <c r="E10" i="11"/>
  <c r="B3" i="11"/>
  <c r="E193" i="11"/>
  <c r="C317" i="11" s="1"/>
  <c r="C316" i="11"/>
  <c r="C315" i="11"/>
  <c r="E300" i="11"/>
  <c r="F308" i="11" s="1"/>
  <c r="E19" i="11"/>
  <c r="Q19" i="11" s="1"/>
  <c r="D83" i="11"/>
  <c r="E15" i="11"/>
  <c r="Q15" i="11" s="1"/>
  <c r="E16" i="11"/>
  <c r="Q16" i="11" s="1"/>
  <c r="E17" i="11"/>
  <c r="Q17" i="11" s="1"/>
  <c r="E18" i="11"/>
  <c r="Q18" i="11" s="1"/>
  <c r="D79" i="11"/>
  <c r="D80" i="11"/>
  <c r="D81" i="11"/>
  <c r="D82" i="11"/>
  <c r="F83" i="11"/>
  <c r="F79" i="11"/>
  <c r="F80" i="11"/>
  <c r="F81" i="11"/>
  <c r="F82" i="11"/>
  <c r="E26" i="11"/>
  <c r="Q26" i="11" s="1"/>
  <c r="D90" i="11"/>
  <c r="E24" i="11"/>
  <c r="Q24" i="11" s="1"/>
  <c r="E25" i="11"/>
  <c r="Q25" i="11" s="1"/>
  <c r="D88" i="11"/>
  <c r="D89" i="11"/>
  <c r="F90" i="11"/>
  <c r="F88" i="11"/>
  <c r="F89" i="11"/>
  <c r="W64" i="11"/>
  <c r="W60" i="11"/>
  <c r="W61" i="11"/>
  <c r="W62" i="11"/>
  <c r="X62" i="11"/>
  <c r="W63" i="11"/>
  <c r="W69" i="11"/>
  <c r="W70" i="11"/>
  <c r="W71" i="11"/>
  <c r="E23" i="11"/>
  <c r="Q23" i="11" s="1"/>
  <c r="E20" i="11"/>
  <c r="Q20" i="11" s="1"/>
  <c r="E21" i="11"/>
  <c r="Q21" i="11" s="1"/>
  <c r="E22" i="11"/>
  <c r="Q22" i="11" s="1"/>
  <c r="D84" i="11"/>
  <c r="D85" i="11"/>
  <c r="D86" i="11"/>
  <c r="F84" i="11"/>
  <c r="F85" i="11"/>
  <c r="F86" i="11"/>
  <c r="F19" i="11"/>
  <c r="R19" i="11" s="1"/>
  <c r="F15" i="11"/>
  <c r="R15" i="11" s="1"/>
  <c r="F16" i="11"/>
  <c r="R16" i="11" s="1"/>
  <c r="F17" i="11"/>
  <c r="R17" i="11" s="1"/>
  <c r="F18" i="11"/>
  <c r="R18" i="11" s="1"/>
  <c r="F94" i="11"/>
  <c r="F95" i="11" s="1"/>
  <c r="F26" i="11"/>
  <c r="R26" i="11" s="1"/>
  <c r="F24" i="11"/>
  <c r="R24" i="11" s="1"/>
  <c r="F25" i="11"/>
  <c r="R25" i="11" s="1"/>
  <c r="G19" i="11"/>
  <c r="S19" i="11" s="1"/>
  <c r="G15" i="11"/>
  <c r="S15" i="11" s="1"/>
  <c r="G16" i="11"/>
  <c r="S16" i="11" s="1"/>
  <c r="G17" i="11"/>
  <c r="S17" i="11" s="1"/>
  <c r="G18" i="11"/>
  <c r="S18" i="11" s="1"/>
  <c r="G94" i="11"/>
  <c r="G95" i="11" s="1"/>
  <c r="G26" i="11"/>
  <c r="S26" i="11" s="1"/>
  <c r="G24" i="11"/>
  <c r="S24" i="11" s="1"/>
  <c r="G25" i="11"/>
  <c r="S25" i="11" s="1"/>
  <c r="H19" i="11"/>
  <c r="T19" i="11" s="1"/>
  <c r="H15" i="11"/>
  <c r="T15" i="11" s="1"/>
  <c r="H16" i="11"/>
  <c r="T16" i="11" s="1"/>
  <c r="H17" i="11"/>
  <c r="T17" i="11" s="1"/>
  <c r="H18" i="11"/>
  <c r="T18" i="11" s="1"/>
  <c r="H26" i="11"/>
  <c r="T26" i="11" s="1"/>
  <c r="H24" i="11"/>
  <c r="T24" i="11" s="1"/>
  <c r="H25" i="11"/>
  <c r="T25" i="11" s="1"/>
  <c r="H94" i="11"/>
  <c r="H95" i="11" s="1"/>
  <c r="I19" i="11"/>
  <c r="U19" i="11" s="1"/>
  <c r="I15" i="11"/>
  <c r="U15" i="11" s="1"/>
  <c r="I16" i="11"/>
  <c r="U16" i="11" s="1"/>
  <c r="I17" i="11"/>
  <c r="U17" i="11" s="1"/>
  <c r="I18" i="11"/>
  <c r="U18" i="11" s="1"/>
  <c r="I94" i="11"/>
  <c r="I95" i="11" s="1"/>
  <c r="I26" i="11"/>
  <c r="U26" i="11" s="1"/>
  <c r="I24" i="11"/>
  <c r="U24" i="11" s="1"/>
  <c r="I25" i="11"/>
  <c r="U25" i="11" s="1"/>
  <c r="E299" i="11"/>
  <c r="F307" i="11" s="1"/>
  <c r="W68" i="11"/>
  <c r="W65" i="11"/>
  <c r="W66" i="11"/>
  <c r="W67" i="11"/>
  <c r="F23" i="11"/>
  <c r="R23" i="11" s="1"/>
  <c r="F20" i="11"/>
  <c r="R20" i="11" s="1"/>
  <c r="F21" i="11"/>
  <c r="R21" i="11" s="1"/>
  <c r="F22" i="11"/>
  <c r="R22" i="11" s="1"/>
  <c r="G23" i="11"/>
  <c r="S23" i="11" s="1"/>
  <c r="G20" i="11"/>
  <c r="S20" i="11" s="1"/>
  <c r="G21" i="11"/>
  <c r="S21" i="11" s="1"/>
  <c r="G22" i="11"/>
  <c r="S22" i="11" s="1"/>
  <c r="H23" i="11"/>
  <c r="H20" i="11"/>
  <c r="T20" i="11" s="1"/>
  <c r="H21" i="11"/>
  <c r="T21" i="11" s="1"/>
  <c r="H22" i="11"/>
  <c r="T22" i="11" s="1"/>
  <c r="T23" i="11"/>
  <c r="I23" i="11"/>
  <c r="I20" i="11"/>
  <c r="U20" i="11" s="1"/>
  <c r="I21" i="11"/>
  <c r="U21" i="11" s="1"/>
  <c r="I22" i="11"/>
  <c r="U22" i="11" s="1"/>
  <c r="U23" i="11"/>
  <c r="I293" i="11"/>
  <c r="H293" i="11"/>
  <c r="G293" i="11"/>
  <c r="F293" i="11"/>
  <c r="E293" i="11"/>
  <c r="B286" i="11"/>
  <c r="B285" i="11"/>
  <c r="I263" i="11"/>
  <c r="H263" i="11"/>
  <c r="G263" i="11"/>
  <c r="F263" i="11"/>
  <c r="E263" i="11"/>
  <c r="B239" i="11"/>
  <c r="B238" i="11"/>
  <c r="I217" i="11"/>
  <c r="H217" i="11"/>
  <c r="G217" i="11"/>
  <c r="F217" i="11"/>
  <c r="E217" i="11"/>
  <c r="B209" i="11"/>
  <c r="B208" i="11"/>
  <c r="I198" i="11"/>
  <c r="H198" i="11"/>
  <c r="G198" i="11"/>
  <c r="F198" i="11"/>
  <c r="E198" i="11"/>
  <c r="C184" i="11"/>
  <c r="H175" i="11"/>
  <c r="I166" i="11"/>
  <c r="H166" i="11"/>
  <c r="G166" i="11"/>
  <c r="F166" i="11"/>
  <c r="E166" i="11"/>
  <c r="E150" i="11"/>
  <c r="W162" i="11" s="1"/>
  <c r="H150" i="11"/>
  <c r="Z150" i="11" s="1"/>
  <c r="I150" i="11"/>
  <c r="G150" i="11"/>
  <c r="F150" i="11"/>
  <c r="B144" i="11"/>
  <c r="B143" i="11"/>
  <c r="I128" i="11"/>
  <c r="H128" i="11"/>
  <c r="G128" i="11"/>
  <c r="F128" i="11"/>
  <c r="E128" i="11"/>
  <c r="I110" i="11"/>
  <c r="H110" i="11"/>
  <c r="G110" i="11"/>
  <c r="F110" i="11"/>
  <c r="E110" i="11"/>
  <c r="B104" i="11"/>
  <c r="B103" i="11"/>
  <c r="X95" i="11"/>
  <c r="Y95" i="11" s="1"/>
  <c r="Z95" i="11"/>
  <c r="Y94" i="11"/>
  <c r="Z94" i="11"/>
  <c r="I92" i="11"/>
  <c r="H92" i="11"/>
  <c r="G92" i="11"/>
  <c r="F92" i="11"/>
  <c r="E92" i="11"/>
  <c r="X86" i="11"/>
  <c r="Y86" i="11"/>
  <c r="Z86" i="11"/>
  <c r="X85" i="11"/>
  <c r="Y85" i="11"/>
  <c r="Z85" i="11"/>
  <c r="X84" i="11"/>
  <c r="Y84" i="11"/>
  <c r="Z84" i="11"/>
  <c r="X83" i="11"/>
  <c r="Y83" i="11"/>
  <c r="Z83" i="11"/>
  <c r="X82" i="11"/>
  <c r="Y82" i="11"/>
  <c r="Z82" i="11"/>
  <c r="X81" i="11"/>
  <c r="Y81" i="11"/>
  <c r="Z81" i="11"/>
  <c r="X80" i="11"/>
  <c r="Y80" i="11"/>
  <c r="Z80" i="11"/>
  <c r="X79" i="11"/>
  <c r="Y79" i="11"/>
  <c r="Z79" i="11"/>
  <c r="T13" i="11"/>
  <c r="T31" i="11" s="1"/>
  <c r="Q13" i="11"/>
  <c r="Q79" i="11" s="1"/>
  <c r="X78" i="11"/>
  <c r="Y78" i="11"/>
  <c r="Z78" i="11"/>
  <c r="AB65" i="11"/>
  <c r="AB66" i="11"/>
  <c r="AB67" i="11"/>
  <c r="AB68" i="11"/>
  <c r="X77" i="11"/>
  <c r="Y77" i="11"/>
  <c r="Z77" i="11"/>
  <c r="X76" i="11"/>
  <c r="Y76" i="11"/>
  <c r="Z76" i="11"/>
  <c r="X75" i="11"/>
  <c r="Y75" i="11"/>
  <c r="Z75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B60" i="11"/>
  <c r="AB61" i="11"/>
  <c r="AB62" i="11"/>
  <c r="AB63" i="11"/>
  <c r="AB64" i="11"/>
  <c r="AB69" i="11"/>
  <c r="AB70" i="11"/>
  <c r="AB71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X60" i="11"/>
  <c r="X61" i="11"/>
  <c r="X63" i="11"/>
  <c r="X64" i="11"/>
  <c r="X65" i="11"/>
  <c r="X66" i="11"/>
  <c r="X67" i="11"/>
  <c r="X68" i="11"/>
  <c r="X69" i="11"/>
  <c r="X70" i="11"/>
  <c r="X71" i="11"/>
  <c r="Q69" i="11"/>
  <c r="U13" i="11"/>
  <c r="U58" i="11" s="1"/>
  <c r="S13" i="11"/>
  <c r="R13" i="11"/>
  <c r="R31" i="11" s="1"/>
  <c r="Q58" i="11"/>
  <c r="I58" i="11"/>
  <c r="G58" i="11"/>
  <c r="F58" i="11"/>
  <c r="E58" i="11"/>
  <c r="B53" i="11"/>
  <c r="B52" i="11"/>
  <c r="Q31" i="11"/>
  <c r="I31" i="11"/>
  <c r="H31" i="11"/>
  <c r="G31" i="11"/>
  <c r="F31" i="11"/>
  <c r="E31" i="11"/>
  <c r="W55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C322" i="13"/>
  <c r="C321" i="13"/>
  <c r="C320" i="13"/>
  <c r="D84" i="13"/>
  <c r="D85" i="13"/>
  <c r="D86" i="13"/>
  <c r="F84" i="13"/>
  <c r="F85" i="13"/>
  <c r="F86" i="13"/>
  <c r="E23" i="13"/>
  <c r="Q23" i="13" s="1"/>
  <c r="E20" i="13"/>
  <c r="Q20" i="13" s="1"/>
  <c r="E21" i="13"/>
  <c r="Q21" i="13" s="1"/>
  <c r="E22" i="13"/>
  <c r="Q22" i="13" s="1"/>
  <c r="C317" i="13"/>
  <c r="F23" i="13"/>
  <c r="R23" i="13" s="1"/>
  <c r="F20" i="13"/>
  <c r="R20" i="13" s="1"/>
  <c r="F21" i="13"/>
  <c r="R21" i="13" s="1"/>
  <c r="F22" i="13"/>
  <c r="R22" i="13" s="1"/>
  <c r="F94" i="13"/>
  <c r="F95" i="13" s="1"/>
  <c r="G23" i="13"/>
  <c r="S23" i="13" s="1"/>
  <c r="H23" i="13"/>
  <c r="T23" i="13" s="1"/>
  <c r="H20" i="13"/>
  <c r="T20" i="13" s="1"/>
  <c r="H21" i="13"/>
  <c r="T21" i="13" s="1"/>
  <c r="H22" i="13"/>
  <c r="T22" i="13" s="1"/>
  <c r="H94" i="13"/>
  <c r="H95" i="13" s="1"/>
  <c r="I23" i="13"/>
  <c r="U23" i="13" s="1"/>
  <c r="I20" i="13"/>
  <c r="U20" i="13" s="1"/>
  <c r="I21" i="13"/>
  <c r="U21" i="13" s="1"/>
  <c r="I22" i="13"/>
  <c r="U22" i="13" s="1"/>
  <c r="I94" i="13"/>
  <c r="I95" i="13" s="1"/>
  <c r="H85" i="13"/>
  <c r="H86" i="13" s="1"/>
  <c r="H87" i="13" s="1"/>
  <c r="I85" i="13"/>
  <c r="I86" i="13" s="1"/>
  <c r="I87" i="13" s="1"/>
  <c r="D83" i="13"/>
  <c r="D79" i="13"/>
  <c r="D80" i="13"/>
  <c r="D81" i="13"/>
  <c r="D82" i="13"/>
  <c r="F83" i="13"/>
  <c r="F79" i="13"/>
  <c r="F80" i="13"/>
  <c r="F81" i="13"/>
  <c r="F82" i="13"/>
  <c r="D90" i="13"/>
  <c r="D88" i="13"/>
  <c r="D89" i="13"/>
  <c r="F90" i="13"/>
  <c r="F88" i="13"/>
  <c r="F89" i="13"/>
  <c r="E19" i="13"/>
  <c r="Q19" i="13" s="1"/>
  <c r="E15" i="13"/>
  <c r="Q15" i="13" s="1"/>
  <c r="E16" i="13"/>
  <c r="Q16" i="13" s="1"/>
  <c r="E17" i="13"/>
  <c r="Q17" i="13" s="1"/>
  <c r="E18" i="13"/>
  <c r="Q18" i="13" s="1"/>
  <c r="E26" i="13"/>
  <c r="Q26" i="13" s="1"/>
  <c r="E24" i="13"/>
  <c r="Q24" i="13" s="1"/>
  <c r="E25" i="13"/>
  <c r="Q25" i="13" s="1"/>
  <c r="E180" i="13"/>
  <c r="C313" i="13" s="1"/>
  <c r="F19" i="13"/>
  <c r="R19" i="13" s="1"/>
  <c r="F15" i="13"/>
  <c r="R15" i="13" s="1"/>
  <c r="F16" i="13"/>
  <c r="R16" i="13" s="1"/>
  <c r="F17" i="13"/>
  <c r="R17" i="13" s="1"/>
  <c r="F18" i="13"/>
  <c r="R18" i="13" s="1"/>
  <c r="F26" i="13"/>
  <c r="R26" i="13" s="1"/>
  <c r="F24" i="13"/>
  <c r="R24" i="13" s="1"/>
  <c r="F25" i="13"/>
  <c r="R25" i="13" s="1"/>
  <c r="G19" i="13"/>
  <c r="S19" i="13" s="1"/>
  <c r="H19" i="13"/>
  <c r="H15" i="13"/>
  <c r="H16" i="13"/>
  <c r="H17" i="13"/>
  <c r="H18" i="13"/>
  <c r="H26" i="13"/>
  <c r="T26" i="13" s="1"/>
  <c r="H24" i="13"/>
  <c r="T24" i="13" s="1"/>
  <c r="H25" i="13"/>
  <c r="T25" i="13" s="1"/>
  <c r="T19" i="13"/>
  <c r="T15" i="13"/>
  <c r="T16" i="13"/>
  <c r="T17" i="13"/>
  <c r="T18" i="13"/>
  <c r="I19" i="13"/>
  <c r="U19" i="13" s="1"/>
  <c r="I15" i="13"/>
  <c r="U15" i="13" s="1"/>
  <c r="I16" i="13"/>
  <c r="U16" i="13" s="1"/>
  <c r="I17" i="13"/>
  <c r="U17" i="13" s="1"/>
  <c r="I18" i="13"/>
  <c r="U18" i="13" s="1"/>
  <c r="I26" i="13"/>
  <c r="U26" i="13" s="1"/>
  <c r="I24" i="13"/>
  <c r="U24" i="13" s="1"/>
  <c r="I25" i="13"/>
  <c r="U25" i="13" s="1"/>
  <c r="H80" i="13"/>
  <c r="H81" i="13"/>
  <c r="H82" i="13"/>
  <c r="H83" i="13"/>
  <c r="I80" i="13"/>
  <c r="I81" i="13"/>
  <c r="I82" i="13"/>
  <c r="I83" i="13"/>
  <c r="B102" i="13"/>
  <c r="B165" i="13"/>
  <c r="B57" i="13"/>
  <c r="H30" i="13"/>
  <c r="E30" i="13"/>
  <c r="E10" i="13"/>
  <c r="I90" i="13"/>
  <c r="H90" i="13"/>
  <c r="I89" i="13"/>
  <c r="H89" i="13"/>
  <c r="I88" i="13"/>
  <c r="H88" i="13"/>
  <c r="B3" i="13"/>
  <c r="H92" i="13"/>
  <c r="W68" i="13"/>
  <c r="W65" i="13"/>
  <c r="W66" i="13"/>
  <c r="W67" i="13"/>
  <c r="W64" i="13"/>
  <c r="W60" i="13"/>
  <c r="W61" i="13"/>
  <c r="W62" i="13"/>
  <c r="W63" i="13"/>
  <c r="W71" i="13"/>
  <c r="W69" i="13"/>
  <c r="X84" i="13"/>
  <c r="Y84" i="13"/>
  <c r="Z84" i="13"/>
  <c r="W70" i="13"/>
  <c r="E300" i="13"/>
  <c r="F308" i="13" s="1"/>
  <c r="E299" i="13"/>
  <c r="F307" i="13" s="1"/>
  <c r="B286" i="13"/>
  <c r="B285" i="13"/>
  <c r="G15" i="13"/>
  <c r="S15" i="13" s="1"/>
  <c r="G16" i="13"/>
  <c r="S16" i="13" s="1"/>
  <c r="G17" i="13"/>
  <c r="S17" i="13" s="1"/>
  <c r="G18" i="13"/>
  <c r="S18" i="13" s="1"/>
  <c r="G94" i="13"/>
  <c r="G95" i="13" s="1"/>
  <c r="G26" i="13"/>
  <c r="S26" i="13" s="1"/>
  <c r="G24" i="13"/>
  <c r="S24" i="13" s="1"/>
  <c r="G25" i="13"/>
  <c r="S25" i="13" s="1"/>
  <c r="G20" i="13"/>
  <c r="S20" i="13" s="1"/>
  <c r="G21" i="13"/>
  <c r="S21" i="13" s="1"/>
  <c r="G22" i="13"/>
  <c r="S22" i="13" s="1"/>
  <c r="I293" i="13"/>
  <c r="H293" i="13"/>
  <c r="G293" i="13"/>
  <c r="F293" i="13"/>
  <c r="E293" i="13"/>
  <c r="Z86" i="13"/>
  <c r="Z85" i="13"/>
  <c r="Z83" i="13"/>
  <c r="Z82" i="13"/>
  <c r="Z81" i="13"/>
  <c r="Z80" i="13"/>
  <c r="Z79" i="13"/>
  <c r="Z78" i="13"/>
  <c r="Z77" i="13"/>
  <c r="Z76" i="13"/>
  <c r="Z75" i="13"/>
  <c r="Y86" i="13"/>
  <c r="Y85" i="13"/>
  <c r="Y83" i="13"/>
  <c r="Y82" i="13"/>
  <c r="Y81" i="13"/>
  <c r="Y80" i="13"/>
  <c r="Y79" i="13"/>
  <c r="Y78" i="13"/>
  <c r="Y77" i="13"/>
  <c r="Y76" i="13"/>
  <c r="Y75" i="13"/>
  <c r="X75" i="13"/>
  <c r="X86" i="13"/>
  <c r="X85" i="13"/>
  <c r="Y94" i="13"/>
  <c r="Z94" i="13"/>
  <c r="X95" i="13"/>
  <c r="Y95" i="13" s="1"/>
  <c r="Z95" i="13"/>
  <c r="X83" i="13"/>
  <c r="X82" i="13"/>
  <c r="X81" i="13"/>
  <c r="X80" i="13"/>
  <c r="X79" i="13"/>
  <c r="X78" i="13"/>
  <c r="X77" i="13"/>
  <c r="X76" i="13"/>
  <c r="AD71" i="13"/>
  <c r="AD70" i="13"/>
  <c r="AD69" i="13"/>
  <c r="AD68" i="13"/>
  <c r="AD67" i="13"/>
  <c r="AD66" i="13"/>
  <c r="AD65" i="13"/>
  <c r="AD64" i="13"/>
  <c r="AD63" i="13"/>
  <c r="AD62" i="13"/>
  <c r="AD61" i="13"/>
  <c r="AD60" i="13"/>
  <c r="AB71" i="13"/>
  <c r="AB70" i="13"/>
  <c r="AB69" i="13"/>
  <c r="AB68" i="13"/>
  <c r="AB67" i="13"/>
  <c r="AB66" i="13"/>
  <c r="AB65" i="13"/>
  <c r="AB64" i="13"/>
  <c r="AB63" i="13"/>
  <c r="AB62" i="13"/>
  <c r="AB61" i="13"/>
  <c r="AB60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I198" i="13"/>
  <c r="H198" i="13"/>
  <c r="G198" i="13"/>
  <c r="F198" i="13"/>
  <c r="E198" i="13"/>
  <c r="I263" i="13"/>
  <c r="H263" i="13"/>
  <c r="G263" i="13"/>
  <c r="F263" i="13"/>
  <c r="E263" i="13"/>
  <c r="H217" i="13"/>
  <c r="H128" i="13"/>
  <c r="H110" i="13"/>
  <c r="H150" i="13"/>
  <c r="Q150" i="13" s="1"/>
  <c r="H166" i="13"/>
  <c r="E150" i="13"/>
  <c r="Z162" i="13" s="1"/>
  <c r="Q13" i="13"/>
  <c r="Q79" i="13" s="1"/>
  <c r="C185" i="13"/>
  <c r="B239" i="13"/>
  <c r="B238" i="13"/>
  <c r="C316" i="13"/>
  <c r="C315" i="13"/>
  <c r="I217" i="13"/>
  <c r="G217" i="13"/>
  <c r="F217" i="13"/>
  <c r="E217" i="13"/>
  <c r="B209" i="13"/>
  <c r="B208" i="13"/>
  <c r="H175" i="13"/>
  <c r="I166" i="13"/>
  <c r="G166" i="13"/>
  <c r="F166" i="13"/>
  <c r="E166" i="13"/>
  <c r="I150" i="13"/>
  <c r="G150" i="13"/>
  <c r="F150" i="13"/>
  <c r="B144" i="13"/>
  <c r="B143" i="13"/>
  <c r="I128" i="13"/>
  <c r="G128" i="13"/>
  <c r="F128" i="13"/>
  <c r="E128" i="13"/>
  <c r="I110" i="13"/>
  <c r="G110" i="13"/>
  <c r="F110" i="13"/>
  <c r="E110" i="13"/>
  <c r="B104" i="13"/>
  <c r="B103" i="13"/>
  <c r="I92" i="13"/>
  <c r="G92" i="13"/>
  <c r="F92" i="13"/>
  <c r="E92" i="13"/>
  <c r="U13" i="13"/>
  <c r="U58" i="13" s="1"/>
  <c r="T13" i="13"/>
  <c r="T58" i="13" s="1"/>
  <c r="S13" i="13"/>
  <c r="S58" i="13" s="1"/>
  <c r="R13" i="13"/>
  <c r="R58" i="13" s="1"/>
  <c r="I58" i="13"/>
  <c r="G58" i="13"/>
  <c r="F58" i="13"/>
  <c r="E58" i="13"/>
  <c r="B53" i="13"/>
  <c r="B52" i="13"/>
  <c r="I31" i="13"/>
  <c r="H31" i="13"/>
  <c r="G31" i="13"/>
  <c r="F31" i="13"/>
  <c r="E31" i="13"/>
  <c r="Y94" i="10"/>
  <c r="Z94" i="10"/>
  <c r="W75" i="10"/>
  <c r="V75" i="10" s="1"/>
  <c r="W76" i="10"/>
  <c r="V76" i="10" s="1"/>
  <c r="W77" i="10"/>
  <c r="V77" i="10" s="1"/>
  <c r="W78" i="10"/>
  <c r="V78" i="10" s="1"/>
  <c r="W79" i="10"/>
  <c r="V79" i="10" s="1"/>
  <c r="W80" i="10"/>
  <c r="V80" i="10" s="1"/>
  <c r="W81" i="10"/>
  <c r="V81" i="10" s="1"/>
  <c r="W82" i="10"/>
  <c r="V82" i="10" s="1"/>
  <c r="W83" i="10"/>
  <c r="V83" i="10" s="1"/>
  <c r="W84" i="10"/>
  <c r="V84" i="10" s="1"/>
  <c r="W85" i="10"/>
  <c r="V85" i="10" s="1"/>
  <c r="W86" i="10"/>
  <c r="V86" i="10" s="1"/>
  <c r="Y95" i="10"/>
  <c r="Z95" i="10"/>
  <c r="Z87" i="10"/>
  <c r="Y87" i="10"/>
  <c r="H92" i="10"/>
  <c r="Q23" i="10"/>
  <c r="D87" i="10"/>
  <c r="E87" i="10" s="1"/>
  <c r="Q20" i="10"/>
  <c r="Q21" i="10"/>
  <c r="Q22" i="10"/>
  <c r="E84" i="10"/>
  <c r="D85" i="10"/>
  <c r="E85" i="10" s="1"/>
  <c r="D86" i="10"/>
  <c r="E86" i="10" s="1"/>
  <c r="I85" i="10"/>
  <c r="I86" i="10" s="1"/>
  <c r="I87" i="10" s="1"/>
  <c r="Q167" i="10"/>
  <c r="W167" i="10" s="1"/>
  <c r="Q19" i="10"/>
  <c r="D83" i="10"/>
  <c r="E83" i="10" s="1"/>
  <c r="Q18" i="10"/>
  <c r="E79" i="10"/>
  <c r="D80" i="10"/>
  <c r="E80" i="10" s="1"/>
  <c r="D81" i="10"/>
  <c r="E81" i="10" s="1"/>
  <c r="D82" i="10"/>
  <c r="E82" i="10" s="1"/>
  <c r="I80" i="10"/>
  <c r="I81" i="10"/>
  <c r="I82" i="10"/>
  <c r="I83" i="10"/>
  <c r="Q26" i="10"/>
  <c r="D90" i="10"/>
  <c r="E90" i="10" s="1"/>
  <c r="I90" i="10"/>
  <c r="Q24" i="10"/>
  <c r="Q25" i="10"/>
  <c r="D88" i="10"/>
  <c r="E88" i="10" s="1"/>
  <c r="D89" i="10"/>
  <c r="E89" i="10" s="1"/>
  <c r="I88" i="10"/>
  <c r="I89" i="10"/>
  <c r="Q172" i="10"/>
  <c r="W172" i="10" s="1"/>
  <c r="R23" i="10"/>
  <c r="R20" i="10"/>
  <c r="R21" i="10"/>
  <c r="R22" i="10"/>
  <c r="R19" i="10"/>
  <c r="R18" i="10"/>
  <c r="R26" i="10"/>
  <c r="R24" i="10"/>
  <c r="R25" i="10"/>
  <c r="S23" i="10"/>
  <c r="S20" i="10"/>
  <c r="S21" i="10"/>
  <c r="S22" i="10"/>
  <c r="S19" i="10"/>
  <c r="S15" i="10"/>
  <c r="S16" i="10"/>
  <c r="S17" i="10"/>
  <c r="S18" i="10"/>
  <c r="S26" i="10"/>
  <c r="S24" i="10"/>
  <c r="S25" i="10"/>
  <c r="T23" i="10"/>
  <c r="T20" i="10"/>
  <c r="T21" i="10"/>
  <c r="T22" i="10"/>
  <c r="T19" i="10"/>
  <c r="T15" i="10"/>
  <c r="T16" i="10"/>
  <c r="T17" i="10"/>
  <c r="T18" i="10"/>
  <c r="T26" i="10"/>
  <c r="T24" i="10"/>
  <c r="T25" i="10"/>
  <c r="U23" i="10"/>
  <c r="U20" i="10"/>
  <c r="U21" i="10"/>
  <c r="U22" i="10"/>
  <c r="U19" i="10"/>
  <c r="U15" i="10"/>
  <c r="U16" i="10"/>
  <c r="U17" i="10"/>
  <c r="U18" i="10"/>
  <c r="U26" i="10"/>
  <c r="U24" i="10"/>
  <c r="U25" i="10"/>
  <c r="B286" i="10"/>
  <c r="B285" i="10"/>
  <c r="I199" i="10"/>
  <c r="H199" i="10"/>
  <c r="G199" i="10"/>
  <c r="F199" i="10"/>
  <c r="E199" i="10"/>
  <c r="I264" i="10"/>
  <c r="H264" i="10"/>
  <c r="G264" i="10"/>
  <c r="F264" i="10"/>
  <c r="E264" i="10"/>
  <c r="H218" i="10"/>
  <c r="Q63" i="10"/>
  <c r="Q67" i="10"/>
  <c r="AD77" i="10"/>
  <c r="H128" i="10"/>
  <c r="H110" i="10"/>
  <c r="H150" i="10"/>
  <c r="AC150" i="10" s="1"/>
  <c r="H166" i="10"/>
  <c r="Z72" i="10"/>
  <c r="E150" i="10"/>
  <c r="Z162" i="10" s="1"/>
  <c r="Q13" i="10"/>
  <c r="Q79" i="10" s="1"/>
  <c r="C310" i="10"/>
  <c r="C185" i="10"/>
  <c r="B240" i="10"/>
  <c r="B239" i="10"/>
  <c r="C309" i="10"/>
  <c r="C314" i="10"/>
  <c r="C313" i="10"/>
  <c r="C312" i="10"/>
  <c r="I218" i="10"/>
  <c r="G218" i="10"/>
  <c r="F218" i="10"/>
  <c r="E218" i="10"/>
  <c r="B210" i="10"/>
  <c r="B209" i="10"/>
  <c r="H175" i="10"/>
  <c r="I166" i="10"/>
  <c r="G166" i="10"/>
  <c r="F166" i="10"/>
  <c r="E166" i="10"/>
  <c r="I150" i="10"/>
  <c r="G150" i="10"/>
  <c r="F150" i="10"/>
  <c r="B144" i="10"/>
  <c r="B143" i="10"/>
  <c r="I128" i="10"/>
  <c r="G128" i="10"/>
  <c r="F128" i="10"/>
  <c r="E128" i="10"/>
  <c r="I110" i="10"/>
  <c r="G110" i="10"/>
  <c r="F110" i="10"/>
  <c r="E110" i="10"/>
  <c r="B104" i="10"/>
  <c r="B103" i="10"/>
  <c r="I92" i="10"/>
  <c r="G92" i="10"/>
  <c r="F92" i="10"/>
  <c r="E92" i="10"/>
  <c r="U13" i="10"/>
  <c r="U58" i="10" s="1"/>
  <c r="T13" i="10"/>
  <c r="T79" i="10" s="1"/>
  <c r="S13" i="10"/>
  <c r="S31" i="10" s="1"/>
  <c r="R13" i="10"/>
  <c r="R58" i="10" s="1"/>
  <c r="AB72" i="10"/>
  <c r="I58" i="10"/>
  <c r="G58" i="10"/>
  <c r="F58" i="10"/>
  <c r="E58" i="10"/>
  <c r="B53" i="10"/>
  <c r="B52" i="10"/>
  <c r="I31" i="10"/>
  <c r="H31" i="10"/>
  <c r="G31" i="10"/>
  <c r="F31" i="10"/>
  <c r="E31" i="10"/>
  <c r="B3" i="14"/>
  <c r="F128" i="14"/>
  <c r="G128" i="14"/>
  <c r="H128" i="14"/>
  <c r="I128" i="14"/>
  <c r="E128" i="14"/>
  <c r="B154" i="14"/>
  <c r="B153" i="14"/>
  <c r="B53" i="14"/>
  <c r="B52" i="14"/>
  <c r="B51" i="14"/>
  <c r="B50" i="14"/>
  <c r="B49" i="14"/>
  <c r="B48" i="14"/>
  <c r="B47" i="14"/>
  <c r="Q162" i="13"/>
  <c r="AC150" i="11"/>
  <c r="T150" i="11"/>
  <c r="R58" i="11"/>
  <c r="AC162" i="11"/>
  <c r="S58" i="11"/>
  <c r="S31" i="11"/>
  <c r="T150" i="13" l="1"/>
  <c r="H65" i="10"/>
  <c r="AG67" i="11"/>
  <c r="T162" i="11"/>
  <c r="W162" i="13"/>
  <c r="Z162" i="11"/>
  <c r="Q162" i="11"/>
  <c r="T162" i="13"/>
  <c r="U31" i="10"/>
  <c r="Q150" i="11"/>
  <c r="AG62" i="13"/>
  <c r="H68" i="10"/>
  <c r="AA94" i="11"/>
  <c r="R31" i="13"/>
  <c r="W150" i="11"/>
  <c r="AC162" i="13"/>
  <c r="AA95" i="11"/>
  <c r="Z150" i="13"/>
  <c r="S31" i="13"/>
  <c r="U31" i="13"/>
  <c r="U31" i="11"/>
  <c r="T79" i="11"/>
  <c r="W150" i="13"/>
  <c r="AC150" i="13"/>
  <c r="Y67" i="13"/>
  <c r="T162" i="10"/>
  <c r="AG63" i="11"/>
  <c r="AA94" i="13"/>
  <c r="H97" i="10"/>
  <c r="T31" i="13"/>
  <c r="Q69" i="13"/>
  <c r="T79" i="13"/>
  <c r="AA95" i="13"/>
  <c r="T58" i="11"/>
  <c r="T69" i="11"/>
  <c r="T69" i="13"/>
  <c r="T150" i="10"/>
  <c r="AC162" i="10"/>
  <c r="H36" i="13"/>
  <c r="T36" i="13" s="1"/>
  <c r="H38" i="11"/>
  <c r="T38" i="11" s="1"/>
  <c r="AA65" i="13"/>
  <c r="T190" i="10"/>
  <c r="T194" i="10" s="1"/>
  <c r="F60" i="11"/>
  <c r="R60" i="11" s="1"/>
  <c r="AG61" i="13"/>
  <c r="AA70" i="11"/>
  <c r="AA62" i="13"/>
  <c r="Q31" i="13"/>
  <c r="Q58" i="13"/>
  <c r="E97" i="13"/>
  <c r="Q58" i="10"/>
  <c r="AA95" i="10"/>
  <c r="F70" i="13"/>
  <c r="F66" i="13"/>
  <c r="S95" i="10"/>
  <c r="AA94" i="10"/>
  <c r="AB82" i="10" s="1"/>
  <c r="AC82" i="10" s="1"/>
  <c r="F65" i="13"/>
  <c r="F61" i="13"/>
  <c r="Q31" i="10"/>
  <c r="G97" i="10"/>
  <c r="I70" i="11"/>
  <c r="F69" i="13"/>
  <c r="W150" i="10"/>
  <c r="G60" i="10"/>
  <c r="G60" i="11" s="1"/>
  <c r="AC60" i="13"/>
  <c r="AC60" i="11"/>
  <c r="I97" i="10"/>
  <c r="Q69" i="10"/>
  <c r="R31" i="10"/>
  <c r="Z150" i="10"/>
  <c r="T31" i="10"/>
  <c r="Q150" i="10"/>
  <c r="F68" i="13"/>
  <c r="I69" i="11"/>
  <c r="G65" i="10"/>
  <c r="AC65" i="11"/>
  <c r="AC65" i="13"/>
  <c r="G61" i="10"/>
  <c r="G61" i="11" s="1"/>
  <c r="AC61" i="11"/>
  <c r="AC61" i="13"/>
  <c r="G71" i="10"/>
  <c r="G71" i="11" s="1"/>
  <c r="AC71" i="11"/>
  <c r="AC71" i="13"/>
  <c r="G68" i="10"/>
  <c r="G68" i="13" s="1"/>
  <c r="AC68" i="11"/>
  <c r="AC68" i="13"/>
  <c r="G64" i="10"/>
  <c r="G64" i="11" s="1"/>
  <c r="AC64" i="11"/>
  <c r="AC64" i="13"/>
  <c r="Y67" i="11"/>
  <c r="Y64" i="11"/>
  <c r="I63" i="11"/>
  <c r="G70" i="10"/>
  <c r="G70" i="13" s="1"/>
  <c r="AC70" i="11"/>
  <c r="AC70" i="13"/>
  <c r="G67" i="10"/>
  <c r="G67" i="11" s="1"/>
  <c r="AC67" i="11"/>
  <c r="AC67" i="13"/>
  <c r="G63" i="10"/>
  <c r="G63" i="13" s="1"/>
  <c r="AC63" i="11"/>
  <c r="AC63" i="13"/>
  <c r="Y64" i="13"/>
  <c r="W79" i="13"/>
  <c r="V79" i="13" s="1"/>
  <c r="G69" i="10"/>
  <c r="G69" i="11" s="1"/>
  <c r="AC69" i="11"/>
  <c r="AC69" i="13"/>
  <c r="G66" i="10"/>
  <c r="G66" i="13" s="1"/>
  <c r="AC66" i="11"/>
  <c r="AC66" i="13"/>
  <c r="G62" i="10"/>
  <c r="G62" i="11" s="1"/>
  <c r="AC62" i="11"/>
  <c r="AC62" i="13"/>
  <c r="Y65" i="11"/>
  <c r="Y62" i="13"/>
  <c r="Y71" i="13"/>
  <c r="Y60" i="11"/>
  <c r="W86" i="13"/>
  <c r="V86" i="13" s="1"/>
  <c r="Y60" i="13"/>
  <c r="W78" i="11"/>
  <c r="V78" i="11" s="1"/>
  <c r="AB78" i="11" s="1"/>
  <c r="AC78" i="11" s="1"/>
  <c r="W81" i="11"/>
  <c r="V81" i="11" s="1"/>
  <c r="W82" i="11"/>
  <c r="V82" i="11" s="1"/>
  <c r="W86" i="11"/>
  <c r="V86" i="11" s="1"/>
  <c r="AB86" i="11" s="1"/>
  <c r="AC86" i="11" s="1"/>
  <c r="Y62" i="11"/>
  <c r="Y70" i="13"/>
  <c r="W77" i="13"/>
  <c r="V77" i="13" s="1"/>
  <c r="W75" i="13"/>
  <c r="V75" i="13" s="1"/>
  <c r="Y63" i="13"/>
  <c r="Y68" i="13"/>
  <c r="W79" i="11"/>
  <c r="V79" i="11" s="1"/>
  <c r="Q167" i="13"/>
  <c r="W167" i="13" s="1"/>
  <c r="Y71" i="11"/>
  <c r="AD77" i="11"/>
  <c r="W85" i="11"/>
  <c r="V85" i="11" s="1"/>
  <c r="Y66" i="11"/>
  <c r="T69" i="10"/>
  <c r="W78" i="13"/>
  <c r="V78" i="13" s="1"/>
  <c r="W84" i="11"/>
  <c r="V84" i="11" s="1"/>
  <c r="Y69" i="11"/>
  <c r="I64" i="13"/>
  <c r="S58" i="10"/>
  <c r="E97" i="10"/>
  <c r="Q63" i="13"/>
  <c r="Q162" i="10"/>
  <c r="T58" i="10"/>
  <c r="Y65" i="13"/>
  <c r="AB72" i="13"/>
  <c r="AD77" i="13"/>
  <c r="AD72" i="11"/>
  <c r="Y68" i="11"/>
  <c r="Y72" i="10"/>
  <c r="I68" i="13"/>
  <c r="I71" i="13"/>
  <c r="I67" i="11"/>
  <c r="I60" i="13"/>
  <c r="W82" i="13"/>
  <c r="V82" i="13" s="1"/>
  <c r="Y61" i="11"/>
  <c r="F62" i="13"/>
  <c r="W162" i="10"/>
  <c r="Z72" i="13"/>
  <c r="T30" i="13"/>
  <c r="I117" i="10"/>
  <c r="I135" i="10" s="1"/>
  <c r="Q30" i="11"/>
  <c r="R64" i="10"/>
  <c r="U60" i="10"/>
  <c r="H97" i="11"/>
  <c r="F97" i="11"/>
  <c r="G97" i="11"/>
  <c r="I97" i="11"/>
  <c r="W83" i="13"/>
  <c r="V83" i="13" s="1"/>
  <c r="W84" i="13"/>
  <c r="V84" i="13" s="1"/>
  <c r="Y70" i="11"/>
  <c r="AB72" i="11"/>
  <c r="W80" i="11"/>
  <c r="V80" i="11" s="1"/>
  <c r="Q172" i="13"/>
  <c r="W172" i="13" s="1"/>
  <c r="W76" i="13"/>
  <c r="V76" i="13" s="1"/>
  <c r="W80" i="13"/>
  <c r="V80" i="13" s="1"/>
  <c r="W85" i="13"/>
  <c r="V85" i="13" s="1"/>
  <c r="W81" i="13"/>
  <c r="V81" i="13" s="1"/>
  <c r="X72" i="11"/>
  <c r="Z72" i="11"/>
  <c r="W76" i="11"/>
  <c r="V76" i="11" s="1"/>
  <c r="W77" i="11"/>
  <c r="V77" i="11" s="1"/>
  <c r="AB77" i="11" s="1"/>
  <c r="AC77" i="11" s="1"/>
  <c r="W83" i="11"/>
  <c r="V83" i="11" s="1"/>
  <c r="AB83" i="11" s="1"/>
  <c r="AC83" i="11" s="1"/>
  <c r="Y63" i="11"/>
  <c r="E246" i="10"/>
  <c r="Q63" i="11"/>
  <c r="W72" i="11"/>
  <c r="AD72" i="13"/>
  <c r="Q172" i="11"/>
  <c r="W172" i="11" s="1"/>
  <c r="E245" i="13"/>
  <c r="X72" i="13"/>
  <c r="Y69" i="13"/>
  <c r="Q67" i="13"/>
  <c r="E245" i="11"/>
  <c r="E113" i="14"/>
  <c r="F113" i="10"/>
  <c r="F131" i="10" s="1"/>
  <c r="I113" i="10"/>
  <c r="I131" i="10" s="1"/>
  <c r="AC72" i="10"/>
  <c r="I112" i="10"/>
  <c r="I130" i="10" s="1"/>
  <c r="W75" i="11"/>
  <c r="V75" i="11" s="1"/>
  <c r="W87" i="10"/>
  <c r="V87" i="10"/>
  <c r="I66" i="13"/>
  <c r="I118" i="10"/>
  <c r="I136" i="10" s="1"/>
  <c r="I66" i="11"/>
  <c r="I62" i="11"/>
  <c r="I107" i="14"/>
  <c r="U64" i="10"/>
  <c r="I65" i="13"/>
  <c r="I65" i="11"/>
  <c r="I61" i="11"/>
  <c r="I72" i="10"/>
  <c r="T181" i="10" s="1"/>
  <c r="I114" i="10"/>
  <c r="I132" i="10" s="1"/>
  <c r="I116" i="10"/>
  <c r="I134" i="10" s="1"/>
  <c r="I156" i="10" s="1"/>
  <c r="T95" i="10"/>
  <c r="F112" i="10"/>
  <c r="F130" i="10" s="1"/>
  <c r="F152" i="10" s="1"/>
  <c r="F72" i="10"/>
  <c r="F114" i="10"/>
  <c r="F132" i="10" s="1"/>
  <c r="F71" i="13"/>
  <c r="F67" i="11"/>
  <c r="F112" i="11" s="1"/>
  <c r="F130" i="11" s="1"/>
  <c r="F152" i="11" s="1"/>
  <c r="F118" i="10"/>
  <c r="F136" i="10" s="1"/>
  <c r="F116" i="10"/>
  <c r="R60" i="10"/>
  <c r="F64" i="13"/>
  <c r="F63" i="13"/>
  <c r="F117" i="10"/>
  <c r="F135" i="10" s="1"/>
  <c r="Q167" i="11"/>
  <c r="W167" i="11" s="1"/>
  <c r="Y66" i="13"/>
  <c r="Y61" i="13"/>
  <c r="Q67" i="11"/>
  <c r="W72" i="13"/>
  <c r="AB76" i="11" l="1"/>
  <c r="AC76" i="11" s="1"/>
  <c r="AB80" i="11"/>
  <c r="AC80" i="11" s="1"/>
  <c r="AB84" i="11"/>
  <c r="AC84" i="11" s="1"/>
  <c r="AB85" i="11"/>
  <c r="AC85" i="11" s="1"/>
  <c r="AB79" i="11"/>
  <c r="AC79" i="11" s="1"/>
  <c r="AB82" i="11"/>
  <c r="AC82" i="11" s="1"/>
  <c r="AB75" i="11"/>
  <c r="AC75" i="11" s="1"/>
  <c r="AB81" i="11"/>
  <c r="AC81" i="11" s="1"/>
  <c r="AB80" i="13"/>
  <c r="AC80" i="13" s="1"/>
  <c r="AB77" i="13"/>
  <c r="AC77" i="13" s="1"/>
  <c r="AB86" i="13"/>
  <c r="AC86" i="13" s="1"/>
  <c r="AB76" i="13"/>
  <c r="AC76" i="13" s="1"/>
  <c r="AB82" i="13"/>
  <c r="AC82" i="13" s="1"/>
  <c r="AB78" i="13"/>
  <c r="AC78" i="13" s="1"/>
  <c r="AB81" i="13"/>
  <c r="AC81" i="13" s="1"/>
  <c r="AB84" i="13"/>
  <c r="AC84" i="13" s="1"/>
  <c r="AB79" i="13"/>
  <c r="AC79" i="13" s="1"/>
  <c r="AB85" i="13"/>
  <c r="AC85" i="13" s="1"/>
  <c r="AB83" i="13"/>
  <c r="AC83" i="13" s="1"/>
  <c r="AB75" i="13"/>
  <c r="AC75" i="13" s="1"/>
  <c r="AG63" i="13"/>
  <c r="H63" i="10"/>
  <c r="H63" i="13" s="1"/>
  <c r="I168" i="11"/>
  <c r="G71" i="13"/>
  <c r="AF86" i="10"/>
  <c r="F97" i="10"/>
  <c r="AB86" i="10"/>
  <c r="AC86" i="10" s="1"/>
  <c r="H38" i="13"/>
  <c r="T38" i="13" s="1"/>
  <c r="T38" i="10"/>
  <c r="AG62" i="11"/>
  <c r="T42" i="10"/>
  <c r="H41" i="13"/>
  <c r="T41" i="13" s="1"/>
  <c r="H44" i="11"/>
  <c r="T44" i="11" s="1"/>
  <c r="H43" i="11"/>
  <c r="T43" i="11" s="1"/>
  <c r="H33" i="11"/>
  <c r="T35" i="10"/>
  <c r="H65" i="11"/>
  <c r="H40" i="13"/>
  <c r="T40" i="13" s="1"/>
  <c r="H37" i="13"/>
  <c r="T37" i="13" s="1"/>
  <c r="T36" i="10"/>
  <c r="H34" i="13"/>
  <c r="T34" i="13" s="1"/>
  <c r="H39" i="13"/>
  <c r="T39" i="13" s="1"/>
  <c r="H36" i="11"/>
  <c r="T36" i="11" s="1"/>
  <c r="AA65" i="11"/>
  <c r="E39" i="13"/>
  <c r="Q39" i="13" s="1"/>
  <c r="E35" i="13"/>
  <c r="Q35" i="13" s="1"/>
  <c r="E43" i="11"/>
  <c r="Q43" i="11" s="1"/>
  <c r="E34" i="13"/>
  <c r="Q34" i="13" s="1"/>
  <c r="E44" i="13"/>
  <c r="Q44" i="13" s="1"/>
  <c r="Q37" i="10"/>
  <c r="E36" i="11"/>
  <c r="Q36" i="11" s="1"/>
  <c r="AF81" i="10"/>
  <c r="AF78" i="10"/>
  <c r="E33" i="13"/>
  <c r="E41" i="11"/>
  <c r="Q41" i="11" s="1"/>
  <c r="E38" i="13"/>
  <c r="E40" i="13"/>
  <c r="Q40" i="13" s="1"/>
  <c r="E65" i="10"/>
  <c r="Q181" i="10"/>
  <c r="Q186" i="10" s="1"/>
  <c r="F118" i="11"/>
  <c r="F136" i="11" s="1"/>
  <c r="G67" i="13"/>
  <c r="G65" i="11"/>
  <c r="E252" i="10"/>
  <c r="Q44" i="10"/>
  <c r="I116" i="13"/>
  <c r="I134" i="13" s="1"/>
  <c r="I156" i="13" s="1"/>
  <c r="E44" i="11"/>
  <c r="Q44" i="11" s="1"/>
  <c r="AG65" i="11"/>
  <c r="AG61" i="11"/>
  <c r="H42" i="13"/>
  <c r="T42" i="13" s="1"/>
  <c r="H61" i="10"/>
  <c r="H61" i="13" s="1"/>
  <c r="S190" i="10"/>
  <c r="S194" i="10" s="1"/>
  <c r="I168" i="13"/>
  <c r="H65" i="13"/>
  <c r="F116" i="11"/>
  <c r="F134" i="11" s="1"/>
  <c r="F156" i="11" s="1"/>
  <c r="F117" i="11"/>
  <c r="F135" i="11" s="1"/>
  <c r="G60" i="13"/>
  <c r="H62" i="10"/>
  <c r="H62" i="11" s="1"/>
  <c r="AG65" i="13"/>
  <c r="E62" i="10"/>
  <c r="AA62" i="11"/>
  <c r="E70" i="10"/>
  <c r="AA70" i="13"/>
  <c r="F112" i="13"/>
  <c r="F130" i="13" s="1"/>
  <c r="F152" i="13" s="1"/>
  <c r="G63" i="11"/>
  <c r="G62" i="13"/>
  <c r="AB83" i="10"/>
  <c r="AC83" i="10" s="1"/>
  <c r="AB75" i="10"/>
  <c r="AC75" i="10" s="1"/>
  <c r="AB76" i="10"/>
  <c r="AC76" i="10" s="1"/>
  <c r="AB77" i="10"/>
  <c r="AC77" i="10" s="1"/>
  <c r="F113" i="13"/>
  <c r="F131" i="13" s="1"/>
  <c r="AB78" i="10"/>
  <c r="AC78" i="10" s="1"/>
  <c r="AB79" i="10"/>
  <c r="AC79" i="10" s="1"/>
  <c r="AB80" i="10"/>
  <c r="AC80" i="10" s="1"/>
  <c r="AB84" i="10"/>
  <c r="AC84" i="10" s="1"/>
  <c r="AB81" i="10"/>
  <c r="AC81" i="10" s="1"/>
  <c r="AB85" i="10"/>
  <c r="AC85" i="10" s="1"/>
  <c r="G107" i="14"/>
  <c r="G65" i="13"/>
  <c r="R64" i="13"/>
  <c r="F294" i="13"/>
  <c r="F114" i="13"/>
  <c r="F132" i="13" s="1"/>
  <c r="G112" i="10"/>
  <c r="G130" i="10" s="1"/>
  <c r="G152" i="10" s="1"/>
  <c r="G64" i="13"/>
  <c r="S64" i="10"/>
  <c r="G70" i="11"/>
  <c r="G114" i="10"/>
  <c r="G132" i="10" s="1"/>
  <c r="G66" i="11"/>
  <c r="T186" i="10"/>
  <c r="T185" i="10"/>
  <c r="G72" i="10"/>
  <c r="G118" i="10"/>
  <c r="G136" i="10" s="1"/>
  <c r="G116" i="10"/>
  <c r="G134" i="10" s="1"/>
  <c r="G156" i="10" s="1"/>
  <c r="G113" i="10"/>
  <c r="G131" i="10" s="1"/>
  <c r="G117" i="10"/>
  <c r="G135" i="10" s="1"/>
  <c r="G61" i="13"/>
  <c r="G69" i="13"/>
  <c r="S60" i="10"/>
  <c r="G68" i="11"/>
  <c r="F113" i="11"/>
  <c r="F131" i="11" s="1"/>
  <c r="I118" i="11"/>
  <c r="I136" i="11" s="1"/>
  <c r="I117" i="13"/>
  <c r="I135" i="13" s="1"/>
  <c r="I113" i="11"/>
  <c r="I131" i="11" s="1"/>
  <c r="Y72" i="11"/>
  <c r="U60" i="13"/>
  <c r="AG68" i="11"/>
  <c r="I112" i="11"/>
  <c r="I130" i="11" s="1"/>
  <c r="I118" i="13"/>
  <c r="I136" i="13" s="1"/>
  <c r="F118" i="13"/>
  <c r="F136" i="13" s="1"/>
  <c r="E251" i="13"/>
  <c r="I113" i="14"/>
  <c r="I117" i="11"/>
  <c r="I135" i="11" s="1"/>
  <c r="I116" i="11"/>
  <c r="I134" i="11" s="1"/>
  <c r="I156" i="11" s="1"/>
  <c r="I114" i="11"/>
  <c r="I132" i="11" s="1"/>
  <c r="E251" i="11"/>
  <c r="AG67" i="13"/>
  <c r="I72" i="11"/>
  <c r="U60" i="11"/>
  <c r="I246" i="10"/>
  <c r="I256" i="10" s="1"/>
  <c r="I245" i="13"/>
  <c r="I255" i="13" s="1"/>
  <c r="I245" i="11"/>
  <c r="I255" i="11" s="1"/>
  <c r="I117" i="14"/>
  <c r="U64" i="11"/>
  <c r="I294" i="11"/>
  <c r="I120" i="10"/>
  <c r="I294" i="13"/>
  <c r="I114" i="13"/>
  <c r="I132" i="13" s="1"/>
  <c r="I113" i="13"/>
  <c r="I131" i="13" s="1"/>
  <c r="I112" i="13"/>
  <c r="U64" i="13"/>
  <c r="I72" i="13"/>
  <c r="I152" i="10"/>
  <c r="I138" i="10"/>
  <c r="F294" i="11"/>
  <c r="F114" i="11"/>
  <c r="F132" i="11" s="1"/>
  <c r="F72" i="11"/>
  <c r="R66" i="10"/>
  <c r="R65" i="10"/>
  <c r="R64" i="11"/>
  <c r="F120" i="10"/>
  <c r="F134" i="10"/>
  <c r="F72" i="13"/>
  <c r="R60" i="13"/>
  <c r="F295" i="11"/>
  <c r="F116" i="13"/>
  <c r="F117" i="13"/>
  <c r="F135" i="13" s="1"/>
  <c r="Y72" i="13"/>
  <c r="H67" i="10"/>
  <c r="H67" i="11" s="1"/>
  <c r="AG68" i="13"/>
  <c r="AG69" i="13"/>
  <c r="AG69" i="11"/>
  <c r="H69" i="10"/>
  <c r="T41" i="10"/>
  <c r="H71" i="10"/>
  <c r="AG71" i="11"/>
  <c r="AG71" i="13"/>
  <c r="T43" i="10"/>
  <c r="H40" i="11"/>
  <c r="T40" i="11" s="1"/>
  <c r="H44" i="13"/>
  <c r="T44" i="13" s="1"/>
  <c r="H37" i="11"/>
  <c r="T37" i="11" s="1"/>
  <c r="AG66" i="13"/>
  <c r="H66" i="10"/>
  <c r="AG66" i="11"/>
  <c r="H68" i="13"/>
  <c r="H68" i="11"/>
  <c r="AG70" i="11"/>
  <c r="H70" i="10"/>
  <c r="AG70" i="13"/>
  <c r="AG60" i="11"/>
  <c r="H60" i="10"/>
  <c r="AG60" i="13"/>
  <c r="AG72" i="10"/>
  <c r="AG64" i="13"/>
  <c r="H64" i="10"/>
  <c r="AG64" i="11"/>
  <c r="T39" i="10"/>
  <c r="AA69" i="11"/>
  <c r="AA69" i="13"/>
  <c r="AF85" i="10"/>
  <c r="E69" i="10"/>
  <c r="E66" i="10"/>
  <c r="AF82" i="10"/>
  <c r="AA66" i="13"/>
  <c r="AA66" i="11"/>
  <c r="AF77" i="10"/>
  <c r="AA61" i="13"/>
  <c r="AA61" i="11"/>
  <c r="E61" i="10"/>
  <c r="E67" i="10"/>
  <c r="AA67" i="11"/>
  <c r="AF83" i="10"/>
  <c r="AA67" i="13"/>
  <c r="Q36" i="10"/>
  <c r="E36" i="13"/>
  <c r="Q36" i="13" s="1"/>
  <c r="E33" i="11"/>
  <c r="Q33" i="10"/>
  <c r="AA68" i="13"/>
  <c r="AF84" i="10"/>
  <c r="E68" i="10"/>
  <c r="AA68" i="11"/>
  <c r="E43" i="13"/>
  <c r="Q43" i="13" s="1"/>
  <c r="Q43" i="10"/>
  <c r="AA60" i="13"/>
  <c r="AA60" i="11"/>
  <c r="E60" i="10"/>
  <c r="AA72" i="10"/>
  <c r="AF76" i="10"/>
  <c r="Q35" i="10"/>
  <c r="AF87" i="10"/>
  <c r="E71" i="10"/>
  <c r="AA71" i="11"/>
  <c r="AA71" i="13"/>
  <c r="AA64" i="11"/>
  <c r="AA64" i="13"/>
  <c r="E64" i="10"/>
  <c r="AF80" i="10"/>
  <c r="AF79" i="10"/>
  <c r="E63" i="10"/>
  <c r="AA63" i="13"/>
  <c r="AA63" i="11"/>
  <c r="H62" i="13" l="1"/>
  <c r="H63" i="11"/>
  <c r="H168" i="11"/>
  <c r="H168" i="13"/>
  <c r="E65" i="13"/>
  <c r="M65" i="13" s="1"/>
  <c r="M70" i="10"/>
  <c r="G113" i="13"/>
  <c r="G131" i="13" s="1"/>
  <c r="Q39" i="10"/>
  <c r="E39" i="11"/>
  <c r="Q39" i="11" s="1"/>
  <c r="Q185" i="10"/>
  <c r="T37" i="10"/>
  <c r="H39" i="11"/>
  <c r="T39" i="11" s="1"/>
  <c r="H33" i="13"/>
  <c r="T33" i="13" s="1"/>
  <c r="T34" i="10"/>
  <c r="H42" i="11"/>
  <c r="T42" i="11" s="1"/>
  <c r="T44" i="10"/>
  <c r="T33" i="10"/>
  <c r="H34" i="11"/>
  <c r="T34" i="11" s="1"/>
  <c r="H43" i="13"/>
  <c r="T43" i="13" s="1"/>
  <c r="H35" i="11"/>
  <c r="T35" i="11" s="1"/>
  <c r="T40" i="10"/>
  <c r="H41" i="11"/>
  <c r="T41" i="11" s="1"/>
  <c r="H35" i="13"/>
  <c r="T35" i="13" s="1"/>
  <c r="Q40" i="10"/>
  <c r="E40" i="11"/>
  <c r="Q40" i="11" s="1"/>
  <c r="E35" i="11"/>
  <c r="Q35" i="11" s="1"/>
  <c r="E41" i="13"/>
  <c r="Q41" i="13" s="1"/>
  <c r="E37" i="11"/>
  <c r="Q37" i="11" s="1"/>
  <c r="Q41" i="10"/>
  <c r="E38" i="11"/>
  <c r="Q38" i="11" s="1"/>
  <c r="J65" i="10"/>
  <c r="Q38" i="10"/>
  <c r="E37" i="13"/>
  <c r="Q37" i="13" s="1"/>
  <c r="E65" i="11"/>
  <c r="E42" i="13"/>
  <c r="Q42" i="13" s="1"/>
  <c r="E42" i="11"/>
  <c r="Q42" i="11" s="1"/>
  <c r="Q42" i="10"/>
  <c r="E34" i="11"/>
  <c r="Q34" i="11" s="1"/>
  <c r="Q34" i="10"/>
  <c r="M65" i="10"/>
  <c r="R181" i="10"/>
  <c r="R186" i="10" s="1"/>
  <c r="G117" i="13"/>
  <c r="G135" i="13" s="1"/>
  <c r="G117" i="11"/>
  <c r="G135" i="11" s="1"/>
  <c r="F97" i="13"/>
  <c r="H61" i="11"/>
  <c r="J62" i="10"/>
  <c r="F168" i="11"/>
  <c r="Q190" i="10"/>
  <c r="Q194" i="10" s="1"/>
  <c r="F168" i="13"/>
  <c r="P190" i="10"/>
  <c r="P194" i="10" s="1"/>
  <c r="E168" i="13"/>
  <c r="E168" i="11"/>
  <c r="F138" i="11"/>
  <c r="S60" i="11"/>
  <c r="G116" i="11"/>
  <c r="G134" i="11" s="1"/>
  <c r="G156" i="11" s="1"/>
  <c r="G160" i="10"/>
  <c r="E70" i="13"/>
  <c r="M70" i="13" s="1"/>
  <c r="E70" i="11"/>
  <c r="M70" i="11" s="1"/>
  <c r="M62" i="10"/>
  <c r="E62" i="13"/>
  <c r="M62" i="13" s="1"/>
  <c r="E62" i="11"/>
  <c r="G97" i="13"/>
  <c r="AB87" i="10"/>
  <c r="G116" i="13"/>
  <c r="G134" i="13" s="1"/>
  <c r="G156" i="13" s="1"/>
  <c r="G246" i="10"/>
  <c r="G256" i="10" s="1"/>
  <c r="G245" i="11"/>
  <c r="G255" i="11" s="1"/>
  <c r="G118" i="11"/>
  <c r="G136" i="11" s="1"/>
  <c r="G117" i="14"/>
  <c r="G245" i="13"/>
  <c r="G255" i="13" s="1"/>
  <c r="AC87" i="10"/>
  <c r="G294" i="11"/>
  <c r="S64" i="13"/>
  <c r="G114" i="13"/>
  <c r="G132" i="13" s="1"/>
  <c r="H67" i="13"/>
  <c r="G112" i="13"/>
  <c r="G130" i="13" s="1"/>
  <c r="G152" i="13" s="1"/>
  <c r="G294" i="13"/>
  <c r="G72" i="11"/>
  <c r="G295" i="11" s="1"/>
  <c r="G112" i="11"/>
  <c r="G130" i="11" s="1"/>
  <c r="G152" i="11" s="1"/>
  <c r="G114" i="11"/>
  <c r="G132" i="11" s="1"/>
  <c r="G113" i="14"/>
  <c r="G113" i="11"/>
  <c r="G131" i="11" s="1"/>
  <c r="T61" i="10"/>
  <c r="Q157" i="10" s="1"/>
  <c r="G118" i="13"/>
  <c r="G136" i="13" s="1"/>
  <c r="T65" i="10"/>
  <c r="Q153" i="10" s="1"/>
  <c r="G120" i="10"/>
  <c r="G72" i="13"/>
  <c r="G295" i="13" s="1"/>
  <c r="S60" i="13"/>
  <c r="I120" i="11"/>
  <c r="G138" i="10"/>
  <c r="S64" i="11"/>
  <c r="J168" i="10"/>
  <c r="R190" i="10"/>
  <c r="AC72" i="11"/>
  <c r="AC72" i="13"/>
  <c r="G168" i="13"/>
  <c r="AG72" i="13"/>
  <c r="F120" i="11"/>
  <c r="G168" i="11"/>
  <c r="I295" i="11"/>
  <c r="I160" i="10"/>
  <c r="I130" i="13"/>
  <c r="I120" i="13"/>
  <c r="I295" i="13"/>
  <c r="F110" i="14"/>
  <c r="R65" i="11"/>
  <c r="R65" i="13"/>
  <c r="E187" i="10"/>
  <c r="E188" i="10" s="1"/>
  <c r="F160" i="11"/>
  <c r="F111" i="14"/>
  <c r="R66" i="11"/>
  <c r="R66" i="13"/>
  <c r="F295" i="13"/>
  <c r="F120" i="13"/>
  <c r="F134" i="13"/>
  <c r="F156" i="10"/>
  <c r="F138" i="10"/>
  <c r="E108" i="14"/>
  <c r="H69" i="11"/>
  <c r="H69" i="13"/>
  <c r="H71" i="11"/>
  <c r="H71" i="13"/>
  <c r="H64" i="13"/>
  <c r="H64" i="11"/>
  <c r="H72" i="10"/>
  <c r="H60" i="11"/>
  <c r="T60" i="10"/>
  <c r="T72" i="10"/>
  <c r="H60" i="13"/>
  <c r="H118" i="10"/>
  <c r="H136" i="10" s="1"/>
  <c r="H116" i="10"/>
  <c r="H134" i="10" s="1"/>
  <c r="T71" i="10"/>
  <c r="H117" i="10"/>
  <c r="H135" i="10" s="1"/>
  <c r="AG72" i="11"/>
  <c r="T33" i="11"/>
  <c r="H70" i="13"/>
  <c r="H70" i="11"/>
  <c r="J70" i="10"/>
  <c r="H66" i="11"/>
  <c r="H66" i="13"/>
  <c r="H112" i="10"/>
  <c r="H108" i="14"/>
  <c r="H113" i="10"/>
  <c r="H131" i="10" s="1"/>
  <c r="T64" i="10"/>
  <c r="H114" i="10"/>
  <c r="H132" i="10" s="1"/>
  <c r="T75" i="10"/>
  <c r="T76" i="10"/>
  <c r="M69" i="10"/>
  <c r="E69" i="11"/>
  <c r="E69" i="13"/>
  <c r="J69" i="10"/>
  <c r="E61" i="11"/>
  <c r="J61" i="10"/>
  <c r="M61" i="10"/>
  <c r="E61" i="13"/>
  <c r="R165" i="10"/>
  <c r="E66" i="13"/>
  <c r="E66" i="11"/>
  <c r="J66" i="10"/>
  <c r="M66" i="10"/>
  <c r="E60" i="11"/>
  <c r="Q60" i="10"/>
  <c r="E116" i="10"/>
  <c r="E134" i="10" s="1"/>
  <c r="E117" i="10"/>
  <c r="E135" i="10" s="1"/>
  <c r="Q71" i="10"/>
  <c r="Q72" i="10"/>
  <c r="E72" i="10"/>
  <c r="E118" i="10"/>
  <c r="E136" i="10" s="1"/>
  <c r="E60" i="13"/>
  <c r="J60" i="10"/>
  <c r="M60" i="10"/>
  <c r="R170" i="10"/>
  <c r="AA72" i="11"/>
  <c r="Q33" i="11"/>
  <c r="E63" i="13"/>
  <c r="J63" i="10"/>
  <c r="M63" i="10"/>
  <c r="E63" i="11"/>
  <c r="M64" i="10"/>
  <c r="E64" i="11"/>
  <c r="J64" i="10"/>
  <c r="E64" i="13"/>
  <c r="AA72" i="13"/>
  <c r="E71" i="13"/>
  <c r="E71" i="11"/>
  <c r="M71" i="10"/>
  <c r="J71" i="10"/>
  <c r="Q38" i="13"/>
  <c r="E68" i="11"/>
  <c r="E68" i="13"/>
  <c r="M68" i="10"/>
  <c r="J68" i="10"/>
  <c r="Q33" i="13"/>
  <c r="E67" i="11"/>
  <c r="E67" i="13"/>
  <c r="Q64" i="10"/>
  <c r="J67" i="10"/>
  <c r="E112" i="10"/>
  <c r="Q76" i="10"/>
  <c r="M67" i="10"/>
  <c r="E113" i="10"/>
  <c r="E131" i="10" s="1"/>
  <c r="Q75" i="10"/>
  <c r="E114" i="10"/>
  <c r="E132" i="10" s="1"/>
  <c r="I152" i="11"/>
  <c r="I138" i="11"/>
  <c r="R171" i="10" l="1"/>
  <c r="J65" i="13"/>
  <c r="R185" i="10"/>
  <c r="T65" i="11"/>
  <c r="Q153" i="11" s="1"/>
  <c r="H180" i="10"/>
  <c r="F206" i="10" s="1"/>
  <c r="F226" i="10" s="1"/>
  <c r="R166" i="10"/>
  <c r="R167" i="10" s="1"/>
  <c r="S181" i="10"/>
  <c r="S186" i="10" s="1"/>
  <c r="M65" i="11"/>
  <c r="J65" i="11"/>
  <c r="E114" i="14"/>
  <c r="E252" i="13" s="1"/>
  <c r="J70" i="13"/>
  <c r="P181" i="10"/>
  <c r="P186" i="10" s="1"/>
  <c r="J168" i="13"/>
  <c r="H180" i="13" s="1"/>
  <c r="F205" i="13" s="1"/>
  <c r="G118" i="14"/>
  <c r="G119" i="14" s="1"/>
  <c r="J168" i="11"/>
  <c r="H179" i="11" s="1"/>
  <c r="G203" i="11" s="1"/>
  <c r="G219" i="11" s="1"/>
  <c r="G265" i="11" s="1"/>
  <c r="G32" i="14" s="1"/>
  <c r="G251" i="11"/>
  <c r="G256" i="11" s="1"/>
  <c r="G257" i="11" s="1"/>
  <c r="J70" i="11"/>
  <c r="J62" i="13"/>
  <c r="J62" i="11"/>
  <c r="M62" i="11"/>
  <c r="I97" i="13"/>
  <c r="H97" i="13"/>
  <c r="G138" i="11"/>
  <c r="G120" i="13"/>
  <c r="T62" i="10"/>
  <c r="Q158" i="10" s="1"/>
  <c r="G138" i="13"/>
  <c r="G252" i="10"/>
  <c r="G257" i="10" s="1"/>
  <c r="G258" i="10" s="1"/>
  <c r="G120" i="11"/>
  <c r="G251" i="13"/>
  <c r="G256" i="13" s="1"/>
  <c r="G257" i="13" s="1"/>
  <c r="R194" i="10"/>
  <c r="U190" i="10"/>
  <c r="U194" i="10" s="1"/>
  <c r="T66" i="10"/>
  <c r="Q154" i="10" s="1"/>
  <c r="H179" i="10"/>
  <c r="E204" i="10" s="1"/>
  <c r="E186" i="11"/>
  <c r="E187" i="11" s="1"/>
  <c r="E246" i="11"/>
  <c r="E246" i="13"/>
  <c r="E109" i="14"/>
  <c r="E247" i="10"/>
  <c r="T61" i="13"/>
  <c r="Q157" i="13" s="1"/>
  <c r="I152" i="13"/>
  <c r="I138" i="13"/>
  <c r="F248" i="11"/>
  <c r="F117" i="14"/>
  <c r="F249" i="10"/>
  <c r="F248" i="13"/>
  <c r="F113" i="14"/>
  <c r="F249" i="11"/>
  <c r="F250" i="10"/>
  <c r="F249" i="13"/>
  <c r="E187" i="13"/>
  <c r="E188" i="13" s="1"/>
  <c r="F160" i="10"/>
  <c r="F138" i="13"/>
  <c r="F156" i="13"/>
  <c r="G160" i="13"/>
  <c r="Q171" i="10"/>
  <c r="T73" i="10"/>
  <c r="T158" i="10" s="1"/>
  <c r="H120" i="10"/>
  <c r="H130" i="10"/>
  <c r="U61" i="10"/>
  <c r="T76" i="13"/>
  <c r="H112" i="13"/>
  <c r="H113" i="13"/>
  <c r="H131" i="13" s="1"/>
  <c r="H114" i="13"/>
  <c r="H132" i="13" s="1"/>
  <c r="H294" i="13"/>
  <c r="T75" i="13"/>
  <c r="T64" i="13"/>
  <c r="T72" i="11"/>
  <c r="H72" i="11"/>
  <c r="T71" i="11"/>
  <c r="T60" i="11"/>
  <c r="H118" i="11"/>
  <c r="H136" i="11" s="1"/>
  <c r="H117" i="11"/>
  <c r="H135" i="11" s="1"/>
  <c r="H116" i="11"/>
  <c r="H134" i="11" s="1"/>
  <c r="T77" i="10"/>
  <c r="T154" i="10" s="1"/>
  <c r="H112" i="11"/>
  <c r="T64" i="11"/>
  <c r="H114" i="11"/>
  <c r="H132" i="11" s="1"/>
  <c r="H294" i="11"/>
  <c r="T76" i="11"/>
  <c r="T75" i="11"/>
  <c r="H113" i="11"/>
  <c r="H131" i="11" s="1"/>
  <c r="T61" i="11"/>
  <c r="H116" i="13"/>
  <c r="H134" i="13" s="1"/>
  <c r="T60" i="13"/>
  <c r="H118" i="13"/>
  <c r="H136" i="13" s="1"/>
  <c r="T71" i="13"/>
  <c r="T72" i="13"/>
  <c r="H72" i="13"/>
  <c r="H117" i="13"/>
  <c r="H135" i="13" s="1"/>
  <c r="U65" i="10"/>
  <c r="H156" i="10"/>
  <c r="AC159" i="10"/>
  <c r="T153" i="10"/>
  <c r="W153" i="10" s="1"/>
  <c r="H153" i="10" s="1"/>
  <c r="T86" i="10"/>
  <c r="T87" i="10" s="1"/>
  <c r="U76" i="10"/>
  <c r="T65" i="13"/>
  <c r="H246" i="13"/>
  <c r="H247" i="10"/>
  <c r="H114" i="14"/>
  <c r="H109" i="14"/>
  <c r="H246" i="11"/>
  <c r="T82" i="10"/>
  <c r="T83" i="10" s="1"/>
  <c r="U72" i="10"/>
  <c r="T157" i="10"/>
  <c r="W157" i="10" s="1"/>
  <c r="H157" i="10" s="1"/>
  <c r="J66" i="11"/>
  <c r="M66" i="11"/>
  <c r="M69" i="13"/>
  <c r="J69" i="13"/>
  <c r="M61" i="11"/>
  <c r="J61" i="11"/>
  <c r="M61" i="13"/>
  <c r="J61" i="13"/>
  <c r="M66" i="13"/>
  <c r="J66" i="13"/>
  <c r="J69" i="11"/>
  <c r="M69" i="11"/>
  <c r="J131" i="10"/>
  <c r="E120" i="10"/>
  <c r="E130" i="10"/>
  <c r="M67" i="11"/>
  <c r="E294" i="11"/>
  <c r="J67" i="11"/>
  <c r="Q76" i="11"/>
  <c r="Q64" i="11"/>
  <c r="E113" i="11"/>
  <c r="E131" i="11" s="1"/>
  <c r="E114" i="11"/>
  <c r="E132" i="11" s="1"/>
  <c r="Q75" i="11"/>
  <c r="E112" i="11"/>
  <c r="R171" i="13"/>
  <c r="M68" i="13"/>
  <c r="J68" i="13"/>
  <c r="M71" i="11"/>
  <c r="J71" i="11"/>
  <c r="J63" i="13"/>
  <c r="M63" i="13"/>
  <c r="R172" i="10"/>
  <c r="M72" i="10"/>
  <c r="Q170" i="10"/>
  <c r="Q61" i="10"/>
  <c r="Q82" i="10" s="1"/>
  <c r="Q83" i="10" s="1"/>
  <c r="J72" i="10"/>
  <c r="J135" i="10"/>
  <c r="Q165" i="10"/>
  <c r="Q65" i="10"/>
  <c r="Q86" i="10" s="1"/>
  <c r="Q87" i="10" s="1"/>
  <c r="R170" i="13"/>
  <c r="M68" i="11"/>
  <c r="J68" i="11"/>
  <c r="M71" i="13"/>
  <c r="J71" i="13"/>
  <c r="Q166" i="10"/>
  <c r="R165" i="11"/>
  <c r="J64" i="13"/>
  <c r="M64" i="13"/>
  <c r="J63" i="11"/>
  <c r="M63" i="11"/>
  <c r="R72" i="10"/>
  <c r="T170" i="10"/>
  <c r="J134" i="10"/>
  <c r="E156" i="10"/>
  <c r="AC173" i="10"/>
  <c r="J132" i="10"/>
  <c r="R76" i="10"/>
  <c r="T165" i="10"/>
  <c r="R165" i="13"/>
  <c r="R166" i="11"/>
  <c r="R170" i="11"/>
  <c r="E72" i="13"/>
  <c r="E118" i="13"/>
  <c r="E136" i="13" s="1"/>
  <c r="E116" i="13"/>
  <c r="E134" i="13" s="1"/>
  <c r="Q71" i="13"/>
  <c r="J60" i="13"/>
  <c r="Q60" i="13"/>
  <c r="E117" i="13"/>
  <c r="E135" i="13" s="1"/>
  <c r="Q72" i="13"/>
  <c r="M60" i="13"/>
  <c r="J136" i="10"/>
  <c r="Q77" i="10"/>
  <c r="T166" i="10" s="1"/>
  <c r="J67" i="13"/>
  <c r="M67" i="13"/>
  <c r="E113" i="13"/>
  <c r="E131" i="13" s="1"/>
  <c r="Q64" i="13"/>
  <c r="E112" i="13"/>
  <c r="E294" i="13"/>
  <c r="Q76" i="13"/>
  <c r="Q75" i="13"/>
  <c r="E114" i="13"/>
  <c r="E132" i="13" s="1"/>
  <c r="R166" i="13"/>
  <c r="Q62" i="10"/>
  <c r="Q66" i="10"/>
  <c r="J64" i="11"/>
  <c r="M64" i="11"/>
  <c r="R171" i="11"/>
  <c r="Q73" i="10"/>
  <c r="T171" i="10" s="1"/>
  <c r="Q71" i="11"/>
  <c r="M60" i="11"/>
  <c r="Q60" i="11"/>
  <c r="E72" i="11"/>
  <c r="J60" i="11"/>
  <c r="Q72" i="11"/>
  <c r="E118" i="11"/>
  <c r="E136" i="11" s="1"/>
  <c r="E116" i="11"/>
  <c r="E134" i="11" s="1"/>
  <c r="E117" i="11"/>
  <c r="E135" i="11" s="1"/>
  <c r="G160" i="11"/>
  <c r="I160" i="11"/>
  <c r="T66" i="11" l="1"/>
  <c r="Q154" i="11" s="1"/>
  <c r="H179" i="13"/>
  <c r="G203" i="13" s="1"/>
  <c r="G219" i="13" s="1"/>
  <c r="G265" i="13" s="1"/>
  <c r="G11" i="14" s="1"/>
  <c r="S185" i="10"/>
  <c r="E206" i="10"/>
  <c r="E226" i="10" s="1"/>
  <c r="E272" i="10" s="1"/>
  <c r="G206" i="10"/>
  <c r="G226" i="10" s="1"/>
  <c r="G272" i="10" s="1"/>
  <c r="G278" i="10" s="1"/>
  <c r="I206" i="10"/>
  <c r="I226" i="10" s="1"/>
  <c r="E207" i="10"/>
  <c r="H207" i="10"/>
  <c r="H227" i="10" s="1"/>
  <c r="G205" i="13"/>
  <c r="G225" i="13" s="1"/>
  <c r="G271" i="13" s="1"/>
  <c r="G17" i="14" s="1"/>
  <c r="E253" i="10"/>
  <c r="E252" i="11"/>
  <c r="P185" i="10"/>
  <c r="U181" i="10"/>
  <c r="U186" i="10" s="1"/>
  <c r="E247" i="11"/>
  <c r="E255" i="11" s="1"/>
  <c r="E206" i="13"/>
  <c r="I205" i="13"/>
  <c r="I225" i="13" s="1"/>
  <c r="H206" i="13"/>
  <c r="J294" i="13"/>
  <c r="F299" i="13" s="1"/>
  <c r="G299" i="13" s="1"/>
  <c r="E204" i="11"/>
  <c r="I203" i="11"/>
  <c r="I219" i="11" s="1"/>
  <c r="I265" i="11" s="1"/>
  <c r="I32" i="14" s="1"/>
  <c r="F203" i="11"/>
  <c r="F219" i="11" s="1"/>
  <c r="F222" i="11" s="1"/>
  <c r="F223" i="11" s="1"/>
  <c r="F269" i="11" s="1"/>
  <c r="F36" i="14" s="1"/>
  <c r="H204" i="11"/>
  <c r="E203" i="11"/>
  <c r="H180" i="11"/>
  <c r="I205" i="11" s="1"/>
  <c r="I225" i="11" s="1"/>
  <c r="W158" i="10"/>
  <c r="H158" i="10" s="1"/>
  <c r="H228" i="10" s="1"/>
  <c r="H205" i="10"/>
  <c r="H221" i="10" s="1"/>
  <c r="F204" i="10"/>
  <c r="F220" i="10" s="1"/>
  <c r="F223" i="10" s="1"/>
  <c r="F224" i="10" s="1"/>
  <c r="F270" i="10" s="1"/>
  <c r="F68" i="14" s="1"/>
  <c r="H181" i="10"/>
  <c r="E205" i="10"/>
  <c r="G204" i="10"/>
  <c r="G220" i="10" s="1"/>
  <c r="G266" i="10" s="1"/>
  <c r="G277" i="10" s="1"/>
  <c r="W154" i="10"/>
  <c r="H154" i="10" s="1"/>
  <c r="H222" i="10" s="1"/>
  <c r="I204" i="10"/>
  <c r="I220" i="10" s="1"/>
  <c r="I266" i="10" s="1"/>
  <c r="I277" i="10" s="1"/>
  <c r="Q77" i="11"/>
  <c r="T166" i="11" s="1"/>
  <c r="H117" i="14"/>
  <c r="E248" i="10"/>
  <c r="E256" i="10" s="1"/>
  <c r="Q166" i="11"/>
  <c r="T62" i="13"/>
  <c r="Q158" i="13" s="1"/>
  <c r="Q171" i="13"/>
  <c r="E117" i="14"/>
  <c r="E247" i="13"/>
  <c r="E255" i="13" s="1"/>
  <c r="E115" i="14"/>
  <c r="T62" i="11"/>
  <c r="Q158" i="11" s="1"/>
  <c r="T77" i="11"/>
  <c r="T154" i="11" s="1"/>
  <c r="I160" i="13"/>
  <c r="F255" i="11"/>
  <c r="F256" i="10"/>
  <c r="F118" i="14"/>
  <c r="F119" i="14" s="1"/>
  <c r="F251" i="11"/>
  <c r="F252" i="10"/>
  <c r="F257" i="10" s="1"/>
  <c r="F251" i="13"/>
  <c r="F256" i="13" s="1"/>
  <c r="F255" i="13"/>
  <c r="Q166" i="13"/>
  <c r="F225" i="13"/>
  <c r="F160" i="13"/>
  <c r="C122" i="10"/>
  <c r="J294" i="11"/>
  <c r="F299" i="11" s="1"/>
  <c r="G299" i="11" s="1"/>
  <c r="T73" i="13"/>
  <c r="T158" i="13" s="1"/>
  <c r="Z157" i="10"/>
  <c r="Z153" i="10"/>
  <c r="H156" i="13"/>
  <c r="AC159" i="13"/>
  <c r="H247" i="13"/>
  <c r="H255" i="13" s="1"/>
  <c r="H248" i="10"/>
  <c r="H256" i="10" s="1"/>
  <c r="H247" i="11"/>
  <c r="H255" i="11" s="1"/>
  <c r="U65" i="11"/>
  <c r="H295" i="13"/>
  <c r="Q157" i="11"/>
  <c r="U61" i="11"/>
  <c r="U76" i="11"/>
  <c r="T86" i="11"/>
  <c r="T87" i="11" s="1"/>
  <c r="T153" i="11"/>
  <c r="W153" i="11" s="1"/>
  <c r="H153" i="11" s="1"/>
  <c r="H120" i="11"/>
  <c r="H130" i="11"/>
  <c r="AC159" i="11"/>
  <c r="H156" i="11"/>
  <c r="T73" i="11"/>
  <c r="T158" i="11" s="1"/>
  <c r="T77" i="13"/>
  <c r="T154" i="13" s="1"/>
  <c r="H130" i="13"/>
  <c r="H120" i="13"/>
  <c r="U61" i="13"/>
  <c r="H252" i="11"/>
  <c r="H252" i="13"/>
  <c r="H253" i="10"/>
  <c r="U65" i="13"/>
  <c r="Q153" i="13"/>
  <c r="T82" i="11"/>
  <c r="T83" i="11" s="1"/>
  <c r="U72" i="11"/>
  <c r="T157" i="11"/>
  <c r="U76" i="13"/>
  <c r="T86" i="13"/>
  <c r="T87" i="13" s="1"/>
  <c r="T153" i="13"/>
  <c r="T66" i="13"/>
  <c r="Q154" i="13" s="1"/>
  <c r="H115" i="14"/>
  <c r="T157" i="13"/>
  <c r="W157" i="13" s="1"/>
  <c r="H157" i="13" s="1"/>
  <c r="T82" i="13"/>
  <c r="T83" i="13" s="1"/>
  <c r="U72" i="13"/>
  <c r="H295" i="11"/>
  <c r="H138" i="10"/>
  <c r="AC155" i="10"/>
  <c r="H152" i="10"/>
  <c r="Q77" i="13"/>
  <c r="T166" i="13" s="1"/>
  <c r="Q66" i="13"/>
  <c r="J135" i="13"/>
  <c r="T170" i="11"/>
  <c r="R72" i="11"/>
  <c r="M72" i="11"/>
  <c r="Q170" i="11"/>
  <c r="Q61" i="11"/>
  <c r="Q82" i="11" s="1"/>
  <c r="Q83" i="11" s="1"/>
  <c r="Q171" i="11"/>
  <c r="J136" i="13"/>
  <c r="AC173" i="13"/>
  <c r="E156" i="13"/>
  <c r="J134" i="13"/>
  <c r="Z172" i="10"/>
  <c r="Q168" i="10"/>
  <c r="J131" i="11"/>
  <c r="E152" i="10"/>
  <c r="J130" i="10"/>
  <c r="E138" i="10"/>
  <c r="AC168" i="10"/>
  <c r="AC175" i="10" s="1"/>
  <c r="J135" i="11"/>
  <c r="Q73" i="11"/>
  <c r="T171" i="11" s="1"/>
  <c r="Q62" i="11"/>
  <c r="T165" i="13"/>
  <c r="R76" i="13"/>
  <c r="J131" i="13"/>
  <c r="U166" i="10"/>
  <c r="X166" i="10" s="1"/>
  <c r="E154" i="10" s="1"/>
  <c r="W166" i="10"/>
  <c r="M72" i="13"/>
  <c r="Q61" i="13"/>
  <c r="Q82" i="13" s="1"/>
  <c r="Q83" i="13" s="1"/>
  <c r="Q170" i="13"/>
  <c r="E130" i="11"/>
  <c r="E120" i="11"/>
  <c r="AC173" i="11"/>
  <c r="J134" i="11"/>
  <c r="E156" i="11"/>
  <c r="E295" i="11"/>
  <c r="J72" i="11"/>
  <c r="U171" i="10"/>
  <c r="X171" i="10" s="1"/>
  <c r="E158" i="10" s="1"/>
  <c r="W171" i="10"/>
  <c r="E295" i="13"/>
  <c r="J72" i="13"/>
  <c r="E205" i="13"/>
  <c r="Q66" i="11"/>
  <c r="U165" i="10"/>
  <c r="X165" i="10" s="1"/>
  <c r="E153" i="10" s="1"/>
  <c r="W165" i="10"/>
  <c r="U170" i="10"/>
  <c r="X170" i="10" s="1"/>
  <c r="E157" i="10" s="1"/>
  <c r="W170" i="10"/>
  <c r="Q173" i="10"/>
  <c r="J136" i="11"/>
  <c r="J132" i="13"/>
  <c r="E120" i="13"/>
  <c r="E130" i="13"/>
  <c r="Q65" i="13"/>
  <c r="Q86" i="13" s="1"/>
  <c r="Q87" i="13" s="1"/>
  <c r="Q165" i="13"/>
  <c r="R72" i="13"/>
  <c r="T170" i="13"/>
  <c r="Q73" i="13"/>
  <c r="T171" i="13" s="1"/>
  <c r="Q62" i="13"/>
  <c r="J132" i="11"/>
  <c r="R76" i="11"/>
  <c r="T165" i="11"/>
  <c r="Q165" i="11"/>
  <c r="Q65" i="11"/>
  <c r="Q86" i="11" s="1"/>
  <c r="Q87" i="11" s="1"/>
  <c r="G276" i="11"/>
  <c r="G22" i="14" l="1"/>
  <c r="G43" i="14"/>
  <c r="W154" i="11"/>
  <c r="H154" i="11" s="1"/>
  <c r="F203" i="13"/>
  <c r="F219" i="13" s="1"/>
  <c r="F222" i="13" s="1"/>
  <c r="F223" i="13" s="1"/>
  <c r="F269" i="13" s="1"/>
  <c r="F15" i="14" s="1"/>
  <c r="H204" i="13"/>
  <c r="E204" i="13"/>
  <c r="E203" i="13"/>
  <c r="G276" i="13"/>
  <c r="I203" i="13"/>
  <c r="I219" i="13" s="1"/>
  <c r="I265" i="13" s="1"/>
  <c r="I11" i="14" s="1"/>
  <c r="H181" i="13"/>
  <c r="I202" i="13" s="1"/>
  <c r="I229" i="13" s="1"/>
  <c r="G70" i="14"/>
  <c r="G76" i="14" s="1"/>
  <c r="U185" i="10"/>
  <c r="E203" i="10"/>
  <c r="I276" i="11"/>
  <c r="I64" i="14"/>
  <c r="I75" i="14" s="1"/>
  <c r="G205" i="11"/>
  <c r="G225" i="11" s="1"/>
  <c r="G271" i="11" s="1"/>
  <c r="G38" i="14" s="1"/>
  <c r="F205" i="11"/>
  <c r="F225" i="11" s="1"/>
  <c r="F271" i="11" s="1"/>
  <c r="F38" i="14" s="1"/>
  <c r="E205" i="11"/>
  <c r="E225" i="11" s="1"/>
  <c r="E271" i="11" s="1"/>
  <c r="E38" i="14" s="1"/>
  <c r="H181" i="11"/>
  <c r="G202" i="11" s="1"/>
  <c r="G229" i="11" s="1"/>
  <c r="E206" i="11"/>
  <c r="H206" i="11"/>
  <c r="H203" i="10"/>
  <c r="F203" i="10"/>
  <c r="F230" i="10" s="1"/>
  <c r="Z158" i="10"/>
  <c r="Z159" i="10" s="1"/>
  <c r="Z154" i="10"/>
  <c r="Z155" i="10" s="1"/>
  <c r="F268" i="11"/>
  <c r="F35" i="14" s="1"/>
  <c r="F269" i="10"/>
  <c r="F67" i="14" s="1"/>
  <c r="F75" i="14" s="1"/>
  <c r="I203" i="10"/>
  <c r="I230" i="10" s="1"/>
  <c r="G203" i="10"/>
  <c r="G230" i="10" s="1"/>
  <c r="G277" i="13"/>
  <c r="G64" i="14"/>
  <c r="G75" i="14" s="1"/>
  <c r="J117" i="14"/>
  <c r="W166" i="11"/>
  <c r="U166" i="11"/>
  <c r="X166" i="11" s="1"/>
  <c r="E154" i="11" s="1"/>
  <c r="E221" i="11" s="1"/>
  <c r="E267" i="11" s="1"/>
  <c r="E34" i="14" s="1"/>
  <c r="W166" i="13"/>
  <c r="W158" i="13"/>
  <c r="H158" i="13" s="1"/>
  <c r="H227" i="13" s="1"/>
  <c r="C122" i="13"/>
  <c r="W157" i="11"/>
  <c r="H157" i="11" s="1"/>
  <c r="E118" i="14"/>
  <c r="E119" i="14" s="1"/>
  <c r="J295" i="13"/>
  <c r="F300" i="13" s="1"/>
  <c r="G300" i="13" s="1"/>
  <c r="G301" i="13" s="1"/>
  <c r="E253" i="13"/>
  <c r="E256" i="13" s="1"/>
  <c r="E257" i="13" s="1"/>
  <c r="E254" i="10"/>
  <c r="E257" i="10" s="1"/>
  <c r="E258" i="10" s="1"/>
  <c r="F258" i="10"/>
  <c r="E253" i="11"/>
  <c r="E256" i="11" s="1"/>
  <c r="E257" i="11" s="1"/>
  <c r="F257" i="13"/>
  <c r="F272" i="10"/>
  <c r="F278" i="10" s="1"/>
  <c r="W158" i="11"/>
  <c r="H158" i="11" s="1"/>
  <c r="Z158" i="11" s="1"/>
  <c r="F271" i="13"/>
  <c r="F17" i="14" s="1"/>
  <c r="F256" i="11"/>
  <c r="F257" i="11" s="1"/>
  <c r="G279" i="10"/>
  <c r="G282" i="10" s="1"/>
  <c r="W154" i="13"/>
  <c r="H154" i="13" s="1"/>
  <c r="Z154" i="13" s="1"/>
  <c r="J295" i="11"/>
  <c r="F300" i="11" s="1"/>
  <c r="G300" i="11" s="1"/>
  <c r="G301" i="11" s="1"/>
  <c r="H268" i="10"/>
  <c r="H66" i="14" s="1"/>
  <c r="C122" i="11"/>
  <c r="W153" i="13"/>
  <c r="H153" i="13" s="1"/>
  <c r="Z157" i="13"/>
  <c r="H226" i="13"/>
  <c r="H272" i="13" s="1"/>
  <c r="H18" i="14" s="1"/>
  <c r="J255" i="13"/>
  <c r="J255" i="11"/>
  <c r="H253" i="13"/>
  <c r="H256" i="13" s="1"/>
  <c r="H254" i="10"/>
  <c r="H274" i="10" s="1"/>
  <c r="H72" i="14" s="1"/>
  <c r="H253" i="11"/>
  <c r="H256" i="11" s="1"/>
  <c r="H138" i="11"/>
  <c r="AC155" i="11"/>
  <c r="H152" i="11"/>
  <c r="H230" i="10"/>
  <c r="H267" i="10"/>
  <c r="H118" i="14"/>
  <c r="AC155" i="13"/>
  <c r="H138" i="13"/>
  <c r="H152" i="13"/>
  <c r="H273" i="10"/>
  <c r="Z153" i="11"/>
  <c r="H220" i="11"/>
  <c r="J256" i="10"/>
  <c r="N256" i="10" s="1"/>
  <c r="H160" i="10"/>
  <c r="Z165" i="10"/>
  <c r="E221" i="10"/>
  <c r="E267" i="10" s="1"/>
  <c r="E65" i="14" s="1"/>
  <c r="E222" i="10"/>
  <c r="E268" i="10" s="1"/>
  <c r="E66" i="14" s="1"/>
  <c r="Z166" i="10"/>
  <c r="Z172" i="11"/>
  <c r="J138" i="10"/>
  <c r="C140" i="10"/>
  <c r="C161" i="10" s="1"/>
  <c r="U170" i="13"/>
  <c r="X170" i="13" s="1"/>
  <c r="E157" i="13" s="1"/>
  <c r="W170" i="13"/>
  <c r="E228" i="10"/>
  <c r="Z171" i="10"/>
  <c r="AC168" i="11"/>
  <c r="AC175" i="11" s="1"/>
  <c r="E138" i="11"/>
  <c r="E152" i="11"/>
  <c r="J130" i="11"/>
  <c r="U165" i="13"/>
  <c r="X165" i="13" s="1"/>
  <c r="E153" i="13" s="1"/>
  <c r="W165" i="13"/>
  <c r="E138" i="13"/>
  <c r="E152" i="13"/>
  <c r="J130" i="13"/>
  <c r="AC168" i="13"/>
  <c r="AC175" i="13" s="1"/>
  <c r="E220" i="10"/>
  <c r="E266" i="10" s="1"/>
  <c r="Z167" i="10"/>
  <c r="E160" i="10"/>
  <c r="W165" i="11"/>
  <c r="U165" i="11"/>
  <c r="X165" i="11" s="1"/>
  <c r="E153" i="11" s="1"/>
  <c r="W171" i="13"/>
  <c r="U171" i="13"/>
  <c r="X171" i="13" s="1"/>
  <c r="E158" i="13" s="1"/>
  <c r="E227" i="10"/>
  <c r="E273" i="10" s="1"/>
  <c r="E71" i="14" s="1"/>
  <c r="Z170" i="10"/>
  <c r="W171" i="11"/>
  <c r="U171" i="11"/>
  <c r="X171" i="11" s="1"/>
  <c r="E158" i="11" s="1"/>
  <c r="Z172" i="13"/>
  <c r="E225" i="13"/>
  <c r="E271" i="13" s="1"/>
  <c r="E17" i="14" s="1"/>
  <c r="U166" i="13"/>
  <c r="X166" i="13" s="1"/>
  <c r="E154" i="13" s="1"/>
  <c r="W170" i="11"/>
  <c r="U170" i="11"/>
  <c r="X170" i="11" s="1"/>
  <c r="E157" i="11" s="1"/>
  <c r="E70" i="14"/>
  <c r="I22" i="14" l="1"/>
  <c r="I43" i="14"/>
  <c r="Z154" i="11"/>
  <c r="Z155" i="11" s="1"/>
  <c r="H221" i="11"/>
  <c r="H267" i="11" s="1"/>
  <c r="H34" i="14" s="1"/>
  <c r="G278" i="13"/>
  <c r="G282" i="13" s="1"/>
  <c r="H202" i="13"/>
  <c r="H220" i="13"/>
  <c r="H266" i="13" s="1"/>
  <c r="H12" i="14" s="1"/>
  <c r="I276" i="13"/>
  <c r="E202" i="13"/>
  <c r="F268" i="13"/>
  <c r="F14" i="14" s="1"/>
  <c r="G202" i="13"/>
  <c r="G229" i="13" s="1"/>
  <c r="F202" i="13"/>
  <c r="F229" i="13" s="1"/>
  <c r="G44" i="14"/>
  <c r="G45" i="14" s="1"/>
  <c r="G23" i="14"/>
  <c r="G24" i="14" s="1"/>
  <c r="F89" i="14"/>
  <c r="F23" i="14"/>
  <c r="F44" i="14"/>
  <c r="G277" i="11"/>
  <c r="G278" i="11" s="1"/>
  <c r="G282" i="11" s="1"/>
  <c r="Z166" i="11"/>
  <c r="I202" i="11"/>
  <c r="I229" i="11" s="1"/>
  <c r="E202" i="11"/>
  <c r="H202" i="11"/>
  <c r="F202" i="11"/>
  <c r="F229" i="11" s="1"/>
  <c r="G85" i="14"/>
  <c r="F277" i="10"/>
  <c r="F279" i="10" s="1"/>
  <c r="F282" i="10" s="1"/>
  <c r="F276" i="11"/>
  <c r="Z157" i="11"/>
  <c r="Z159" i="11" s="1"/>
  <c r="E274" i="10"/>
  <c r="E72" i="14" s="1"/>
  <c r="E76" i="14" s="1"/>
  <c r="G77" i="14"/>
  <c r="Z158" i="13"/>
  <c r="Z159" i="13" s="1"/>
  <c r="H226" i="11"/>
  <c r="H272" i="11" s="1"/>
  <c r="H39" i="14" s="1"/>
  <c r="F70" i="14"/>
  <c r="F76" i="14" s="1"/>
  <c r="F77" i="14" s="1"/>
  <c r="H227" i="11"/>
  <c r="H273" i="11" s="1"/>
  <c r="H40" i="14" s="1"/>
  <c r="Z173" i="10"/>
  <c r="F277" i="13"/>
  <c r="H221" i="13"/>
  <c r="H267" i="13" s="1"/>
  <c r="H13" i="14" s="1"/>
  <c r="Z153" i="13"/>
  <c r="Z155" i="13" s="1"/>
  <c r="F277" i="11"/>
  <c r="G283" i="10"/>
  <c r="H257" i="11"/>
  <c r="H257" i="13"/>
  <c r="H266" i="11"/>
  <c r="H33" i="14" s="1"/>
  <c r="M256" i="10"/>
  <c r="H257" i="10"/>
  <c r="H119" i="14"/>
  <c r="H160" i="11"/>
  <c r="H71" i="14"/>
  <c r="H76" i="14" s="1"/>
  <c r="H278" i="10"/>
  <c r="H277" i="10"/>
  <c r="H65" i="14"/>
  <c r="H75" i="14" s="1"/>
  <c r="H160" i="13"/>
  <c r="H273" i="13"/>
  <c r="H19" i="14" s="1"/>
  <c r="E226" i="11"/>
  <c r="E272" i="11" s="1"/>
  <c r="E39" i="14" s="1"/>
  <c r="Z170" i="11"/>
  <c r="E227" i="11"/>
  <c r="E273" i="11" s="1"/>
  <c r="E40" i="14" s="1"/>
  <c r="Z171" i="11"/>
  <c r="E220" i="13"/>
  <c r="E266" i="13" s="1"/>
  <c r="E12" i="14" s="1"/>
  <c r="Z165" i="13"/>
  <c r="Z170" i="13"/>
  <c r="E226" i="13"/>
  <c r="E272" i="13" s="1"/>
  <c r="E18" i="14" s="1"/>
  <c r="E221" i="13"/>
  <c r="E267" i="13" s="1"/>
  <c r="E13" i="14" s="1"/>
  <c r="Z166" i="13"/>
  <c r="E230" i="10"/>
  <c r="C296" i="10" s="1"/>
  <c r="C140" i="11"/>
  <c r="C161" i="11" s="1"/>
  <c r="J138" i="11"/>
  <c r="Z168" i="10"/>
  <c r="E277" i="10"/>
  <c r="E64" i="14"/>
  <c r="E75" i="14" s="1"/>
  <c r="E219" i="13"/>
  <c r="E265" i="13" s="1"/>
  <c r="E11" i="14" s="1"/>
  <c r="E160" i="13"/>
  <c r="Z167" i="13"/>
  <c r="E227" i="13"/>
  <c r="E273" i="13" s="1"/>
  <c r="E19" i="14" s="1"/>
  <c r="Z171" i="13"/>
  <c r="C140" i="13"/>
  <c r="C161" i="13" s="1"/>
  <c r="J138" i="13"/>
  <c r="Z167" i="11"/>
  <c r="E160" i="11"/>
  <c r="E219" i="11"/>
  <c r="E265" i="11" s="1"/>
  <c r="E32" i="14" s="1"/>
  <c r="E220" i="11"/>
  <c r="E266" i="11" s="1"/>
  <c r="E33" i="14" s="1"/>
  <c r="Z165" i="11"/>
  <c r="I85" i="14" l="1"/>
  <c r="F43" i="14"/>
  <c r="F45" i="14" s="1"/>
  <c r="F22" i="14"/>
  <c r="F24" i="14" s="1"/>
  <c r="G281" i="13"/>
  <c r="F276" i="13"/>
  <c r="F278" i="13" s="1"/>
  <c r="F281" i="13" s="1"/>
  <c r="E87" i="14"/>
  <c r="H87" i="14"/>
  <c r="G91" i="14"/>
  <c r="O167" i="14"/>
  <c r="H44" i="14"/>
  <c r="G281" i="11"/>
  <c r="G96" i="14"/>
  <c r="E278" i="10"/>
  <c r="E279" i="10" s="1"/>
  <c r="F283" i="10"/>
  <c r="H277" i="11"/>
  <c r="H229" i="11"/>
  <c r="H229" i="13"/>
  <c r="F91" i="14"/>
  <c r="F278" i="11"/>
  <c r="F281" i="11" s="1"/>
  <c r="Z168" i="11"/>
  <c r="H277" i="13"/>
  <c r="H77" i="14"/>
  <c r="H276" i="11"/>
  <c r="H276" i="13"/>
  <c r="H279" i="10"/>
  <c r="H282" i="10" s="1"/>
  <c r="H258" i="10"/>
  <c r="E277" i="13"/>
  <c r="Z168" i="13"/>
  <c r="Z173" i="11"/>
  <c r="E91" i="14"/>
  <c r="E229" i="11"/>
  <c r="J75" i="14"/>
  <c r="E77" i="14"/>
  <c r="E277" i="11"/>
  <c r="J277" i="10"/>
  <c r="D297" i="10"/>
  <c r="N297" i="10"/>
  <c r="Z173" i="13"/>
  <c r="E229" i="13"/>
  <c r="E276" i="11"/>
  <c r="E276" i="13"/>
  <c r="I96" i="14" l="1"/>
  <c r="I130" i="14"/>
  <c r="F88" i="14"/>
  <c r="O166" i="14" s="1"/>
  <c r="G97" i="14"/>
  <c r="G98" i="14" s="1"/>
  <c r="H93" i="14"/>
  <c r="H23" i="14"/>
  <c r="H92" i="14"/>
  <c r="E23" i="14"/>
  <c r="E92" i="14"/>
  <c r="E93" i="14"/>
  <c r="E44" i="14"/>
  <c r="E86" i="14"/>
  <c r="E43" i="14"/>
  <c r="E136" i="14"/>
  <c r="F282" i="13"/>
  <c r="H132" i="14"/>
  <c r="H43" i="14"/>
  <c r="H45" i="14" s="1"/>
  <c r="H278" i="11"/>
  <c r="H281" i="11" s="1"/>
  <c r="F97" i="14"/>
  <c r="F282" i="11"/>
  <c r="H22" i="14"/>
  <c r="H86" i="14"/>
  <c r="H283" i="10"/>
  <c r="H278" i="13"/>
  <c r="H282" i="13" s="1"/>
  <c r="N303" i="10"/>
  <c r="T303" i="10" s="1"/>
  <c r="C303" i="10"/>
  <c r="I303" i="10" s="1"/>
  <c r="E278" i="13"/>
  <c r="J276" i="13"/>
  <c r="E283" i="10"/>
  <c r="E22" i="14"/>
  <c r="E85" i="14"/>
  <c r="E282" i="10"/>
  <c r="J276" i="11"/>
  <c r="E278" i="11"/>
  <c r="F96" i="14" l="1"/>
  <c r="F98" i="14" s="1"/>
  <c r="O165" i="14"/>
  <c r="F168" i="14" s="1"/>
  <c r="H138" i="14"/>
  <c r="H97" i="14"/>
  <c r="H137" i="14"/>
  <c r="H24" i="14"/>
  <c r="E45" i="14"/>
  <c r="E97" i="14"/>
  <c r="E130" i="14"/>
  <c r="J43" i="14"/>
  <c r="H282" i="11"/>
  <c r="H281" i="13"/>
  <c r="H131" i="14"/>
  <c r="H96" i="14"/>
  <c r="E282" i="13"/>
  <c r="C307" i="11"/>
  <c r="G307" i="11" s="1"/>
  <c r="E96" i="14"/>
  <c r="E282" i="11"/>
  <c r="E24" i="14"/>
  <c r="J22" i="14"/>
  <c r="E281" i="13"/>
  <c r="E281" i="11"/>
  <c r="C307" i="13"/>
  <c r="G307" i="13" s="1"/>
  <c r="F169" i="14" l="1"/>
  <c r="H98" i="14"/>
  <c r="E98" i="14"/>
  <c r="J96" i="14"/>
  <c r="H140" i="14" l="1"/>
  <c r="I251" i="11" l="1"/>
  <c r="I256" i="11" s="1"/>
  <c r="I251" i="13" l="1"/>
  <c r="I252" i="10"/>
  <c r="I272" i="10" s="1"/>
  <c r="I118" i="14"/>
  <c r="I119" i="14" s="1"/>
  <c r="J119" i="14" s="1"/>
  <c r="I257" i="11"/>
  <c r="J257" i="11" s="1"/>
  <c r="J256" i="11"/>
  <c r="I271" i="11"/>
  <c r="I38" i="14" s="1"/>
  <c r="I257" i="10" l="1"/>
  <c r="I258" i="10" s="1"/>
  <c r="J258" i="10" s="1"/>
  <c r="J118" i="14"/>
  <c r="I256" i="13"/>
  <c r="I271" i="13"/>
  <c r="I17" i="14" s="1"/>
  <c r="I278" i="10"/>
  <c r="I70" i="14"/>
  <c r="I76" i="14" s="1"/>
  <c r="I277" i="11"/>
  <c r="I44" i="14" l="1"/>
  <c r="J44" i="14" s="1"/>
  <c r="J257" i="10"/>
  <c r="M257" i="10" s="1"/>
  <c r="M258" i="10" s="1"/>
  <c r="J256" i="13"/>
  <c r="I257" i="13"/>
  <c r="J257" i="13" s="1"/>
  <c r="I277" i="13"/>
  <c r="I23" i="14"/>
  <c r="I24" i="14" s="1"/>
  <c r="J24" i="14" s="1"/>
  <c r="J277" i="11"/>
  <c r="I278" i="11"/>
  <c r="I282" i="11" s="1"/>
  <c r="J76" i="14"/>
  <c r="I77" i="14"/>
  <c r="J77" i="14" s="1"/>
  <c r="J278" i="10"/>
  <c r="I279" i="10"/>
  <c r="I45" i="14" l="1"/>
  <c r="J45" i="14" s="1"/>
  <c r="G130" i="14"/>
  <c r="G136" i="14"/>
  <c r="G140" i="14"/>
  <c r="E131" i="14"/>
  <c r="E132" i="14"/>
  <c r="E137" i="14"/>
  <c r="E138" i="14"/>
  <c r="E140" i="14"/>
  <c r="F134" i="14"/>
  <c r="F136" i="14"/>
  <c r="F133" i="14"/>
  <c r="F140" i="14"/>
  <c r="N257" i="10"/>
  <c r="J23" i="14"/>
  <c r="J277" i="13"/>
  <c r="I278" i="13"/>
  <c r="I91" i="14"/>
  <c r="C308" i="11"/>
  <c r="G308" i="11" s="1"/>
  <c r="I282" i="10"/>
  <c r="J279" i="10"/>
  <c r="J282" i="10" s="1"/>
  <c r="N304" i="10"/>
  <c r="T304" i="10" s="1"/>
  <c r="C304" i="10"/>
  <c r="I304" i="10" s="1"/>
  <c r="I283" i="10"/>
  <c r="J278" i="11"/>
  <c r="J282" i="11" s="1"/>
  <c r="I281" i="11"/>
  <c r="N258" i="10" l="1"/>
  <c r="I308" i="10"/>
  <c r="I307" i="10"/>
  <c r="I136" i="14"/>
  <c r="I97" i="14"/>
  <c r="C308" i="13"/>
  <c r="G308" i="13" s="1"/>
  <c r="I282" i="13"/>
  <c r="J278" i="13"/>
  <c r="I281" i="13"/>
  <c r="J281" i="11"/>
  <c r="C291" i="11"/>
  <c r="J283" i="10"/>
  <c r="C291" i="13" l="1"/>
  <c r="J281" i="13"/>
  <c r="I98" i="14"/>
  <c r="J97" i="14"/>
  <c r="J282" i="13"/>
  <c r="I140" i="14" l="1"/>
  <c r="J98" i="14"/>
  <c r="C150" i="14" s="1"/>
  <c r="D151" i="14" l="1"/>
  <c r="D152" i="14"/>
  <c r="F163" i="14" l="1"/>
  <c r="G163" i="14"/>
  <c r="G171" i="14"/>
  <c r="I175" i="14"/>
  <c r="E175" i="14"/>
  <c r="F175" i="14"/>
  <c r="E165" i="14"/>
  <c r="I163" i="14"/>
  <c r="H172" i="14"/>
  <c r="F171" i="14"/>
  <c r="E164" i="14"/>
  <c r="H173" i="14"/>
  <c r="H165" i="14"/>
  <c r="E173" i="14"/>
  <c r="G175" i="14"/>
  <c r="I171" i="14"/>
  <c r="H175" i="14"/>
  <c r="E163" i="14"/>
  <c r="E171" i="14"/>
  <c r="H164" i="14"/>
  <c r="E17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</authors>
  <commentList>
    <comment ref="R6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NERA Jan 2016 update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2963</author>
  </authors>
  <commentList>
    <comment ref="R6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D7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NERA
</t>
        </r>
        <r>
          <rPr>
            <sz val="8"/>
            <color indexed="81"/>
            <rFont val="Tahoma"/>
            <family val="2"/>
          </rPr>
          <t>Summer: 201406-201609
Winter:201403-201702</t>
        </r>
      </text>
    </comment>
  </commentList>
</comments>
</file>

<file path=xl/sharedStrings.xml><?xml version="1.0" encoding="utf-8"?>
<sst xmlns="http://schemas.openxmlformats.org/spreadsheetml/2006/main" count="1573" uniqueCount="330">
  <si>
    <t>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</si>
  <si>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</si>
  <si>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</si>
  <si>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</si>
  <si>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</si>
  <si>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</si>
  <si>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</si>
  <si>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</si>
  <si>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</si>
  <si>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</si>
  <si>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</si>
  <si>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</si>
  <si>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</si>
  <si>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</si>
  <si>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On-Peak</t>
  </si>
  <si>
    <t>Off-Peak</t>
  </si>
  <si>
    <t>Annual</t>
  </si>
  <si>
    <t>Summer - all hrs</t>
  </si>
  <si>
    <t>Winter - all hrs</t>
  </si>
  <si>
    <t>Forwards Prices - Energy Only @ bulk system</t>
  </si>
  <si>
    <t>Expansion Factor =</t>
  </si>
  <si>
    <t>in $/MWh</t>
  </si>
  <si>
    <t>Losses</t>
  </si>
  <si>
    <t>Loss Factors =</t>
  </si>
  <si>
    <t>Profile Meter Data</t>
  </si>
  <si>
    <t>Summer</t>
  </si>
  <si>
    <t>Winter</t>
  </si>
  <si>
    <t>On-Peak periods defined as the 16 hr PJM Trading period, adj for NERC holidays</t>
  </si>
  <si>
    <t>winter MWh =</t>
  </si>
  <si>
    <t>summer MWh =</t>
  </si>
  <si>
    <t>Table #1</t>
  </si>
  <si>
    <t>Table #2</t>
  </si>
  <si>
    <t>Table #5</t>
  </si>
  <si>
    <t>Table #6</t>
  </si>
  <si>
    <t>Table #7</t>
  </si>
  <si>
    <t>Table #8</t>
  </si>
  <si>
    <t>Table #3</t>
  </si>
  <si>
    <t>Table #4</t>
  </si>
  <si>
    <t>in MWh</t>
  </si>
  <si>
    <t>N/A</t>
  </si>
  <si>
    <t>----</t>
  </si>
  <si>
    <t>PJM on pk</t>
  </si>
  <si>
    <t>PJM off pk</t>
  </si>
  <si>
    <t>in $1000</t>
  </si>
  <si>
    <t>System Total</t>
  </si>
  <si>
    <t>Adjusted to Billing Time Periods</t>
  </si>
  <si>
    <t>On-Peak periods as defined in specified rate schedule</t>
  </si>
  <si>
    <t>% Usage During PJM On-Peak Period</t>
  </si>
  <si>
    <t>Class Usage @ customer</t>
  </si>
  <si>
    <t>Summary of Average BGS Energy Only Costs @ customer - PJM Time Periods</t>
  </si>
  <si>
    <t>Development of Post Transition Period BGS Cost and Bid Factors</t>
  </si>
  <si>
    <t>Summary of Average BGS Energy Only Unit Costs @ customer - PJM Time Periods</t>
  </si>
  <si>
    <t>RT</t>
  </si>
  <si>
    <t>GS</t>
  </si>
  <si>
    <t>GST</t>
  </si>
  <si>
    <t>OL/SL</t>
  </si>
  <si>
    <t>Other Analysis</t>
  </si>
  <si>
    <t>% Usage During JCP&amp;L On-Peak Billing Period</t>
  </si>
  <si>
    <t>Delta between PJM and Tariff based On-Peak kWh</t>
  </si>
  <si>
    <t>WH</t>
  </si>
  <si>
    <t>RGT</t>
  </si>
  <si>
    <t>RT{1}</t>
  </si>
  <si>
    <t>RS{2}</t>
  </si>
  <si>
    <t>WH RS</t>
  </si>
  <si>
    <t>WH GS</t>
  </si>
  <si>
    <t>GS{3}</t>
  </si>
  <si>
    <t xml:space="preserve">{2} For BGS purposes the RS rate class excludes the Off-Peak and Controlled Water Heating provisions and includes  </t>
  </si>
  <si>
    <t xml:space="preserve">     the winter billing month RGT rate class usage</t>
  </si>
  <si>
    <t>{3} For BGS purposes the GS rate class excludes the Off-Peak and Controlled Water Heating provisions</t>
  </si>
  <si>
    <t xml:space="preserve">Jersey Central Power &amp; Light </t>
  </si>
  <si>
    <t>Table #9</t>
  </si>
  <si>
    <t>Summary of Average BGS Energy Only Unit Costs @ customer - JCP&amp;L Time Periods</t>
  </si>
  <si>
    <t>JCP&amp;L On pk</t>
  </si>
  <si>
    <t>JCP&amp;L Off pk</t>
  </si>
  <si>
    <t>Annual Average</t>
  </si>
  <si>
    <t>System Average</t>
  </si>
  <si>
    <t>Table #10</t>
  </si>
  <si>
    <t>in MW</t>
  </si>
  <si>
    <t>Gen Obl - MW</t>
  </si>
  <si>
    <t>Trans Obl - MW</t>
  </si>
  <si>
    <t xml:space="preserve">Not applicable for JCP&amp;L - Transmission rates are based on Retail Tariff rates for the respective rate classes 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</si>
  <si>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</si>
  <si>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</si>
  <si>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</si>
  <si>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</si>
  <si>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</si>
  <si>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</si>
  <si>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</si>
  <si>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$/MW/day</t>
  </si>
  <si>
    <t>Table #11</t>
  </si>
  <si>
    <t>Ancillary Services</t>
  </si>
  <si>
    <t>forecasted overall annual average</t>
  </si>
  <si>
    <t>$/MWh</t>
  </si>
  <si>
    <t>Table #12</t>
  </si>
  <si>
    <t>Transmission Obl - all months</t>
  </si>
  <si>
    <t>Table #13</t>
  </si>
  <si>
    <t>Summary of BGS Unit Costs @ customer</t>
  </si>
  <si>
    <t>NON-DEMAND RATES</t>
  </si>
  <si>
    <t>Annual -all hrs</t>
  </si>
  <si>
    <t>DEMAND RATES</t>
  </si>
  <si>
    <t>includes energy and Ancillary Services, G&amp;T obligations charged separately - adjusted to billing time periods</t>
  </si>
  <si>
    <t>JCP&amp;L does not have a demand component in its BGS charges</t>
  </si>
  <si>
    <t>ALL RATES</t>
  </si>
  <si>
    <t>Grand Total Cost in $1000 =</t>
  </si>
  <si>
    <t>All-In Average costs @ bulk system =</t>
  </si>
  <si>
    <t>per MWh at bulk system (per bulk system metered MWh)</t>
  </si>
  <si>
    <t>Table #14</t>
  </si>
  <si>
    <t>Annual - all hrs</t>
  </si>
  <si>
    <t>Assumptions:</t>
  </si>
  <si>
    <t>Analysis time period =</t>
  </si>
  <si>
    <t>summer months</t>
  </si>
  <si>
    <t>winter months</t>
  </si>
  <si>
    <t>Ancillary Services =</t>
  </si>
  <si>
    <t>per MWh</t>
  </si>
  <si>
    <t>Energy Costs =</t>
  </si>
  <si>
    <t>Usage patterns =</t>
  </si>
  <si>
    <t>Obligations =</t>
  </si>
  <si>
    <t>Losses =</t>
  </si>
  <si>
    <t>PJM Time Periods =</t>
  </si>
  <si>
    <t xml:space="preserve">     holidays - New Year's, Memorial, 4th of July, Labor Day, Thanksgiving &amp; Christmas</t>
  </si>
  <si>
    <t>JCP&amp;L Billing time periods =</t>
  </si>
  <si>
    <t>GST On-peak hours are 8 am to 8 pm prevailing time, Monday through Friday.</t>
  </si>
  <si>
    <t>MWhs in PJM time periods</t>
  </si>
  <si>
    <t>Difference in MWhs</t>
  </si>
  <si>
    <t>Check on total $ recovered</t>
  </si>
  <si>
    <t>PJM time periods (Table #8)</t>
  </si>
  <si>
    <t>MWhs in JCP&amp;L time periods</t>
  </si>
  <si>
    <t>(PJM - JCP&amp;L)</t>
  </si>
  <si>
    <t>JCP&amp;L time periods</t>
  </si>
  <si>
    <t>Tariff Based kWh</t>
  </si>
  <si>
    <t>PJM based kWh</t>
  </si>
  <si>
    <t>Generation Obl $/MWh - all months</t>
  </si>
  <si>
    <t>Generation Capacity Cost =</t>
  </si>
  <si>
    <t>Table #15</t>
  </si>
  <si>
    <t>Total Costs by Rate - in $1000</t>
  </si>
  <si>
    <t>Total Costs - in $1000</t>
  </si>
  <si>
    <t>% of Annual Total $</t>
  </si>
  <si>
    <t>per MWh @ bulk system</t>
  </si>
  <si>
    <t>Table #16</t>
  </si>
  <si>
    <t>Generation &amp; Transmission Obligations and Costs and Other Adjustments</t>
  </si>
  <si>
    <t>Charges</t>
  </si>
  <si>
    <t>% usage</t>
  </si>
  <si>
    <t>Block 1 (0-600 kWh/m)</t>
  </si>
  <si>
    <t>¢/kWh</t>
  </si>
  <si>
    <t>Block 2 (&gt;600 kWh/m)</t>
  </si>
  <si>
    <t>off-peak=&gt;</t>
  </si>
  <si>
    <t>on-peak=&gt;</t>
  </si>
  <si>
    <t>On-peak kWh=&gt;</t>
  </si>
  <si>
    <t>Winter MWh =&gt;</t>
  </si>
  <si>
    <t>Summer MWh =&gt;</t>
  </si>
  <si>
    <t>Associated $=&gt;</t>
  </si>
  <si>
    <t>First Block (0-600 kWh/month)=&gt;</t>
  </si>
  <si>
    <t>Second Block (&gt;600 kWh/month)=&gt;</t>
  </si>
  <si>
    <t>Residential summer BGS + Transmission charge differential</t>
  </si>
  <si>
    <t>per BPU and summer blocking percentages</t>
  </si>
  <si>
    <t>Differential (Excl. SUT)</t>
  </si>
  <si>
    <t>Constant for Block 1 (0-600 kWh/m) usage (Excl. SUT)</t>
  </si>
  <si>
    <t>Constant for Block 2 (&gt;600 kWh/m) usage (Excl. SUT)</t>
  </si>
  <si>
    <t>Transmission charges will be based on Retail Tariff rates for the applicable rate schedules</t>
  </si>
  <si>
    <t>Transmission cost =</t>
  </si>
  <si>
    <t>per MW day Summer</t>
  </si>
  <si>
    <t>per MW day Winter</t>
  </si>
  <si>
    <t>Summer Total</t>
  </si>
  <si>
    <t>Winter Total</t>
  </si>
  <si>
    <t>Annual Total</t>
  </si>
  <si>
    <t>TOTAL</t>
  </si>
  <si>
    <t xml:space="preserve"> Consistent with Losses as approved by the BPU</t>
  </si>
  <si>
    <t>Summary of Obligation Costs Expressed as $/MWh @ customer</t>
  </si>
  <si>
    <t>Summary of Total Estimated BGS Costs by Season</t>
  </si>
  <si>
    <t>Off/On Pk</t>
  </si>
  <si>
    <t>LMP ratio</t>
  </si>
  <si>
    <t>based on Forwards prices corrected for zone-hub differential and losses - PJM time periods</t>
  </si>
  <si>
    <t>based on Forwards prices corrected for zone-hub differential and losses</t>
  </si>
  <si>
    <t>based on Forwards prices corrected for zone-hub differential and losses - JCP&amp;L billing time periods</t>
  </si>
  <si>
    <t>Based on 3 Year Average</t>
  </si>
  <si>
    <t>Zone-Hub Basis Differential</t>
  </si>
  <si>
    <t>Ratio to All-In Cost (rounded to 4 decimal places)</t>
  </si>
  <si>
    <t>&lt;=on-peak=&gt;</t>
  </si>
  <si>
    <t>&lt;=off-peak=&gt;</t>
  </si>
  <si>
    <t xml:space="preserve">RT Less </t>
  </si>
  <si>
    <t>Water Heating</t>
  </si>
  <si>
    <t>OPWH</t>
  </si>
  <si>
    <t>CTWH RS</t>
  </si>
  <si>
    <t>CTWH RSH</t>
  </si>
  <si>
    <t>CTWH GS</t>
  </si>
  <si>
    <t>CTWH Total</t>
  </si>
  <si>
    <t>WH On</t>
  </si>
  <si>
    <t>Attachment 2</t>
  </si>
  <si>
    <t>The Holidays identified by PJM are not excluded from the RT or GST Billing On-Peak kWh.</t>
  </si>
  <si>
    <t>RT On-peak hours are 8 am to 8 pm Eastern Standard Time, Monday through Friday.</t>
  </si>
  <si>
    <t>(data rounded to nearest .01 %)</t>
  </si>
  <si>
    <t>Average</t>
  </si>
  <si>
    <t>For Calculation</t>
  </si>
  <si>
    <t>On-Peak=&gt;</t>
  </si>
  <si>
    <t>Off-Peak=&gt;</t>
  </si>
  <si>
    <t>Average=&gt;</t>
  </si>
  <si>
    <t>For Proof</t>
  </si>
  <si>
    <t>Proof</t>
  </si>
  <si>
    <t>Generation Obl $/MWh - Summer - All Hours</t>
  </si>
  <si>
    <t>Generation Obl $/MWh - Summer - On-Peak Hours</t>
  </si>
  <si>
    <t>Generation Obl $/MWh - Winter - On-Peak Hours</t>
  </si>
  <si>
    <t>Generation Obl $/MWh - Winter - All Hours</t>
  </si>
  <si>
    <t>{1} For BGS purposes the RT rate class includes the RS and GS rate class Off-Peak (OPWH) and Controlled Water Heating (CTWH) provisions.  The RT rate class also includes the</t>
  </si>
  <si>
    <t>GST {4}</t>
  </si>
  <si>
    <t>CTWH</t>
  </si>
  <si>
    <t>On-Peak PJM</t>
  </si>
  <si>
    <t>Hours Mon=&gt;Fri</t>
  </si>
  <si>
    <t>On-peak</t>
  </si>
  <si>
    <t>Hours</t>
  </si>
  <si>
    <t>%</t>
  </si>
  <si>
    <t>Average Daily</t>
  </si>
  <si>
    <t>WH Off</t>
  </si>
  <si>
    <t>% usage during Off-Peak period</t>
  </si>
  <si>
    <t xml:space="preserve">  summer billing month RGT rate class usage.  OPWH and CTWH is billed on the average RT rates, while RT and Summer RGT use is billed at on-peak and off-peak rates.</t>
  </si>
  <si>
    <t xml:space="preserve"> PJM trading time periods - 7 AM to 11 PM weekdays, local time, excluding NERC </t>
  </si>
  <si>
    <t>1st</t>
  </si>
  <si>
    <t>2nd</t>
  </si>
  <si>
    <t>total</t>
  </si>
  <si>
    <t>Adjusted</t>
  </si>
  <si>
    <t>includes energy, Generation and Transmission obligations, and Ancillary Services - adjusted to billing time periods</t>
  </si>
  <si>
    <t>Seasonal Payment Factors</t>
  </si>
  <si>
    <t>Seasonal</t>
  </si>
  <si>
    <t>Initial</t>
  </si>
  <si>
    <t>Adjustment</t>
  </si>
  <si>
    <t>Factor</t>
  </si>
  <si>
    <t>Calculation</t>
  </si>
  <si>
    <t>Seasonally Adjusted Summer Payment</t>
  </si>
  <si>
    <t>Price per MWH</t>
  </si>
  <si>
    <t>Seasonally Adjusted Winter Payment</t>
  </si>
  <si>
    <t>Units</t>
  </si>
  <si>
    <t>Seasonal Units</t>
  </si>
  <si>
    <t>Payment</t>
  </si>
  <si>
    <t>Customer Costs Per Allocation Matrix</t>
  </si>
  <si>
    <r>
      <t xml:space="preserve">Supplier Payment </t>
    </r>
    <r>
      <rPr>
        <sz val="10"/>
        <rFont val="Arial"/>
        <family val="2"/>
      </rPr>
      <t>in $1000</t>
    </r>
  </si>
  <si>
    <t>Total Supplier Payment</t>
  </si>
  <si>
    <t>Adjustment Factor Calculation</t>
  </si>
  <si>
    <t>Allocated Customer Costs on a per MWh basis (on bulk system MWhs):</t>
  </si>
  <si>
    <t>Supplier</t>
  </si>
  <si>
    <t>in $1,000's</t>
  </si>
  <si>
    <t>Composite (Tranche Weighted) Costs</t>
  </si>
  <si>
    <t>Units @ Customer</t>
  </si>
  <si>
    <t>in kWh</t>
  </si>
  <si>
    <t>Table #17</t>
  </si>
  <si>
    <t>Table #18</t>
  </si>
  <si>
    <t>Table #19</t>
  </si>
  <si>
    <t>Table #16 &amp; Table #17</t>
  </si>
  <si>
    <t>Bulk System Costs</t>
  </si>
  <si>
    <t>Customer &amp; Bulk System Costs</t>
  </si>
  <si>
    <t>includes energy, Generation &amp; Transmission obligations, and Ancillary Services - adjusted to billing time periods</t>
  </si>
  <si>
    <t>includes Energy, Generation &amp; Transmission obligations, and Ancillary Services - adjusted to billing time periods</t>
  </si>
  <si>
    <t xml:space="preserve"> Based on Forwards prices @ PJM West corrected for hub-zone basis differential (both based on the figures used to derive the </t>
  </si>
  <si>
    <t>kWh</t>
  </si>
  <si>
    <r>
      <t>Deli</t>
    </r>
    <r>
      <rPr>
        <b/>
        <sz val="10"/>
        <color indexed="20"/>
        <rFont val="Arial"/>
        <family val="2"/>
      </rPr>
      <t>very</t>
    </r>
    <r>
      <rPr>
        <b/>
        <sz val="10"/>
        <color indexed="17"/>
        <rFont val="Arial"/>
        <family val="2"/>
      </rPr>
      <t xml:space="preserve"> kWh</t>
    </r>
  </si>
  <si>
    <t>RSH</t>
  </si>
  <si>
    <t>Total RS</t>
  </si>
  <si>
    <t xml:space="preserve"> </t>
  </si>
  <si>
    <t>Table #C1</t>
  </si>
  <si>
    <t>Table #C2</t>
  </si>
  <si>
    <t>Table #C3</t>
  </si>
  <si>
    <t>Table #C4</t>
  </si>
  <si>
    <t>Table #C5</t>
  </si>
  <si>
    <t>Table #C6</t>
  </si>
  <si>
    <t>Table #C7</t>
  </si>
  <si>
    <t>WH Average =&gt;</t>
  </si>
  <si>
    <t>WH Average=&gt;</t>
  </si>
  <si>
    <t>JC Tariff Based mWh</t>
  </si>
  <si>
    <t>Expansion Factor to Transmission Nodes =</t>
  </si>
  <si>
    <t>Loss Factors from Transmission Nodes =</t>
  </si>
  <si>
    <t>per MWh at transmission nodes (per transmission nodes metered MWh)</t>
  </si>
  <si>
    <t>per MWh @ transmission nodes</t>
  </si>
  <si>
    <t>All-In Average costs @ transmission nodes =</t>
  </si>
  <si>
    <t xml:space="preserve">PJM Marginal Losses = </t>
  </si>
  <si>
    <t>PJM's calculated mean value of hourly marginal loss factor</t>
  </si>
  <si>
    <t>Ratio of BGS Unit Costs @ customer to All-In Average Cost @ transmission nodes (rounded to 3 decimal places)</t>
  </si>
  <si>
    <t xml:space="preserve">Loss = </t>
  </si>
  <si>
    <t>Consistent with Losses as approved by the BPU</t>
  </si>
  <si>
    <t xml:space="preserve">         If total $ were split on a per MWh basis (on transmission nodes MWhs):</t>
  </si>
  <si>
    <t xml:space="preserve">         If total $ were split on a per MWh basis (on bulk nodes MWhs):</t>
  </si>
  <si>
    <t>@ Bulk mwh</t>
  </si>
  <si>
    <t>@ Transmission</t>
  </si>
  <si>
    <t>Loss Factors @ Bulk =</t>
  </si>
  <si>
    <t>Expansion Factors @ Bulk =</t>
  </si>
  <si>
    <t>Loss Factors @ Transmission Node =</t>
  </si>
  <si>
    <t>Expansion Factors @ Transmission Node =</t>
  </si>
  <si>
    <t>RS Excluding</t>
  </si>
  <si>
    <t>RT\RGT\WH</t>
  </si>
  <si>
    <t>Size of Tranches =</t>
  </si>
  <si>
    <t>Total GS (incl WH)</t>
  </si>
  <si>
    <r>
      <t xml:space="preserve">{4} The GS and GST units exclude the units associated with the </t>
    </r>
    <r>
      <rPr>
        <sz val="10"/>
        <color indexed="12"/>
        <rFont val="Arial"/>
        <family val="2"/>
      </rPr>
      <t xml:space="preserve">500 </t>
    </r>
    <r>
      <rPr>
        <sz val="10"/>
        <rFont val="Arial"/>
        <family val="2"/>
      </rPr>
      <t>kW and above PLS accounts that will be required to take service under BGS-CIEP</t>
    </r>
  </si>
  <si>
    <t>WH OnPeak MWH</t>
  </si>
  <si>
    <t>WH OffPeak MWH</t>
  </si>
  <si>
    <t>Change of kWh</t>
  </si>
  <si>
    <t xml:space="preserve">Change of kW </t>
  </si>
  <si>
    <t xml:space="preserve">  </t>
  </si>
  <si>
    <t>BGS-RSCP</t>
  </si>
  <si>
    <t>BGS-RSCP Composite Cost Allocation</t>
  </si>
  <si>
    <t>Ratio to All-In Cost (If Winter is greater than Summer)</t>
  </si>
  <si>
    <t>Total Forecasted Ancillary Services &amp; Renewable Power Costs</t>
  </si>
  <si>
    <t>Forecasted Ancillary Services Cost</t>
  </si>
  <si>
    <t>Ancillary Services and Renewable Power Cost =</t>
  </si>
  <si>
    <t>Fixed Unit Cost Adjustment</t>
  </si>
  <si>
    <t>Renewable Portfolio Standard Cost</t>
  </si>
  <si>
    <t>NJ Sales and Use Tax (SUT) =</t>
  </si>
  <si>
    <t>SUT excluded from all costs</t>
  </si>
  <si>
    <t>2018/2019 BGS Supply Period Estimated Supplier Payments Allocated by Rate Class</t>
  </si>
  <si>
    <t>RT (w/o RGT)</t>
  </si>
  <si>
    <t>Post Transition Year 16 Costs</t>
  </si>
  <si>
    <t>mWh</t>
  </si>
  <si>
    <t>Post Transition Year 16 Bid price</t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</si>
  <si>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 xml:space="preserve">16 </t>
    </r>
    <r>
      <rPr>
        <sz val="10"/>
        <rFont val="Arial"/>
        <family val="2"/>
      </rPr>
      <t>and adjusted to match the total cost at the actual supplier bid price.</t>
    </r>
  </si>
  <si>
    <t>Post Transition Year 17 Costs</t>
  </si>
  <si>
    <t>2020 BGS Auction Cost and Bid Factor Tables</t>
  </si>
  <si>
    <t>2020/2021 BGS Supply Period Estimated Supplier Payments Allocated by Rate Class</t>
  </si>
  <si>
    <r>
      <t xml:space="preserve">2019 </t>
    </r>
    <r>
      <rPr>
        <i/>
        <sz val="10"/>
        <rFont val="Arial"/>
        <family val="2"/>
      </rPr>
      <t>Forecasted Calendar Month Sales</t>
    </r>
  </si>
  <si>
    <t>Forecast 2019 Delivery MWh</t>
  </si>
  <si>
    <r>
      <t xml:space="preserve">Based on an average of </t>
    </r>
    <r>
      <rPr>
        <i/>
        <sz val="10"/>
        <color indexed="12"/>
        <rFont val="Arial"/>
        <family val="2"/>
      </rPr>
      <t>2016</t>
    </r>
    <r>
      <rPr>
        <i/>
        <sz val="10"/>
        <rFont val="Arial"/>
        <family val="2"/>
      </rPr>
      <t xml:space="preserve"> through </t>
    </r>
    <r>
      <rPr>
        <i/>
        <sz val="10"/>
        <color indexed="12"/>
        <rFont val="Arial"/>
        <family val="2"/>
      </rPr>
      <t>2018</t>
    </r>
    <r>
      <rPr>
        <i/>
        <sz val="10"/>
        <rFont val="Arial"/>
        <family val="2"/>
      </rPr>
      <t xml:space="preserve"> Load Profile Information</t>
    </r>
  </si>
  <si>
    <r>
      <t>calendar month sales forecasted for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2019</t>
    </r>
  </si>
  <si>
    <r>
      <t xml:space="preserve">obligations - annual average forecasted for </t>
    </r>
    <r>
      <rPr>
        <i/>
        <sz val="10"/>
        <color indexed="12"/>
        <rFont val="Arial"/>
        <family val="2"/>
      </rPr>
      <t>2019</t>
    </r>
    <r>
      <rPr>
        <i/>
        <sz val="10"/>
        <rFont val="Arial"/>
        <family val="2"/>
      </rPr>
      <t>; costs are market estimates</t>
    </r>
  </si>
  <si>
    <t>2019/2020 BGS Supply Period Estimated Supplier Payments Allocated by Rate Class</t>
  </si>
  <si>
    <t>Post Transition Year 17 Bid price</t>
  </si>
  <si>
    <t>Not Applicable to 2020/2021 BGS Supply Period</t>
  </si>
  <si>
    <r>
      <t xml:space="preserve"> forecasted </t>
    </r>
    <r>
      <rPr>
        <sz val="10"/>
        <color indexed="12"/>
        <rFont val="Arial"/>
        <family val="2"/>
      </rPr>
      <t>2019</t>
    </r>
    <r>
      <rPr>
        <sz val="10"/>
        <rFont val="Arial"/>
        <family val="2"/>
      </rPr>
      <t xml:space="preserve"> energy use by class based upon PJM on/off % from </t>
    </r>
    <r>
      <rPr>
        <sz val="10"/>
        <color indexed="12"/>
        <rFont val="Arial"/>
        <family val="2"/>
      </rPr>
      <t>2016 through 2018</t>
    </r>
    <r>
      <rPr>
        <sz val="10"/>
        <rFont val="Arial"/>
        <family val="2"/>
      </rPr>
      <t xml:space="preserve"> class load profiles</t>
    </r>
  </si>
  <si>
    <r>
      <t xml:space="preserve">   JCP&amp;L billing on/off % from </t>
    </r>
    <r>
      <rPr>
        <sz val="10"/>
        <color indexed="12"/>
        <rFont val="Arial"/>
        <family val="2"/>
      </rPr>
      <t>2019</t>
    </r>
    <r>
      <rPr>
        <sz val="10"/>
        <rFont val="Arial"/>
        <family val="2"/>
      </rPr>
      <t xml:space="preserve"> forecasted billing determinants</t>
    </r>
  </si>
  <si>
    <r>
      <t xml:space="preserve"> class totals for </t>
    </r>
    <r>
      <rPr>
        <sz val="10"/>
        <color indexed="12"/>
        <rFont val="Arial"/>
        <family val="2"/>
      </rPr>
      <t>2019</t>
    </r>
    <r>
      <rPr>
        <sz val="10"/>
        <rFont val="Arial"/>
        <family val="2"/>
      </rPr>
      <t xml:space="preserve"> excluding accounts required to take service under BGS-CIEP as of </t>
    </r>
    <r>
      <rPr>
        <sz val="10"/>
        <color indexed="12"/>
        <rFont val="Arial"/>
        <family val="2"/>
      </rPr>
      <t>June 1, 2020</t>
    </r>
  </si>
  <si>
    <t>Post Transition Year 18 Costs</t>
  </si>
  <si>
    <r>
      <t xml:space="preserve">Forecasted </t>
    </r>
    <r>
      <rPr>
        <i/>
        <sz val="10"/>
        <color indexed="12"/>
        <rFont val="Arial"/>
        <family val="2"/>
      </rPr>
      <t xml:space="preserve">2019 </t>
    </r>
    <r>
      <rPr>
        <i/>
        <sz val="10"/>
        <rFont val="Arial"/>
        <family val="2"/>
      </rPr>
      <t>in kWh</t>
    </r>
  </si>
  <si>
    <r>
      <t xml:space="preserve"> based on </t>
    </r>
    <r>
      <rPr>
        <sz val="10"/>
        <color indexed="12"/>
        <rFont val="Arial"/>
        <family val="2"/>
      </rPr>
      <t xml:space="preserve">6/19 to 5/20 </t>
    </r>
    <r>
      <rPr>
        <sz val="10"/>
        <rFont val="Arial"/>
        <family val="2"/>
      </rPr>
      <t>Forwards @ PJM West corrected for hub-zone basis differential</t>
    </r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</si>
  <si>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>17</t>
    </r>
    <r>
      <rPr>
        <sz val="10"/>
        <rFont val="Arial"/>
        <family val="2"/>
      </rPr>
      <t xml:space="preserve"> and adjusted to match the total cost at the actual supplier bid price.</t>
    </r>
  </si>
  <si>
    <t>GS Excl CIEP</t>
  </si>
  <si>
    <t>GST Excl CIEP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</si>
</sst>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%"/>
    <numFmt numFmtId="169" formatCode="0.0000%"/>
    <numFmt numFmtId="170" formatCode="#,##0.0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0.0%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_(* #,##0.000000_);_(* \(#,##0.000000\);_(* &quot;-&quot;??_);_(@_)"/>
    <numFmt numFmtId="181" formatCode="0.000000%"/>
    <numFmt numFmtId="182" formatCode="mm/dd/yy;@"/>
    <numFmt numFmtId="183" formatCode="&quot;$&quot;#,##0"/>
    <numFmt numFmtId="184" formatCode="&quot;$&quot;#,##0.00"/>
    <numFmt numFmtId="185" formatCode="_(* #,##0.0_);_(* \(#,##0.0\);_(* &quot;-&quot;??_);_(@_)"/>
    <numFmt numFmtId="186" formatCode="&quot;$&quot;#,##0.0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54"/>
      <name val="Arial"/>
      <family val="2"/>
    </font>
    <font>
      <u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53"/>
      <name val="Arial"/>
      <family val="2"/>
    </font>
    <font>
      <u/>
      <sz val="10"/>
      <color indexed="53"/>
      <name val="Arial"/>
      <family val="2"/>
    </font>
    <font>
      <u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10"/>
      <color indexed="20"/>
      <name val="Arial"/>
      <family val="2"/>
    </font>
    <font>
      <b/>
      <i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7"/>
      <name val="Arial"/>
      <family val="2"/>
    </font>
    <font>
      <u/>
      <sz val="10"/>
      <color indexed="17"/>
      <name val="Arial"/>
      <family val="2"/>
    </font>
    <font>
      <sz val="9"/>
      <color indexed="81"/>
      <name val="Tahoma"/>
      <family val="2"/>
    </font>
    <font>
      <sz val="10"/>
      <color indexed="30"/>
      <name val="Arial"/>
      <family val="2"/>
    </font>
    <font>
      <u/>
      <sz val="10"/>
      <color indexed="16"/>
      <name val="Arial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71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3" fillId="0" borderId="0" xfId="1" quotePrefix="1" applyFont="1"/>
    <xf numFmtId="0" fontId="10" fillId="0" borderId="0" xfId="0" applyFont="1"/>
    <xf numFmtId="44" fontId="5" fillId="0" borderId="0" xfId="2" applyNumberFormat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quotePrefix="1" applyFont="1" applyFill="1" applyBorder="1"/>
    <xf numFmtId="39" fontId="3" fillId="0" borderId="0" xfId="0" quotePrefix="1" applyNumberFormat="1" applyFont="1" applyFill="1"/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quotePrefix="1" applyFont="1" applyFill="1"/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" fontId="0" fillId="0" borderId="0" xfId="0" applyNumberFormat="1" applyFill="1"/>
    <xf numFmtId="174" fontId="5" fillId="0" borderId="0" xfId="3" applyNumberFormat="1" applyFont="1" applyFill="1"/>
    <xf numFmtId="174" fontId="5" fillId="0" borderId="0" xfId="3" quotePrefix="1" applyNumberFormat="1" applyFont="1" applyFill="1"/>
    <xf numFmtId="9" fontId="5" fillId="0" borderId="0" xfId="3" quotePrefix="1" applyFont="1" applyFill="1"/>
    <xf numFmtId="9" fontId="3" fillId="0" borderId="0" xfId="3" quotePrefix="1" applyFont="1" applyFill="1"/>
    <xf numFmtId="9" fontId="5" fillId="0" borderId="0" xfId="3" applyNumberFormat="1" applyFont="1" applyFill="1"/>
    <xf numFmtId="9" fontId="6" fillId="0" borderId="0" xfId="3" applyFont="1" applyFill="1"/>
    <xf numFmtId="9" fontId="5" fillId="0" borderId="0" xfId="3" quotePrefix="1" applyFont="1" applyFill="1" applyAlignment="1">
      <alignment horizontal="center"/>
    </xf>
    <xf numFmtId="17" fontId="0" fillId="0" borderId="0" xfId="0" quotePrefix="1" applyNumberFormat="1" applyFill="1"/>
    <xf numFmtId="17" fontId="4" fillId="0" borderId="0" xfId="0" applyNumberFormat="1" applyFont="1" applyFill="1"/>
    <xf numFmtId="0" fontId="10" fillId="0" borderId="0" xfId="0" applyFont="1" applyFill="1" applyAlignment="1">
      <alignment horizontal="center"/>
    </xf>
    <xf numFmtId="17" fontId="6" fillId="0" borderId="0" xfId="0" applyNumberFormat="1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3" fontId="5" fillId="0" borderId="0" xfId="0" applyNumberFormat="1" applyFont="1" applyFill="1"/>
    <xf numFmtId="3" fontId="12" fillId="0" borderId="0" xfId="0" applyNumberFormat="1" applyFont="1" applyFill="1"/>
    <xf numFmtId="0" fontId="0" fillId="0" borderId="4" xfId="0" applyFill="1" applyBorder="1" applyAlignment="1">
      <alignment horizontal="right"/>
    </xf>
    <xf numFmtId="3" fontId="0" fillId="0" borderId="0" xfId="0" quotePrefix="1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0" fillId="0" borderId="0" xfId="0" applyNumberFormat="1" applyFill="1"/>
    <xf numFmtId="166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7" fontId="0" fillId="0" borderId="0" xfId="0" applyNumberFormat="1" applyFill="1" applyAlignment="1">
      <alignment horizontal="center"/>
    </xf>
    <xf numFmtId="37" fontId="0" fillId="0" borderId="0" xfId="0" applyNumberFormat="1" applyFill="1"/>
    <xf numFmtId="0" fontId="9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6" xfId="0" applyFill="1" applyBorder="1" applyAlignment="1">
      <alignment horizontal="right"/>
    </xf>
    <xf numFmtId="3" fontId="0" fillId="0" borderId="7" xfId="0" quotePrefix="1" applyNumberFormat="1" applyFill="1" applyBorder="1"/>
    <xf numFmtId="3" fontId="0" fillId="0" borderId="7" xfId="0" applyNumberFormat="1" applyFill="1" applyBorder="1"/>
    <xf numFmtId="179" fontId="5" fillId="0" borderId="0" xfId="0" applyNumberFormat="1" applyFont="1" applyFill="1"/>
    <xf numFmtId="171" fontId="0" fillId="0" borderId="0" xfId="0" applyNumberFormat="1" applyFill="1" applyBorder="1"/>
    <xf numFmtId="4" fontId="5" fillId="0" borderId="0" xfId="0" applyNumberFormat="1" applyFont="1" applyFill="1"/>
    <xf numFmtId="9" fontId="5" fillId="0" borderId="0" xfId="3" applyFont="1" applyFill="1"/>
    <xf numFmtId="0" fontId="0" fillId="0" borderId="0" xfId="0" applyFill="1" applyAlignment="1">
      <alignment horizontal="center"/>
    </xf>
    <xf numFmtId="169" fontId="5" fillId="0" borderId="0" xfId="0" applyNumberFormat="1" applyFont="1" applyFill="1"/>
    <xf numFmtId="166" fontId="0" fillId="0" borderId="0" xfId="0" applyNumberFormat="1" applyFill="1"/>
    <xf numFmtId="44" fontId="3" fillId="0" borderId="0" xfId="2" quotePrefix="1" applyFont="1" applyFill="1"/>
    <xf numFmtId="172" fontId="3" fillId="0" borderId="0" xfId="2" quotePrefix="1" applyNumberFormat="1" applyFont="1" applyFill="1"/>
    <xf numFmtId="171" fontId="3" fillId="0" borderId="0" xfId="2" quotePrefix="1" applyNumberFormat="1" applyFont="1" applyFill="1"/>
    <xf numFmtId="17" fontId="0" fillId="0" borderId="0" xfId="0" applyNumberFormat="1" applyFill="1" applyAlignment="1">
      <alignment horizontal="right"/>
    </xf>
    <xf numFmtId="44" fontId="3" fillId="0" borderId="0" xfId="2" applyFont="1" applyFill="1"/>
    <xf numFmtId="172" fontId="3" fillId="0" borderId="0" xfId="2" applyNumberFormat="1" applyFont="1" applyFill="1"/>
    <xf numFmtId="44" fontId="3" fillId="0" borderId="0" xfId="2" quotePrefix="1" applyNumberFormat="1" applyFont="1" applyFill="1"/>
    <xf numFmtId="171" fontId="0" fillId="0" borderId="0" xfId="0" applyNumberFormat="1" applyFill="1"/>
    <xf numFmtId="171" fontId="3" fillId="0" borderId="0" xfId="2" applyNumberFormat="1" applyFont="1" applyFill="1"/>
    <xf numFmtId="39" fontId="0" fillId="0" borderId="0" xfId="0" applyNumberFormat="1" applyFill="1"/>
    <xf numFmtId="171" fontId="0" fillId="0" borderId="0" xfId="2" applyNumberFormat="1" applyFont="1" applyFill="1"/>
    <xf numFmtId="171" fontId="14" fillId="0" borderId="0" xfId="2" applyNumberFormat="1" applyFont="1" applyFill="1"/>
    <xf numFmtId="170" fontId="5" fillId="0" borderId="0" xfId="0" applyNumberFormat="1" applyFont="1" applyFill="1"/>
    <xf numFmtId="170" fontId="0" fillId="0" borderId="0" xfId="0" applyNumberFormat="1" applyFill="1"/>
    <xf numFmtId="170" fontId="12" fillId="0" borderId="0" xfId="0" applyNumberFormat="1" applyFont="1" applyFill="1"/>
    <xf numFmtId="0" fontId="0" fillId="0" borderId="0" xfId="0" applyFill="1" applyAlignment="1">
      <alignment horizontal="right"/>
    </xf>
    <xf numFmtId="0" fontId="5" fillId="0" borderId="0" xfId="0" applyFont="1" applyFill="1"/>
    <xf numFmtId="0" fontId="0" fillId="0" borderId="0" xfId="0" quotePrefix="1" applyFill="1" applyAlignment="1">
      <alignment horizontal="right"/>
    </xf>
    <xf numFmtId="171" fontId="5" fillId="0" borderId="0" xfId="2" applyNumberFormat="1" applyFont="1" applyFill="1"/>
    <xf numFmtId="0" fontId="0" fillId="0" borderId="0" xfId="0" quotePrefix="1" applyFill="1"/>
    <xf numFmtId="0" fontId="3" fillId="0" borderId="0" xfId="0" quotePrefix="1" applyFont="1" applyFill="1" applyAlignment="1">
      <alignment horizontal="center"/>
    </xf>
    <xf numFmtId="44" fontId="0" fillId="0" borderId="0" xfId="2" quotePrefix="1" applyFont="1" applyFill="1"/>
    <xf numFmtId="0" fontId="10" fillId="0" borderId="0" xfId="0" applyFont="1" applyFill="1" applyAlignment="1">
      <alignment horizontal="left"/>
    </xf>
    <xf numFmtId="44" fontId="3" fillId="0" borderId="0" xfId="2" applyNumberFormat="1" applyFont="1" applyFill="1"/>
    <xf numFmtId="43" fontId="4" fillId="0" borderId="0" xfId="1" quotePrefix="1" applyFont="1" applyFill="1" applyBorder="1"/>
    <xf numFmtId="43" fontId="3" fillId="0" borderId="0" xfId="1" quotePrefix="1" applyFont="1" applyFill="1"/>
    <xf numFmtId="43" fontId="3" fillId="0" borderId="0" xfId="1" quotePrefix="1" applyFont="1" applyFill="1" applyBorder="1"/>
    <xf numFmtId="44" fontId="4" fillId="0" borderId="0" xfId="0" applyNumberFormat="1" applyFont="1" applyFill="1"/>
    <xf numFmtId="44" fontId="0" fillId="0" borderId="0" xfId="0" applyNumberFormat="1" applyFill="1"/>
    <xf numFmtId="43" fontId="3" fillId="0" borderId="0" xfId="1" applyFont="1" applyFill="1"/>
    <xf numFmtId="177" fontId="4" fillId="0" borderId="0" xfId="1" applyNumberFormat="1" applyFont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15" fillId="0" borderId="0" xfId="0" applyNumberFormat="1" applyFont="1" applyFill="1"/>
    <xf numFmtId="0" fontId="16" fillId="0" borderId="0" xfId="0" applyFont="1" applyFill="1"/>
    <xf numFmtId="10" fontId="0" fillId="0" borderId="0" xfId="0" applyNumberForma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0" fontId="17" fillId="0" borderId="0" xfId="0" applyFont="1" applyFill="1"/>
    <xf numFmtId="44" fontId="4" fillId="0" borderId="0" xfId="2" quotePrefix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0" fontId="12" fillId="0" borderId="0" xfId="0" applyNumberFormat="1" applyFont="1" applyFill="1"/>
    <xf numFmtId="173" fontId="3" fillId="0" borderId="0" xfId="2" quotePrefix="1" applyNumberFormat="1" applyFont="1" applyFill="1"/>
    <xf numFmtId="22" fontId="0" fillId="0" borderId="0" xfId="0" applyNumberFormat="1" applyFill="1"/>
    <xf numFmtId="0" fontId="10" fillId="0" borderId="0" xfId="0" applyFont="1" applyFill="1" applyAlignment="1">
      <alignment horizontal="right"/>
    </xf>
    <xf numFmtId="171" fontId="14" fillId="0" borderId="0" xfId="0" applyNumberFormat="1" applyFont="1" applyFill="1"/>
    <xf numFmtId="176" fontId="4" fillId="0" borderId="0" xfId="1" quotePrefix="1" applyNumberFormat="1" applyFont="1" applyFill="1" applyBorder="1"/>
    <xf numFmtId="176" fontId="3" fillId="0" borderId="0" xfId="1" quotePrefix="1" applyNumberFormat="1" applyFont="1" applyFill="1" applyBorder="1"/>
    <xf numFmtId="176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0" fontId="4" fillId="0" borderId="0" xfId="0" quotePrefix="1" applyFont="1" applyFill="1" applyAlignment="1"/>
    <xf numFmtId="9" fontId="5" fillId="0" borderId="9" xfId="3" applyNumberFormat="1" applyFont="1" applyFill="1" applyBorder="1"/>
    <xf numFmtId="9" fontId="5" fillId="0" borderId="10" xfId="3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0" xfId="0" applyFont="1" applyFill="1"/>
    <xf numFmtId="9" fontId="22" fillId="0" borderId="0" xfId="3" applyFont="1" applyFill="1"/>
    <xf numFmtId="10" fontId="5" fillId="0" borderId="0" xfId="3" quotePrefix="1" applyNumberFormat="1" applyFont="1" applyFill="1" applyAlignment="1">
      <alignment horizontal="center"/>
    </xf>
    <xf numFmtId="0" fontId="12" fillId="0" borderId="0" xfId="0" applyFont="1" applyFill="1"/>
    <xf numFmtId="1" fontId="0" fillId="0" borderId="0" xfId="0" applyNumberFormat="1"/>
    <xf numFmtId="3" fontId="10" fillId="0" borderId="0" xfId="0" applyNumberFormat="1" applyFont="1" applyFill="1"/>
    <xf numFmtId="174" fontId="2" fillId="0" borderId="0" xfId="3" applyNumberFormat="1" applyFill="1"/>
    <xf numFmtId="171" fontId="2" fillId="0" borderId="0" xfId="2" applyNumberFormat="1" applyFill="1" applyBorder="1"/>
    <xf numFmtId="171" fontId="2" fillId="0" borderId="7" xfId="2" applyNumberFormat="1" applyFill="1" applyBorder="1"/>
    <xf numFmtId="44" fontId="2" fillId="0" borderId="0" xfId="2" applyFill="1"/>
    <xf numFmtId="172" fontId="2" fillId="0" borderId="0" xfId="2" applyNumberFormat="1" applyFill="1"/>
    <xf numFmtId="171" fontId="2" fillId="0" borderId="0" xfId="2" applyNumberFormat="1" applyFill="1"/>
    <xf numFmtId="44" fontId="2" fillId="0" borderId="0" xfId="2" quotePrefix="1" applyFont="1" applyFill="1"/>
    <xf numFmtId="172" fontId="2" fillId="0" borderId="0" xfId="2" quotePrefix="1" applyNumberFormat="1" applyFont="1" applyFill="1"/>
    <xf numFmtId="3" fontId="2" fillId="0" borderId="0" xfId="2" quotePrefix="1" applyNumberFormat="1" applyFont="1" applyFill="1"/>
    <xf numFmtId="175" fontId="2" fillId="0" borderId="0" xfId="1" applyNumberFormat="1" applyFill="1"/>
    <xf numFmtId="171" fontId="2" fillId="0" borderId="0" xfId="2" applyNumberFormat="1"/>
    <xf numFmtId="9" fontId="2" fillId="0" borderId="0" xfId="3"/>
    <xf numFmtId="171" fontId="2" fillId="0" borderId="0" xfId="3" applyNumberFormat="1"/>
    <xf numFmtId="44" fontId="2" fillId="0" borderId="0" xfId="2"/>
    <xf numFmtId="10" fontId="12" fillId="0" borderId="0" xfId="3" applyNumberFormat="1" applyFont="1" applyFill="1"/>
    <xf numFmtId="169" fontId="12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9" fontId="12" fillId="0" borderId="0" xfId="3" quotePrefix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77" fontId="3" fillId="0" borderId="0" xfId="1" applyNumberFormat="1" applyFont="1"/>
    <xf numFmtId="44" fontId="2" fillId="0" borderId="0" xfId="2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79" fontId="12" fillId="0" borderId="0" xfId="0" applyNumberFormat="1" applyFont="1" applyFill="1"/>
    <xf numFmtId="0" fontId="4" fillId="0" borderId="0" xfId="0" applyFont="1" applyFill="1" applyBorder="1"/>
    <xf numFmtId="17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77" fontId="5" fillId="0" borderId="0" xfId="1" applyNumberFormat="1" applyFont="1"/>
    <xf numFmtId="9" fontId="28" fillId="0" borderId="0" xfId="3" applyFont="1" applyFill="1"/>
    <xf numFmtId="17" fontId="12" fillId="0" borderId="0" xfId="0" applyNumberFormat="1" applyFont="1" applyFill="1"/>
    <xf numFmtId="17" fontId="28" fillId="0" borderId="0" xfId="0" applyNumberFormat="1" applyFont="1" applyFill="1"/>
    <xf numFmtId="9" fontId="21" fillId="0" borderId="0" xfId="3" quotePrefix="1" applyFont="1" applyFill="1"/>
    <xf numFmtId="0" fontId="21" fillId="0" borderId="0" xfId="0" applyFont="1" applyFill="1" applyBorder="1"/>
    <xf numFmtId="178" fontId="5" fillId="0" borderId="0" xfId="1" applyNumberFormat="1" applyFont="1"/>
    <xf numFmtId="9" fontId="3" fillId="0" borderId="11" xfId="3" applyNumberFormat="1" applyFont="1" applyFill="1" applyBorder="1"/>
    <xf numFmtId="9" fontId="3" fillId="0" borderId="12" xfId="3" applyNumberFormat="1" applyFont="1" applyFill="1" applyBorder="1"/>
    <xf numFmtId="9" fontId="3" fillId="0" borderId="0" xfId="3" applyNumberFormat="1" applyFont="1" applyFill="1"/>
    <xf numFmtId="9" fontId="12" fillId="0" borderId="13" xfId="3" applyNumberFormat="1" applyFont="1" applyFill="1" applyBorder="1"/>
    <xf numFmtId="9" fontId="12" fillId="0" borderId="14" xfId="3" applyNumberFormat="1" applyFont="1" applyFill="1" applyBorder="1"/>
    <xf numFmtId="174" fontId="5" fillId="0" borderId="0" xfId="3" applyNumberFormat="1" applyFont="1" applyFill="1" applyBorder="1"/>
    <xf numFmtId="0" fontId="34" fillId="0" borderId="0" xfId="0" applyFont="1" applyFill="1" applyAlignment="1">
      <alignment horizontal="center" wrapText="1"/>
    </xf>
    <xf numFmtId="179" fontId="3" fillId="0" borderId="0" xfId="0" applyNumberFormat="1" applyFont="1" applyFill="1"/>
    <xf numFmtId="179" fontId="3" fillId="0" borderId="10" xfId="0" applyNumberFormat="1" applyFont="1" applyFill="1" applyBorder="1"/>
    <xf numFmtId="179" fontId="3" fillId="0" borderId="13" xfId="0" applyNumberFormat="1" applyFont="1" applyFill="1" applyBorder="1"/>
    <xf numFmtId="179" fontId="3" fillId="0" borderId="14" xfId="0" applyNumberFormat="1" applyFont="1" applyFill="1" applyBorder="1"/>
    <xf numFmtId="17" fontId="0" fillId="0" borderId="9" xfId="0" applyNumberFormat="1" applyFill="1" applyBorder="1"/>
    <xf numFmtId="3" fontId="5" fillId="0" borderId="15" xfId="0" applyNumberFormat="1" applyFont="1" applyFill="1" applyBorder="1"/>
    <xf numFmtId="3" fontId="12" fillId="0" borderId="15" xfId="0" applyNumberFormat="1" applyFont="1" applyFill="1" applyBorder="1"/>
    <xf numFmtId="3" fontId="12" fillId="0" borderId="10" xfId="0" applyNumberFormat="1" applyFont="1" applyFill="1" applyBorder="1"/>
    <xf numFmtId="17" fontId="0" fillId="0" borderId="11" xfId="0" applyNumberFormat="1" applyFill="1" applyBorder="1"/>
    <xf numFmtId="3" fontId="5" fillId="0" borderId="0" xfId="0" applyNumberFormat="1" applyFont="1" applyFill="1" applyBorder="1"/>
    <xf numFmtId="3" fontId="12" fillId="0" borderId="13" xfId="0" applyNumberFormat="1" applyFont="1" applyFill="1" applyBorder="1"/>
    <xf numFmtId="17" fontId="0" fillId="0" borderId="12" xfId="0" applyNumberFormat="1" applyFill="1" applyBorder="1"/>
    <xf numFmtId="3" fontId="5" fillId="0" borderId="16" xfId="0" applyNumberFormat="1" applyFont="1" applyFill="1" applyBorder="1"/>
    <xf numFmtId="3" fontId="12" fillId="0" borderId="16" xfId="0" applyNumberFormat="1" applyFont="1" applyFill="1" applyBorder="1"/>
    <xf numFmtId="3" fontId="12" fillId="0" borderId="14" xfId="0" applyNumberFormat="1" applyFont="1" applyFill="1" applyBorder="1"/>
    <xf numFmtId="3" fontId="12" fillId="0" borderId="17" xfId="0" applyNumberFormat="1" applyFont="1" applyFill="1" applyBorder="1"/>
    <xf numFmtId="3" fontId="12" fillId="0" borderId="18" xfId="0" applyNumberFormat="1" applyFont="1" applyFill="1" applyBorder="1"/>
    <xf numFmtId="3" fontId="12" fillId="0" borderId="19" xfId="0" applyNumberFormat="1" applyFont="1" applyFill="1" applyBorder="1"/>
    <xf numFmtId="3" fontId="26" fillId="0" borderId="0" xfId="0" applyNumberFormat="1" applyFont="1" applyFill="1"/>
    <xf numFmtId="3" fontId="0" fillId="0" borderId="2" xfId="0" applyNumberFormat="1" applyFill="1" applyBorder="1"/>
    <xf numFmtId="3" fontId="35" fillId="0" borderId="0" xfId="0" applyNumberFormat="1" applyFont="1" applyFill="1"/>
    <xf numFmtId="3" fontId="18" fillId="2" borderId="0" xfId="0" applyNumberFormat="1" applyFont="1" applyFill="1"/>
    <xf numFmtId="9" fontId="5" fillId="0" borderId="0" xfId="3" quotePrefix="1" applyFont="1" applyFill="1" applyBorder="1" applyAlignment="1">
      <alignment horizontal="center"/>
    </xf>
    <xf numFmtId="10" fontId="5" fillId="0" borderId="0" xfId="3" quotePrefix="1" applyNumberFormat="1" applyFont="1" applyFill="1" applyBorder="1" applyAlignment="1">
      <alignment horizontal="center"/>
    </xf>
    <xf numFmtId="9" fontId="12" fillId="0" borderId="0" xfId="3" quotePrefix="1" applyFont="1" applyFill="1" applyBorder="1" applyAlignment="1">
      <alignment horizontal="center"/>
    </xf>
    <xf numFmtId="10" fontId="12" fillId="0" borderId="0" xfId="3" applyNumberFormat="1" applyFont="1" applyFill="1" applyBorder="1"/>
    <xf numFmtId="174" fontId="5" fillId="0" borderId="15" xfId="3" applyNumberFormat="1" applyFont="1" applyFill="1" applyBorder="1"/>
    <xf numFmtId="174" fontId="5" fillId="0" borderId="16" xfId="3" applyNumberFormat="1" applyFont="1" applyFill="1" applyBorder="1"/>
    <xf numFmtId="9" fontId="5" fillId="0" borderId="15" xfId="3" quotePrefix="1" applyFont="1" applyFill="1" applyBorder="1" applyAlignment="1">
      <alignment horizontal="center"/>
    </xf>
    <xf numFmtId="10" fontId="5" fillId="0" borderId="15" xfId="3" quotePrefix="1" applyNumberFormat="1" applyFont="1" applyFill="1" applyBorder="1" applyAlignment="1">
      <alignment horizontal="center"/>
    </xf>
    <xf numFmtId="9" fontId="12" fillId="0" borderId="15" xfId="3" quotePrefix="1" applyFont="1" applyFill="1" applyBorder="1" applyAlignment="1">
      <alignment horizontal="center"/>
    </xf>
    <xf numFmtId="10" fontId="12" fillId="0" borderId="15" xfId="3" applyNumberFormat="1" applyFont="1" applyFill="1" applyBorder="1"/>
    <xf numFmtId="9" fontId="12" fillId="0" borderId="10" xfId="3" quotePrefix="1" applyFont="1" applyFill="1" applyBorder="1" applyAlignment="1">
      <alignment horizontal="center"/>
    </xf>
    <xf numFmtId="9" fontId="12" fillId="0" borderId="13" xfId="3" quotePrefix="1" applyFont="1" applyFill="1" applyBorder="1" applyAlignment="1">
      <alignment horizontal="center"/>
    </xf>
    <xf numFmtId="9" fontId="5" fillId="0" borderId="16" xfId="3" quotePrefix="1" applyFont="1" applyFill="1" applyBorder="1" applyAlignment="1">
      <alignment horizontal="center"/>
    </xf>
    <xf numFmtId="10" fontId="5" fillId="0" borderId="16" xfId="3" quotePrefix="1" applyNumberFormat="1" applyFont="1" applyFill="1" applyBorder="1" applyAlignment="1">
      <alignment horizontal="center"/>
    </xf>
    <xf numFmtId="9" fontId="12" fillId="0" borderId="16" xfId="3" quotePrefix="1" applyFont="1" applyFill="1" applyBorder="1" applyAlignment="1">
      <alignment horizontal="center"/>
    </xf>
    <xf numFmtId="10" fontId="12" fillId="0" borderId="16" xfId="3" applyNumberFormat="1" applyFont="1" applyFill="1" applyBorder="1"/>
    <xf numFmtId="9" fontId="12" fillId="0" borderId="14" xfId="3" quotePrefix="1" applyFont="1" applyFill="1" applyBorder="1" applyAlignment="1">
      <alignment horizontal="center"/>
    </xf>
    <xf numFmtId="167" fontId="0" fillId="0" borderId="0" xfId="0" applyNumberFormat="1" applyFill="1" applyBorder="1"/>
    <xf numFmtId="167" fontId="0" fillId="0" borderId="16" xfId="0" applyNumberFormat="1" applyFill="1" applyBorder="1"/>
    <xf numFmtId="179" fontId="5" fillId="0" borderId="15" xfId="0" applyNumberFormat="1" applyFont="1" applyFill="1" applyBorder="1"/>
    <xf numFmtId="179" fontId="12" fillId="0" borderId="15" xfId="0" applyNumberFormat="1" applyFont="1" applyFill="1" applyBorder="1"/>
    <xf numFmtId="179" fontId="12" fillId="0" borderId="10" xfId="0" applyNumberFormat="1" applyFont="1" applyFill="1" applyBorder="1"/>
    <xf numFmtId="179" fontId="5" fillId="0" borderId="0" xfId="0" applyNumberFormat="1" applyFont="1" applyFill="1" applyBorder="1"/>
    <xf numFmtId="179" fontId="12" fillId="0" borderId="0" xfId="0" applyNumberFormat="1" applyFont="1" applyFill="1" applyBorder="1"/>
    <xf numFmtId="179" fontId="12" fillId="0" borderId="13" xfId="0" applyNumberFormat="1" applyFont="1" applyFill="1" applyBorder="1"/>
    <xf numFmtId="179" fontId="5" fillId="0" borderId="16" xfId="0" applyNumberFormat="1" applyFont="1" applyFill="1" applyBorder="1"/>
    <xf numFmtId="179" fontId="12" fillId="0" borderId="16" xfId="0" applyNumberFormat="1" applyFont="1" applyFill="1" applyBorder="1"/>
    <xf numFmtId="179" fontId="12" fillId="0" borderId="14" xfId="0" applyNumberFormat="1" applyFont="1" applyFill="1" applyBorder="1"/>
    <xf numFmtId="10" fontId="12" fillId="0" borderId="10" xfId="3" applyNumberFormat="1" applyFont="1" applyFill="1" applyBorder="1"/>
    <xf numFmtId="10" fontId="12" fillId="0" borderId="13" xfId="3" applyNumberFormat="1" applyFont="1" applyFill="1" applyBorder="1"/>
    <xf numFmtId="10" fontId="12" fillId="0" borderId="14" xfId="3" applyNumberFormat="1" applyFont="1" applyFill="1" applyBorder="1"/>
    <xf numFmtId="0" fontId="36" fillId="0" borderId="0" xfId="0" applyFont="1" applyFill="1"/>
    <xf numFmtId="44" fontId="2" fillId="0" borderId="0" xfId="2" applyFont="1" applyFill="1"/>
    <xf numFmtId="0" fontId="0" fillId="3" borderId="0" xfId="0" applyFill="1"/>
    <xf numFmtId="0" fontId="0" fillId="3" borderId="0" xfId="0" applyFill="1" applyAlignment="1">
      <alignment horizontal="center"/>
    </xf>
    <xf numFmtId="44" fontId="2" fillId="3" borderId="0" xfId="2" applyFill="1"/>
    <xf numFmtId="0" fontId="4" fillId="3" borderId="0" xfId="0" applyFont="1" applyFill="1" applyAlignment="1">
      <alignment horizontal="center"/>
    </xf>
    <xf numFmtId="177" fontId="4" fillId="3" borderId="0" xfId="1" applyNumberFormat="1" applyFont="1" applyFill="1"/>
    <xf numFmtId="166" fontId="0" fillId="3" borderId="0" xfId="0" applyNumberFormat="1" applyFill="1"/>
    <xf numFmtId="0" fontId="4" fillId="3" borderId="0" xfId="0" applyFont="1" applyFill="1"/>
    <xf numFmtId="0" fontId="0" fillId="3" borderId="0" xfId="0" applyFill="1" applyAlignment="1">
      <alignment horizontal="right"/>
    </xf>
    <xf numFmtId="44" fontId="0" fillId="3" borderId="0" xfId="2" quotePrefix="1" applyFont="1" applyFill="1"/>
    <xf numFmtId="169" fontId="0" fillId="3" borderId="0" xfId="3" applyNumberFormat="1" applyFont="1" applyFill="1"/>
    <xf numFmtId="10" fontId="0" fillId="0" borderId="0" xfId="3" applyNumberFormat="1" applyFont="1" applyFill="1"/>
    <xf numFmtId="0" fontId="13" fillId="0" borderId="0" xfId="0" applyFont="1" applyFill="1"/>
    <xf numFmtId="177" fontId="4" fillId="0" borderId="0" xfId="1" applyNumberFormat="1" applyFont="1" applyFill="1"/>
    <xf numFmtId="9" fontId="2" fillId="0" borderId="0" xfId="3" quotePrefix="1" applyFont="1" applyFill="1"/>
    <xf numFmtId="181" fontId="0" fillId="0" borderId="0" xfId="3" applyNumberFormat="1" applyFont="1" applyFill="1"/>
    <xf numFmtId="0" fontId="6" fillId="3" borderId="0" xfId="0" applyFont="1" applyFill="1"/>
    <xf numFmtId="17" fontId="0" fillId="3" borderId="0" xfId="0" applyNumberFormat="1" applyFill="1"/>
    <xf numFmtId="43" fontId="4" fillId="3" borderId="0" xfId="1" quotePrefix="1" applyFont="1" applyFill="1" applyBorder="1"/>
    <xf numFmtId="176" fontId="4" fillId="3" borderId="0" xfId="1" quotePrefix="1" applyNumberFormat="1" applyFont="1" applyFill="1" applyBorder="1"/>
    <xf numFmtId="17" fontId="0" fillId="3" borderId="0" xfId="0" applyNumberFormat="1" applyFill="1" applyAlignment="1">
      <alignment horizontal="right"/>
    </xf>
    <xf numFmtId="43" fontId="3" fillId="3" borderId="0" xfId="1" quotePrefix="1" applyFont="1" applyFill="1" applyBorder="1"/>
    <xf numFmtId="176" fontId="3" fillId="3" borderId="0" xfId="1" quotePrefix="1" applyNumberFormat="1" applyFont="1" applyFill="1" applyBorder="1"/>
    <xf numFmtId="43" fontId="3" fillId="3" borderId="0" xfId="1" quotePrefix="1" applyFont="1" applyFill="1"/>
    <xf numFmtId="176" fontId="3" fillId="3" borderId="0" xfId="1" quotePrefix="1" applyNumberFormat="1" applyFont="1" applyFill="1"/>
    <xf numFmtId="176" fontId="4" fillId="3" borderId="0" xfId="1" quotePrefix="1" applyNumberFormat="1" applyFont="1" applyFill="1"/>
    <xf numFmtId="0" fontId="7" fillId="0" borderId="0" xfId="0" quotePrefix="1" applyFont="1" applyFill="1" applyAlignment="1">
      <alignment horizontal="center"/>
    </xf>
    <xf numFmtId="44" fontId="0" fillId="0" borderId="0" xfId="2" applyFont="1" applyFill="1"/>
    <xf numFmtId="169" fontId="0" fillId="0" borderId="0" xfId="3" applyNumberFormat="1" applyFont="1" applyFill="1"/>
    <xf numFmtId="166" fontId="0" fillId="0" borderId="0" xfId="0" applyNumberFormat="1" applyFill="1" applyAlignment="1">
      <alignment horizontal="right"/>
    </xf>
    <xf numFmtId="168" fontId="0" fillId="0" borderId="0" xfId="3" applyNumberFormat="1" applyFont="1" applyFill="1"/>
    <xf numFmtId="168" fontId="0" fillId="0" borderId="0" xfId="3" quotePrefix="1" applyNumberFormat="1" applyFont="1" applyFill="1"/>
    <xf numFmtId="9" fontId="3" fillId="0" borderId="13" xfId="3" applyNumberFormat="1" applyFont="1" applyFill="1" applyBorder="1"/>
    <xf numFmtId="9" fontId="3" fillId="0" borderId="14" xfId="3" applyNumberFormat="1" applyFont="1" applyFill="1" applyBorder="1"/>
    <xf numFmtId="0" fontId="31" fillId="0" borderId="0" xfId="0" applyFont="1" applyFill="1"/>
    <xf numFmtId="0" fontId="0" fillId="3" borderId="0" xfId="0" applyFill="1" applyAlignment="1">
      <alignment horizontal="left"/>
    </xf>
    <xf numFmtId="44" fontId="2" fillId="3" borderId="0" xfId="2" quotePrefix="1" applyFont="1" applyFill="1" applyAlignment="1">
      <alignment horizontal="left"/>
    </xf>
    <xf numFmtId="182" fontId="5" fillId="0" borderId="0" xfId="0" applyNumberFormat="1" applyFont="1" applyFill="1"/>
    <xf numFmtId="182" fontId="0" fillId="0" borderId="0" xfId="0" applyNumberFormat="1" applyFill="1"/>
    <xf numFmtId="2" fontId="0" fillId="0" borderId="0" xfId="0" applyNumberFormat="1" applyFill="1"/>
    <xf numFmtId="175" fontId="3" fillId="0" borderId="0" xfId="1" applyNumberFormat="1" applyFont="1" applyFill="1" applyAlignment="1">
      <alignment horizontal="center"/>
    </xf>
    <xf numFmtId="175" fontId="4" fillId="0" borderId="0" xfId="1" applyNumberFormat="1" applyFont="1" applyFill="1" applyAlignment="1">
      <alignment horizontal="center"/>
    </xf>
    <xf numFmtId="175" fontId="4" fillId="0" borderId="0" xfId="1" applyNumberFormat="1" applyFont="1" applyFill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75" fontId="10" fillId="0" borderId="0" xfId="1" applyNumberFormat="1" applyFont="1" applyFill="1"/>
    <xf numFmtId="174" fontId="0" fillId="0" borderId="0" xfId="3" applyNumberFormat="1" applyFont="1" applyFill="1"/>
    <xf numFmtId="14" fontId="0" fillId="0" borderId="0" xfId="0" applyNumberFormat="1" applyFill="1"/>
    <xf numFmtId="1" fontId="0" fillId="0" borderId="0" xfId="0" applyNumberFormat="1" applyFill="1"/>
    <xf numFmtId="10" fontId="39" fillId="0" borderId="0" xfId="3" applyNumberFormat="1" applyFont="1" applyFill="1" applyAlignment="1">
      <alignment horizontal="center"/>
    </xf>
    <xf numFmtId="9" fontId="22" fillId="4" borderId="0" xfId="3" applyFont="1" applyFill="1"/>
    <xf numFmtId="3" fontId="18" fillId="4" borderId="0" xfId="0" applyNumberFormat="1" applyFont="1" applyFill="1"/>
    <xf numFmtId="3" fontId="23" fillId="4" borderId="0" xfId="0" applyNumberFormat="1" applyFont="1" applyFill="1"/>
    <xf numFmtId="3" fontId="30" fillId="4" borderId="0" xfId="0" applyNumberFormat="1" applyFont="1" applyFill="1"/>
    <xf numFmtId="3" fontId="24" fillId="5" borderId="0" xfId="0" applyNumberFormat="1" applyFont="1" applyFill="1"/>
    <xf numFmtId="9" fontId="27" fillId="5" borderId="0" xfId="3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0" fillId="0" borderId="0" xfId="0" applyNumberFormat="1" applyFont="1" applyFill="1"/>
    <xf numFmtId="0" fontId="40" fillId="0" borderId="0" xfId="0" applyFont="1" applyFill="1"/>
    <xf numFmtId="0" fontId="3" fillId="0" borderId="0" xfId="0" quotePrefix="1" applyFont="1" applyFill="1"/>
    <xf numFmtId="44" fontId="2" fillId="0" borderId="0" xfId="2" quotePrefix="1" applyNumberFormat="1" applyFont="1" applyFill="1"/>
    <xf numFmtId="44" fontId="2" fillId="0" borderId="0" xfId="2" applyNumberFormat="1" applyFill="1"/>
    <xf numFmtId="180" fontId="5" fillId="0" borderId="0" xfId="1" applyNumberFormat="1" applyFont="1"/>
    <xf numFmtId="3" fontId="23" fillId="4" borderId="0" xfId="0" applyNumberFormat="1" applyFont="1" applyFill="1" applyAlignment="1">
      <alignment horizontal="center"/>
    </xf>
    <xf numFmtId="3" fontId="3" fillId="5" borderId="0" xfId="0" applyNumberFormat="1" applyFont="1" applyFill="1"/>
    <xf numFmtId="1" fontId="39" fillId="0" borderId="0" xfId="3" applyNumberFormat="1" applyFont="1" applyFill="1" applyAlignment="1">
      <alignment horizontal="center"/>
    </xf>
    <xf numFmtId="165" fontId="0" fillId="0" borderId="0" xfId="0" applyNumberFormat="1" applyFill="1"/>
    <xf numFmtId="44" fontId="2" fillId="0" borderId="0" xfId="2" applyNumberFormat="1"/>
    <xf numFmtId="3" fontId="25" fillId="5" borderId="0" xfId="0" applyNumberFormat="1" applyFont="1" applyFill="1"/>
    <xf numFmtId="17" fontId="43" fillId="0" borderId="0" xfId="0" applyNumberFormat="1" applyFont="1" applyFill="1"/>
    <xf numFmtId="3" fontId="44" fillId="4" borderId="0" xfId="0" applyNumberFormat="1" applyFont="1" applyFill="1"/>
    <xf numFmtId="164" fontId="0" fillId="0" borderId="0" xfId="0" applyNumberFormat="1" applyFill="1"/>
    <xf numFmtId="3" fontId="37" fillId="4" borderId="0" xfId="0" applyNumberFormat="1" applyFont="1" applyFill="1"/>
    <xf numFmtId="3" fontId="41" fillId="4" borderId="0" xfId="0" applyNumberFormat="1" applyFont="1" applyFill="1"/>
    <xf numFmtId="175" fontId="43" fillId="0" borderId="0" xfId="1" applyNumberFormat="1" applyFont="1" applyFill="1"/>
    <xf numFmtId="167" fontId="5" fillId="0" borderId="0" xfId="0" applyNumberFormat="1" applyFont="1" applyFill="1"/>
    <xf numFmtId="167" fontId="5" fillId="0" borderId="15" xfId="0" applyNumberFormat="1" applyFont="1" applyFill="1" applyBorder="1"/>
    <xf numFmtId="10" fontId="5" fillId="0" borderId="0" xfId="3" applyNumberFormat="1" applyFont="1" applyFill="1"/>
    <xf numFmtId="10" fontId="5" fillId="0" borderId="15" xfId="3" applyNumberFormat="1" applyFont="1" applyFill="1" applyBorder="1"/>
    <xf numFmtId="10" fontId="5" fillId="0" borderId="10" xfId="3" applyNumberFormat="1" applyFont="1" applyFill="1" applyBorder="1"/>
    <xf numFmtId="10" fontId="5" fillId="0" borderId="0" xfId="3" applyNumberFormat="1" applyFont="1" applyFill="1" applyBorder="1"/>
    <xf numFmtId="10" fontId="5" fillId="0" borderId="13" xfId="3" applyNumberFormat="1" applyFont="1" applyFill="1" applyBorder="1"/>
    <xf numFmtId="10" fontId="5" fillId="0" borderId="16" xfId="3" applyNumberFormat="1" applyFont="1" applyFill="1" applyBorder="1"/>
    <xf numFmtId="10" fontId="5" fillId="0" borderId="14" xfId="3" applyNumberFormat="1" applyFont="1" applyFill="1" applyBorder="1"/>
    <xf numFmtId="0" fontId="2" fillId="0" borderId="0" xfId="0" applyFont="1" applyFill="1"/>
    <xf numFmtId="4" fontId="5" fillId="0" borderId="9" xfId="0" applyNumberFormat="1" applyFont="1" applyFill="1" applyBorder="1"/>
    <xf numFmtId="4" fontId="5" fillId="0" borderId="11" xfId="0" applyNumberFormat="1" applyFont="1" applyFill="1" applyBorder="1"/>
    <xf numFmtId="4" fontId="5" fillId="0" borderId="12" xfId="0" applyNumberFormat="1" applyFont="1" applyFill="1" applyBorder="1"/>
    <xf numFmtId="44" fontId="2" fillId="0" borderId="0" xfId="2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83" fontId="0" fillId="0" borderId="0" xfId="0" applyNumberFormat="1" applyFill="1"/>
    <xf numFmtId="9" fontId="0" fillId="0" borderId="0" xfId="3" applyFont="1" applyFill="1"/>
    <xf numFmtId="0" fontId="2" fillId="0" borderId="0" xfId="0" applyFont="1" applyFill="1" applyBorder="1"/>
    <xf numFmtId="185" fontId="0" fillId="0" borderId="0" xfId="1" applyNumberFormat="1" applyFont="1" applyFill="1"/>
    <xf numFmtId="175" fontId="0" fillId="0" borderId="0" xfId="1" applyNumberFormat="1" applyFont="1" applyFill="1"/>
    <xf numFmtId="183" fontId="48" fillId="0" borderId="0" xfId="0" applyNumberFormat="1" applyFont="1" applyFill="1"/>
    <xf numFmtId="0" fontId="48" fillId="0" borderId="0" xfId="0" applyFont="1" applyFill="1"/>
    <xf numFmtId="0" fontId="7" fillId="0" borderId="0" xfId="0" applyFont="1" applyFill="1" applyAlignment="1">
      <alignment horizontal="center"/>
    </xf>
    <xf numFmtId="174" fontId="0" fillId="0" borderId="0" xfId="0" applyNumberFormat="1" applyFill="1"/>
    <xf numFmtId="0" fontId="2" fillId="0" borderId="0" xfId="0" quotePrefix="1" applyFont="1" applyFill="1" applyBorder="1"/>
    <xf numFmtId="10" fontId="4" fillId="0" borderId="0" xfId="3" applyNumberFormat="1" applyFont="1" applyFill="1"/>
    <xf numFmtId="10" fontId="4" fillId="0" borderId="0" xfId="3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9" fillId="0" borderId="0" xfId="0" quotePrefix="1" applyFont="1" applyFill="1"/>
    <xf numFmtId="10" fontId="49" fillId="0" borderId="0" xfId="3" applyNumberFormat="1" applyFont="1" applyFill="1"/>
    <xf numFmtId="167" fontId="4" fillId="0" borderId="0" xfId="0" applyNumberFormat="1" applyFont="1"/>
    <xf numFmtId="44" fontId="46" fillId="0" borderId="0" xfId="2" quotePrefix="1" applyFont="1" applyFill="1"/>
    <xf numFmtId="8" fontId="2" fillId="0" borderId="0" xfId="2" applyNumberFormat="1" applyFont="1" applyFill="1"/>
    <xf numFmtId="8" fontId="46" fillId="0" borderId="0" xfId="0" applyNumberFormat="1" applyFont="1" applyFill="1"/>
    <xf numFmtId="184" fontId="50" fillId="0" borderId="0" xfId="0" applyNumberFormat="1" applyFont="1" applyFill="1"/>
    <xf numFmtId="164" fontId="0" fillId="0" borderId="0" xfId="0" applyNumberFormat="1" applyFill="1" applyBorder="1"/>
    <xf numFmtId="175" fontId="46" fillId="0" borderId="0" xfId="1" applyNumberFormat="1" applyFont="1" applyFill="1" applyBorder="1"/>
    <xf numFmtId="0" fontId="2" fillId="0" borderId="0" xfId="0" applyFont="1" applyFill="1" applyBorder="1" applyAlignment="1">
      <alignment horizontal="left"/>
    </xf>
    <xf numFmtId="3" fontId="46" fillId="0" borderId="0" xfId="0" applyNumberFormat="1" applyFont="1" applyFill="1" applyBorder="1"/>
    <xf numFmtId="175" fontId="0" fillId="0" borderId="0" xfId="0" applyNumberFormat="1" applyFill="1" applyBorder="1"/>
    <xf numFmtId="174" fontId="0" fillId="0" borderId="0" xfId="3" applyNumberFormat="1" applyFont="1" applyFill="1" applyBorder="1"/>
    <xf numFmtId="183" fontId="46" fillId="0" borderId="0" xfId="0" applyNumberFormat="1" applyFont="1" applyFill="1" applyBorder="1"/>
    <xf numFmtId="183" fontId="0" fillId="0" borderId="0" xfId="0" applyNumberFormat="1" applyFill="1" applyBorder="1"/>
    <xf numFmtId="9" fontId="0" fillId="0" borderId="0" xfId="3" applyFont="1" applyFill="1" applyBorder="1"/>
    <xf numFmtId="2" fontId="47" fillId="0" borderId="0" xfId="0" applyNumberFormat="1" applyFont="1" applyFill="1" applyBorder="1"/>
    <xf numFmtId="184" fontId="46" fillId="0" borderId="0" xfId="0" applyNumberFormat="1" applyFont="1" applyFill="1" applyBorder="1"/>
    <xf numFmtId="10" fontId="0" fillId="0" borderId="0" xfId="3" applyNumberFormat="1" applyFont="1" applyFill="1" applyBorder="1"/>
    <xf numFmtId="10" fontId="0" fillId="0" borderId="0" xfId="0" applyNumberFormat="1" applyFill="1" applyBorder="1"/>
    <xf numFmtId="174" fontId="0" fillId="0" borderId="0" xfId="0" applyNumberFormat="1" applyFill="1" applyBorder="1"/>
    <xf numFmtId="174" fontId="46" fillId="0" borderId="0" xfId="3" applyNumberFormat="1" applyFont="1" applyFill="1" applyBorder="1"/>
    <xf numFmtId="2" fontId="0" fillId="0" borderId="0" xfId="0" applyNumberFormat="1" applyFill="1" applyBorder="1"/>
    <xf numFmtId="0" fontId="49" fillId="0" borderId="0" xfId="0" applyFont="1" applyFill="1" applyBorder="1"/>
    <xf numFmtId="174" fontId="4" fillId="0" borderId="0" xfId="3" applyNumberFormat="1" applyFont="1" applyFill="1" applyBorder="1" applyAlignment="1" applyProtection="1">
      <alignment horizontal="right"/>
    </xf>
    <xf numFmtId="44" fontId="0" fillId="0" borderId="0" xfId="2" applyFont="1" applyFill="1" applyBorder="1"/>
    <xf numFmtId="0" fontId="0" fillId="0" borderId="0" xfId="0" quotePrefix="1" applyFill="1" applyBorder="1"/>
    <xf numFmtId="0" fontId="46" fillId="0" borderId="0" xfId="0" quotePrefix="1" applyFont="1" applyFill="1" applyAlignment="1">
      <alignment wrapText="1"/>
    </xf>
    <xf numFmtId="0" fontId="4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Fill="1" applyAlignment="1">
      <alignment horizontal="left"/>
    </xf>
    <xf numFmtId="10" fontId="46" fillId="0" borderId="0" xfId="3" quotePrefix="1" applyNumberFormat="1" applyFont="1" applyFill="1" applyAlignment="1">
      <alignment horizontal="right"/>
    </xf>
    <xf numFmtId="10" fontId="46" fillId="0" borderId="15" xfId="3" quotePrefix="1" applyNumberFormat="1" applyFont="1" applyFill="1" applyBorder="1" applyAlignment="1">
      <alignment horizontal="right"/>
    </xf>
    <xf numFmtId="10" fontId="46" fillId="0" borderId="0" xfId="3" quotePrefix="1" applyNumberFormat="1" applyFont="1" applyFill="1" applyBorder="1" applyAlignment="1">
      <alignment horizontal="right"/>
    </xf>
    <xf numFmtId="10" fontId="46" fillId="0" borderId="16" xfId="3" quotePrefix="1" applyNumberFormat="1" applyFont="1" applyFill="1" applyBorder="1" applyAlignment="1">
      <alignment horizontal="right"/>
    </xf>
    <xf numFmtId="10" fontId="46" fillId="0" borderId="0" xfId="3" applyNumberFormat="1" applyFont="1" applyFill="1"/>
    <xf numFmtId="10" fontId="46" fillId="0" borderId="15" xfId="3" applyNumberFormat="1" applyFont="1" applyFill="1" applyBorder="1"/>
    <xf numFmtId="10" fontId="46" fillId="0" borderId="0" xfId="3" applyNumberFormat="1" applyFont="1" applyFill="1" applyBorder="1"/>
    <xf numFmtId="10" fontId="46" fillId="0" borderId="16" xfId="3" applyNumberFormat="1" applyFont="1" applyFill="1" applyBorder="1"/>
    <xf numFmtId="4" fontId="5" fillId="0" borderId="15" xfId="0" applyNumberFormat="1" applyFont="1" applyFill="1" applyBorder="1"/>
    <xf numFmtId="4" fontId="5" fillId="0" borderId="0" xfId="0" applyNumberFormat="1" applyFont="1" applyFill="1" applyBorder="1"/>
    <xf numFmtId="4" fontId="5" fillId="0" borderId="16" xfId="0" applyNumberFormat="1" applyFont="1" applyFill="1" applyBorder="1"/>
    <xf numFmtId="186" fontId="12" fillId="0" borderId="0" xfId="0" applyNumberFormat="1" applyFont="1" applyFill="1"/>
    <xf numFmtId="8" fontId="46" fillId="0" borderId="0" xfId="0" applyNumberFormat="1" applyFont="1" applyFill="1" applyAlignment="1">
      <alignment horizontal="right"/>
    </xf>
    <xf numFmtId="184" fontId="50" fillId="0" borderId="0" xfId="0" applyNumberFormat="1" applyFont="1" applyFill="1" applyAlignment="1">
      <alignment horizontal="right"/>
    </xf>
    <xf numFmtId="8" fontId="5" fillId="0" borderId="0" xfId="2" applyNumberFormat="1" applyFont="1" applyFill="1" applyAlignment="1">
      <alignment horizontal="right"/>
    </xf>
    <xf numFmtId="166" fontId="0" fillId="0" borderId="0" xfId="0" applyNumberFormat="1" applyFill="1" applyBorder="1"/>
    <xf numFmtId="17" fontId="43" fillId="0" borderId="9" xfId="0" applyNumberFormat="1" applyFont="1" applyFill="1" applyBorder="1"/>
    <xf numFmtId="3" fontId="18" fillId="4" borderId="15" xfId="0" applyNumberFormat="1" applyFont="1" applyFill="1" applyBorder="1"/>
    <xf numFmtId="3" fontId="23" fillId="4" borderId="15" xfId="0" applyNumberFormat="1" applyFont="1" applyFill="1" applyBorder="1"/>
    <xf numFmtId="3" fontId="0" fillId="0" borderId="15" xfId="0" applyNumberFormat="1" applyFill="1" applyBorder="1"/>
    <xf numFmtId="3" fontId="24" fillId="5" borderId="15" xfId="0" applyNumberFormat="1" applyFont="1" applyFill="1" applyBorder="1"/>
    <xf numFmtId="0" fontId="0" fillId="0" borderId="15" xfId="0" applyFill="1" applyBorder="1"/>
    <xf numFmtId="3" fontId="3" fillId="5" borderId="15" xfId="0" applyNumberFormat="1" applyFont="1" applyFill="1" applyBorder="1"/>
    <xf numFmtId="17" fontId="43" fillId="0" borderId="11" xfId="0" applyNumberFormat="1" applyFont="1" applyFill="1" applyBorder="1"/>
    <xf numFmtId="3" fontId="18" fillId="4" borderId="0" xfId="0" applyNumberFormat="1" applyFont="1" applyFill="1" applyBorder="1"/>
    <xf numFmtId="3" fontId="23" fillId="4" borderId="0" xfId="0" applyNumberFormat="1" applyFont="1" applyFill="1" applyBorder="1"/>
    <xf numFmtId="3" fontId="24" fillId="5" borderId="0" xfId="0" applyNumberFormat="1" applyFont="1" applyFill="1" applyBorder="1"/>
    <xf numFmtId="3" fontId="3" fillId="5" borderId="0" xfId="0" applyNumberFormat="1" applyFont="1" applyFill="1" applyBorder="1"/>
    <xf numFmtId="0" fontId="3" fillId="0" borderId="0" xfId="0" applyFont="1" applyFill="1" applyBorder="1"/>
    <xf numFmtId="17" fontId="43" fillId="0" borderId="12" xfId="0" applyNumberFormat="1" applyFont="1" applyFill="1" applyBorder="1"/>
    <xf numFmtId="3" fontId="18" fillId="4" borderId="16" xfId="0" applyNumberFormat="1" applyFont="1" applyFill="1" applyBorder="1"/>
    <xf numFmtId="3" fontId="23" fillId="4" borderId="16" xfId="0" applyNumberFormat="1" applyFont="1" applyFill="1" applyBorder="1"/>
    <xf numFmtId="3" fontId="0" fillId="0" borderId="16" xfId="0" applyNumberFormat="1" applyFill="1" applyBorder="1"/>
    <xf numFmtId="3" fontId="24" fillId="5" borderId="16" xfId="0" applyNumberFormat="1" applyFont="1" applyFill="1" applyBorder="1"/>
    <xf numFmtId="0" fontId="5" fillId="0" borderId="16" xfId="0" quotePrefix="1" applyFont="1" applyFill="1" applyBorder="1"/>
    <xf numFmtId="3" fontId="3" fillId="5" borderId="16" xfId="0" applyNumberFormat="1" applyFont="1" applyFill="1" applyBorder="1"/>
    <xf numFmtId="165" fontId="5" fillId="6" borderId="0" xfId="0" applyNumberFormat="1" applyFont="1" applyFill="1"/>
    <xf numFmtId="3" fontId="46" fillId="5" borderId="0" xfId="0" applyNumberFormat="1" applyFont="1" applyFill="1"/>
    <xf numFmtId="3" fontId="46" fillId="5" borderId="15" xfId="0" applyNumberFormat="1" applyFont="1" applyFill="1" applyBorder="1"/>
    <xf numFmtId="3" fontId="46" fillId="5" borderId="0" xfId="0" applyNumberFormat="1" applyFont="1" applyFill="1" applyBorder="1"/>
    <xf numFmtId="3" fontId="46" fillId="5" borderId="16" xfId="0" applyNumberFormat="1" applyFont="1" applyFill="1" applyBorder="1"/>
    <xf numFmtId="9" fontId="27" fillId="0" borderId="0" xfId="3" applyFont="1" applyFill="1" applyAlignment="1">
      <alignment horizontal="right"/>
    </xf>
    <xf numFmtId="166" fontId="46" fillId="3" borderId="0" xfId="0" applyNumberFormat="1" applyFont="1" applyFill="1"/>
    <xf numFmtId="176" fontId="4" fillId="7" borderId="0" xfId="1" quotePrefix="1" applyNumberFormat="1" applyFont="1" applyFill="1" applyBorder="1"/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</cellXfs>
  <cellStyles count="7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3" xfId="5" xr:uid="{00000000-0005-0000-0000-000004000000}"/>
    <cellStyle name="Percent" xfId="3" builtinId="5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FFFF99"/>
      <color rgb="FF0000FF"/>
      <color rgb="FFCC99FF"/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49"/>
  <sheetViews>
    <sheetView view="pageBreakPreview" zoomScale="80" zoomScaleNormal="50" zoomScaleSheetLayoutView="8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6.5703125" style="13" customWidth="1"/>
    <col min="6" max="6" width="16" style="13" customWidth="1"/>
    <col min="7" max="7" width="16.5703125" style="13" customWidth="1"/>
    <col min="8" max="8" width="15.42578125" style="13" customWidth="1"/>
    <col min="9" max="9" width="14.140625" style="13" customWidth="1"/>
    <col min="10" max="10" width="16.42578125" style="13" customWidth="1"/>
    <col min="11" max="11" width="12.5703125" style="13" hidden="1" customWidth="1"/>
    <col min="12" max="12" width="16.5703125" style="13" hidden="1" customWidth="1"/>
    <col min="13" max="13" width="17" style="13" hidden="1" customWidth="1"/>
    <col min="14" max="14" width="15.140625" style="13" hidden="1" customWidth="1"/>
    <col min="15" max="16" width="12.42578125" style="13" hidden="1" customWidth="1"/>
    <col min="17" max="17" width="13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0.5703125" style="13" hidden="1" customWidth="1"/>
    <col min="26" max="26" width="11.5703125" style="13" hidden="1" customWidth="1"/>
    <col min="27" max="27" width="12.5703125" style="13" hidden="1" customWidth="1"/>
    <col min="28" max="28" width="13.42578125" style="13" hidden="1" customWidth="1"/>
    <col min="29" max="29" width="11" style="13" hidden="1" customWidth="1"/>
    <col min="30" max="30" width="14.140625" style="13" hidden="1" customWidth="1"/>
    <col min="31" max="31" width="9.85546875" style="13" hidden="1" customWidth="1"/>
    <col min="32" max="32" width="9.140625" style="13" hidden="1" customWidth="1"/>
    <col min="33" max="33" width="12" style="13" hidden="1" customWidth="1"/>
    <col min="34" max="37" width="9.140625" style="13" hidden="1" customWidth="1"/>
    <col min="38" max="38" width="9.42578125" style="13" hidden="1" customWidth="1"/>
    <col min="39" max="40" width="9.140625" style="13" hidden="1" customWidth="1"/>
    <col min="41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414" t="s">
        <v>69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26" ht="15.75" x14ac:dyDescent="0.25">
      <c r="B2" s="414" t="s">
        <v>187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26" ht="15.75" x14ac:dyDescent="0.25">
      <c r="B3" s="414" t="str">
        <f>'BGS PTY18 Cost Alloc'!$B$3</f>
        <v>2020 BGS Auction Cost and Bid Factor Tables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415" t="s">
        <v>304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26" x14ac:dyDescent="0.2">
      <c r="L6" s="120" t="s">
        <v>255</v>
      </c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tr">
        <f>'BGS PTY18 Cost Alloc'!$E$10</f>
        <v>Based on an average of 2016 through 2018 Load Profile Information</v>
      </c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153">
        <f>'BGS PTY18 Cost Alloc'!E15</f>
        <v>0.45929999999999999</v>
      </c>
      <c r="F15" s="153">
        <f>'BGS PTY18 Cost Alloc'!F15</f>
        <v>0.48399999999999999</v>
      </c>
      <c r="G15" s="153">
        <f>'BGS PTY18 Cost Alloc'!G15</f>
        <v>0.5494</v>
      </c>
      <c r="H15" s="153">
        <f>'BGS PTY18 Cost Alloc'!H15</f>
        <v>0.53139999999999998</v>
      </c>
      <c r="I15" s="153">
        <f>'BGS PTY18 Cost Alloc'!I15</f>
        <v>0.31530000000000002</v>
      </c>
      <c r="J15" s="29"/>
      <c r="K15" s="30"/>
      <c r="L15" s="30"/>
      <c r="M15" s="30"/>
      <c r="N15" s="31"/>
      <c r="O15" s="32"/>
      <c r="P15" s="32"/>
      <c r="Q15" s="32">
        <f t="shared" ref="Q15:Q26" si="0">1-E15</f>
        <v>0.54069999999999996</v>
      </c>
      <c r="R15" s="32">
        <f t="shared" ref="R15:R26" si="1">1-F15</f>
        <v>0.51600000000000001</v>
      </c>
      <c r="S15" s="32">
        <f t="shared" ref="S15:S26" si="2">1-G15</f>
        <v>0.4506</v>
      </c>
      <c r="T15" s="32">
        <f t="shared" ref="T15:T26" si="3">1-H15</f>
        <v>0.46860000000000002</v>
      </c>
      <c r="U15" s="32">
        <f t="shared" ref="U15:U26" si="4">1-I15</f>
        <v>0.68469999999999998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153">
        <f>'BGS PTY18 Cost Alloc'!E16</f>
        <v>0.48209999999999997</v>
      </c>
      <c r="F16" s="153">
        <f>'BGS PTY18 Cost Alloc'!F16</f>
        <v>0.5091</v>
      </c>
      <c r="G16" s="153">
        <f>'BGS PTY18 Cost Alloc'!G16</f>
        <v>0.57879999999999998</v>
      </c>
      <c r="H16" s="153">
        <f>'BGS PTY18 Cost Alloc'!H16</f>
        <v>0.55940000000000001</v>
      </c>
      <c r="I16" s="153">
        <f>'BGS PTY18 Cost Alloc'!I16</f>
        <v>0.31190000000000001</v>
      </c>
      <c r="J16" s="29"/>
      <c r="K16" s="30"/>
      <c r="L16" s="30"/>
      <c r="M16" s="30"/>
      <c r="N16" s="31"/>
      <c r="O16" s="32"/>
      <c r="P16" s="32"/>
      <c r="Q16" s="32">
        <f t="shared" si="0"/>
        <v>0.51790000000000003</v>
      </c>
      <c r="R16" s="32">
        <f t="shared" si="1"/>
        <v>0.4909</v>
      </c>
      <c r="S16" s="32">
        <f t="shared" si="2"/>
        <v>0.42120000000000002</v>
      </c>
      <c r="T16" s="32">
        <f t="shared" si="3"/>
        <v>0.44059999999999999</v>
      </c>
      <c r="U16" s="32">
        <f t="shared" si="4"/>
        <v>0.68809999999999993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153">
        <f>'BGS PTY18 Cost Alloc'!E17</f>
        <v>0.48880000000000001</v>
      </c>
      <c r="F17" s="153">
        <f>'BGS PTY18 Cost Alloc'!F17</f>
        <v>0.52029999999999998</v>
      </c>
      <c r="G17" s="153">
        <f>'BGS PTY18 Cost Alloc'!G17</f>
        <v>0.60470000000000002</v>
      </c>
      <c r="H17" s="153">
        <f>'BGS PTY18 Cost Alloc'!H17</f>
        <v>0.56799999999999995</v>
      </c>
      <c r="I17" s="153">
        <f>'BGS PTY18 Cost Alloc'!I17</f>
        <v>0.30640000000000001</v>
      </c>
      <c r="J17" s="29"/>
      <c r="K17" s="30"/>
      <c r="L17" s="30"/>
      <c r="M17" s="30"/>
      <c r="N17" s="31"/>
      <c r="O17" s="32"/>
      <c r="P17" s="32"/>
      <c r="Q17" s="32">
        <f t="shared" si="0"/>
        <v>0.51119999999999999</v>
      </c>
      <c r="R17" s="32">
        <f t="shared" si="1"/>
        <v>0.47970000000000002</v>
      </c>
      <c r="S17" s="32">
        <f t="shared" si="2"/>
        <v>0.39529999999999998</v>
      </c>
      <c r="T17" s="32">
        <f t="shared" si="3"/>
        <v>0.43200000000000005</v>
      </c>
      <c r="U17" s="32">
        <f t="shared" si="4"/>
        <v>0.69359999999999999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153">
        <f>'BGS PTY18 Cost Alloc'!E18</f>
        <v>0.4703</v>
      </c>
      <c r="F18" s="153">
        <f>'BGS PTY18 Cost Alloc'!F18</f>
        <v>0.4904</v>
      </c>
      <c r="G18" s="153">
        <f>'BGS PTY18 Cost Alloc'!G18</f>
        <v>0.58179999999999998</v>
      </c>
      <c r="H18" s="153">
        <f>'BGS PTY18 Cost Alloc'!H18</f>
        <v>0.55269999999999997</v>
      </c>
      <c r="I18" s="153">
        <f>'BGS PTY18 Cost Alloc'!I18</f>
        <v>0.27760000000000001</v>
      </c>
      <c r="J18" s="29"/>
      <c r="K18" s="30"/>
      <c r="L18" s="30"/>
      <c r="M18" s="30"/>
      <c r="N18" s="31"/>
      <c r="O18" s="32"/>
      <c r="P18" s="32"/>
      <c r="Q18" s="32">
        <f t="shared" si="0"/>
        <v>0.52970000000000006</v>
      </c>
      <c r="R18" s="32">
        <f t="shared" si="1"/>
        <v>0.50960000000000005</v>
      </c>
      <c r="S18" s="32">
        <f t="shared" si="2"/>
        <v>0.41820000000000002</v>
      </c>
      <c r="T18" s="32">
        <f t="shared" si="3"/>
        <v>0.44730000000000003</v>
      </c>
      <c r="U18" s="32">
        <f t="shared" si="4"/>
        <v>0.72239999999999993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153">
        <f>'BGS PTY18 Cost Alloc'!E19</f>
        <v>0.49170000000000003</v>
      </c>
      <c r="F19" s="153">
        <f>'BGS PTY18 Cost Alloc'!F19</f>
        <v>0.51100000000000001</v>
      </c>
      <c r="G19" s="153">
        <f>'BGS PTY18 Cost Alloc'!G19</f>
        <v>0.59709999999999996</v>
      </c>
      <c r="H19" s="153">
        <f>'BGS PTY18 Cost Alloc'!H19</f>
        <v>0.5736</v>
      </c>
      <c r="I19" s="153">
        <f>'BGS PTY18 Cost Alloc'!I19</f>
        <v>0.2767</v>
      </c>
      <c r="J19" s="29"/>
      <c r="K19" s="30"/>
      <c r="L19" s="30"/>
      <c r="M19" s="30"/>
      <c r="N19" s="31"/>
      <c r="O19" s="32"/>
      <c r="P19" s="32"/>
      <c r="Q19" s="32">
        <f t="shared" si="0"/>
        <v>0.50829999999999997</v>
      </c>
      <c r="R19" s="32">
        <f t="shared" si="1"/>
        <v>0.48899999999999999</v>
      </c>
      <c r="S19" s="32">
        <f t="shared" si="2"/>
        <v>0.40290000000000004</v>
      </c>
      <c r="T19" s="32">
        <f t="shared" si="3"/>
        <v>0.4264</v>
      </c>
      <c r="U19" s="32">
        <f t="shared" si="4"/>
        <v>0.72330000000000005</v>
      </c>
      <c r="V19" s="32"/>
      <c r="W19" s="32"/>
      <c r="X19" s="32"/>
      <c r="Y19" s="32"/>
      <c r="Z19" s="32"/>
    </row>
    <row r="20" spans="1:26" x14ac:dyDescent="0.2">
      <c r="A20" s="22"/>
      <c r="B20" s="28" t="s">
        <v>6</v>
      </c>
      <c r="C20" s="29"/>
      <c r="D20" s="29"/>
      <c r="E20" s="153">
        <f>'BGS PTY18 Cost Alloc'!E20</f>
        <v>0.52880000000000005</v>
      </c>
      <c r="F20" s="153">
        <f>'BGS PTY18 Cost Alloc'!F20</f>
        <v>0.53390000000000004</v>
      </c>
      <c r="G20" s="153">
        <f>'BGS PTY18 Cost Alloc'!G20</f>
        <v>0.59540000000000004</v>
      </c>
      <c r="H20" s="153">
        <f>'BGS PTY18 Cost Alloc'!H20</f>
        <v>0.58609999999999995</v>
      </c>
      <c r="I20" s="153">
        <f>'BGS PTY18 Cost Alloc'!I20</f>
        <v>0.27600000000000002</v>
      </c>
      <c r="J20" s="29"/>
      <c r="K20" s="30"/>
      <c r="L20" s="30"/>
      <c r="M20" s="30"/>
      <c r="N20" s="31"/>
      <c r="O20" s="32"/>
      <c r="P20" s="32"/>
      <c r="Q20" s="32">
        <f t="shared" si="0"/>
        <v>0.47119999999999995</v>
      </c>
      <c r="R20" s="32">
        <f t="shared" si="1"/>
        <v>0.46609999999999996</v>
      </c>
      <c r="S20" s="32">
        <f t="shared" si="2"/>
        <v>0.40459999999999996</v>
      </c>
      <c r="T20" s="32">
        <f t="shared" si="3"/>
        <v>0.41390000000000005</v>
      </c>
      <c r="U20" s="32">
        <f t="shared" si="4"/>
        <v>0.72399999999999998</v>
      </c>
      <c r="V20" s="32"/>
      <c r="W20" s="32"/>
      <c r="X20" s="32"/>
      <c r="Y20" s="32"/>
      <c r="Z20" s="32"/>
    </row>
    <row r="21" spans="1:26" x14ac:dyDescent="0.2">
      <c r="A21" s="22"/>
      <c r="B21" s="28" t="s">
        <v>7</v>
      </c>
      <c r="C21" s="29"/>
      <c r="D21" s="29"/>
      <c r="E21" s="153">
        <f>'BGS PTY18 Cost Alloc'!E21</f>
        <v>0.49940000000000001</v>
      </c>
      <c r="F21" s="153">
        <f>'BGS PTY18 Cost Alloc'!F21</f>
        <v>0.49969999999999998</v>
      </c>
      <c r="G21" s="153">
        <f>'BGS PTY18 Cost Alloc'!G21</f>
        <v>0.55549999999999999</v>
      </c>
      <c r="H21" s="153">
        <f>'BGS PTY18 Cost Alloc'!H21</f>
        <v>0.54239999999999999</v>
      </c>
      <c r="I21" s="153">
        <f>'BGS PTY18 Cost Alloc'!I21</f>
        <v>0.2485</v>
      </c>
      <c r="J21" s="29"/>
      <c r="K21" s="30"/>
      <c r="L21" s="30"/>
      <c r="M21" s="30"/>
      <c r="N21" s="31"/>
      <c r="O21" s="32"/>
      <c r="P21" s="32"/>
      <c r="Q21" s="32">
        <f t="shared" si="0"/>
        <v>0.50059999999999993</v>
      </c>
      <c r="R21" s="32">
        <f t="shared" si="1"/>
        <v>0.50029999999999997</v>
      </c>
      <c r="S21" s="32">
        <f t="shared" si="2"/>
        <v>0.44450000000000001</v>
      </c>
      <c r="T21" s="32">
        <f t="shared" si="3"/>
        <v>0.45760000000000001</v>
      </c>
      <c r="U21" s="32">
        <f t="shared" si="4"/>
        <v>0.75150000000000006</v>
      </c>
      <c r="V21" s="32"/>
      <c r="W21" s="32"/>
      <c r="X21" s="32"/>
      <c r="Y21" s="32"/>
      <c r="Z21" s="32"/>
    </row>
    <row r="22" spans="1:26" x14ac:dyDescent="0.2">
      <c r="A22" s="22"/>
      <c r="B22" s="28" t="s">
        <v>8</v>
      </c>
      <c r="C22" s="29"/>
      <c r="D22" s="29"/>
      <c r="E22" s="153">
        <f>'BGS PTY18 Cost Alloc'!E22</f>
        <v>0.55330000000000001</v>
      </c>
      <c r="F22" s="153">
        <f>'BGS PTY18 Cost Alloc'!F22</f>
        <v>0.55200000000000005</v>
      </c>
      <c r="G22" s="153">
        <f>'BGS PTY18 Cost Alloc'!G22</f>
        <v>0.60950000000000004</v>
      </c>
      <c r="H22" s="153">
        <f>'BGS PTY18 Cost Alloc'!H22</f>
        <v>0.59509999999999996</v>
      </c>
      <c r="I22" s="153">
        <f>'BGS PTY18 Cost Alloc'!I22</f>
        <v>0.29189999999999999</v>
      </c>
      <c r="J22" s="29"/>
      <c r="K22" s="30"/>
      <c r="L22" s="30"/>
      <c r="M22" s="30"/>
      <c r="N22" s="31"/>
      <c r="O22" s="32"/>
      <c r="P22" s="32"/>
      <c r="Q22" s="32">
        <f t="shared" si="0"/>
        <v>0.44669999999999999</v>
      </c>
      <c r="R22" s="32">
        <f t="shared" si="1"/>
        <v>0.44799999999999995</v>
      </c>
      <c r="S22" s="32">
        <f t="shared" si="2"/>
        <v>0.39049999999999996</v>
      </c>
      <c r="T22" s="32">
        <f t="shared" si="3"/>
        <v>0.40490000000000004</v>
      </c>
      <c r="U22" s="32">
        <f t="shared" si="4"/>
        <v>0.70809999999999995</v>
      </c>
      <c r="V22" s="32"/>
      <c r="W22" s="32"/>
      <c r="X22" s="32"/>
      <c r="Y22" s="32"/>
      <c r="Z22" s="32"/>
    </row>
    <row r="23" spans="1:26" x14ac:dyDescent="0.2">
      <c r="A23" s="22"/>
      <c r="B23" s="28" t="s">
        <v>9</v>
      </c>
      <c r="C23" s="29"/>
      <c r="D23" s="29"/>
      <c r="E23" s="153">
        <f>'BGS PTY18 Cost Alloc'!E23</f>
        <v>0.46779999999999999</v>
      </c>
      <c r="F23" s="153">
        <f>'BGS PTY18 Cost Alloc'!F23</f>
        <v>0.47349999999999998</v>
      </c>
      <c r="G23" s="153">
        <f>'BGS PTY18 Cost Alloc'!G23</f>
        <v>0.57030000000000003</v>
      </c>
      <c r="H23" s="153">
        <f>'BGS PTY18 Cost Alloc'!H23</f>
        <v>0.55549999999999999</v>
      </c>
      <c r="I23" s="153">
        <f>'BGS PTY18 Cost Alloc'!I23</f>
        <v>0.27850000000000003</v>
      </c>
      <c r="J23" s="29"/>
      <c r="K23" s="30"/>
      <c r="L23" s="30"/>
      <c r="M23" s="30"/>
      <c r="N23" s="31"/>
      <c r="O23" s="32"/>
      <c r="P23" s="32"/>
      <c r="Q23" s="32">
        <f t="shared" si="0"/>
        <v>0.53220000000000001</v>
      </c>
      <c r="R23" s="32">
        <f t="shared" si="1"/>
        <v>0.52649999999999997</v>
      </c>
      <c r="S23" s="32">
        <f t="shared" si="2"/>
        <v>0.42969999999999997</v>
      </c>
      <c r="T23" s="32">
        <f t="shared" si="3"/>
        <v>0.44450000000000001</v>
      </c>
      <c r="U23" s="32">
        <f t="shared" si="4"/>
        <v>0.72150000000000003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153">
        <f>'BGS PTY18 Cost Alloc'!E24</f>
        <v>0.4909</v>
      </c>
      <c r="F24" s="153">
        <f>'BGS PTY18 Cost Alloc'!F24</f>
        <v>0.50980000000000003</v>
      </c>
      <c r="G24" s="153">
        <f>'BGS PTY18 Cost Alloc'!G24</f>
        <v>0.59240000000000004</v>
      </c>
      <c r="H24" s="153">
        <f>'BGS PTY18 Cost Alloc'!H24</f>
        <v>0.57279999999999998</v>
      </c>
      <c r="I24" s="153">
        <f>'BGS PTY18 Cost Alloc'!I24</f>
        <v>0.31590000000000001</v>
      </c>
      <c r="J24" s="29"/>
      <c r="K24" s="30"/>
      <c r="L24" s="30"/>
      <c r="M24" s="30"/>
      <c r="N24" s="31"/>
      <c r="O24" s="32"/>
      <c r="P24" s="32"/>
      <c r="Q24" s="32">
        <f t="shared" si="0"/>
        <v>0.5091</v>
      </c>
      <c r="R24" s="32">
        <f t="shared" si="1"/>
        <v>0.49019999999999997</v>
      </c>
      <c r="S24" s="32">
        <f t="shared" si="2"/>
        <v>0.40759999999999996</v>
      </c>
      <c r="T24" s="32">
        <f t="shared" si="3"/>
        <v>0.42720000000000002</v>
      </c>
      <c r="U24" s="32">
        <f t="shared" si="4"/>
        <v>0.68409999999999993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153">
        <f>'BGS PTY18 Cost Alloc'!E25</f>
        <v>0.46439999999999998</v>
      </c>
      <c r="F25" s="153">
        <f>'BGS PTY18 Cost Alloc'!F25</f>
        <v>0.4985</v>
      </c>
      <c r="G25" s="153">
        <f>'BGS PTY18 Cost Alloc'!G25</f>
        <v>0.58250000000000002</v>
      </c>
      <c r="H25" s="153">
        <f>'BGS PTY18 Cost Alloc'!H25</f>
        <v>0.55379999999999996</v>
      </c>
      <c r="I25" s="153">
        <f>'BGS PTY18 Cost Alloc'!I25</f>
        <v>0.3281</v>
      </c>
      <c r="J25" s="29"/>
      <c r="K25" s="30"/>
      <c r="L25" s="30"/>
      <c r="M25" s="30"/>
      <c r="N25" s="31"/>
      <c r="O25" s="32"/>
      <c r="P25" s="32"/>
      <c r="Q25" s="32">
        <f t="shared" si="0"/>
        <v>0.53560000000000008</v>
      </c>
      <c r="R25" s="32">
        <f t="shared" si="1"/>
        <v>0.50150000000000006</v>
      </c>
      <c r="S25" s="32">
        <f t="shared" si="2"/>
        <v>0.41749999999999998</v>
      </c>
      <c r="T25" s="32">
        <f t="shared" si="3"/>
        <v>0.44620000000000004</v>
      </c>
      <c r="U25" s="32">
        <f t="shared" si="4"/>
        <v>0.67189999999999994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153">
        <f>'BGS PTY18 Cost Alloc'!E26</f>
        <v>0.44779999999999998</v>
      </c>
      <c r="F26" s="153">
        <f>'BGS PTY18 Cost Alloc'!F26</f>
        <v>0.46920000000000001</v>
      </c>
      <c r="G26" s="153">
        <f>'BGS PTY18 Cost Alloc'!G26</f>
        <v>0.53890000000000005</v>
      </c>
      <c r="H26" s="153">
        <f>'BGS PTY18 Cost Alloc'!H26</f>
        <v>0.5161</v>
      </c>
      <c r="I26" s="153">
        <f>'BGS PTY18 Cost Alloc'!I26</f>
        <v>0.31230000000000002</v>
      </c>
      <c r="J26" s="29"/>
      <c r="K26" s="30"/>
      <c r="L26" s="30"/>
      <c r="M26" s="30"/>
      <c r="N26" s="31"/>
      <c r="O26" s="32"/>
      <c r="P26" s="32"/>
      <c r="Q26" s="32">
        <f t="shared" si="0"/>
        <v>0.55220000000000002</v>
      </c>
      <c r="R26" s="32">
        <f t="shared" si="1"/>
        <v>0.53079999999999994</v>
      </c>
      <c r="S26" s="32">
        <f t="shared" si="2"/>
        <v>0.46109999999999995</v>
      </c>
      <c r="T26" s="32">
        <f t="shared" si="3"/>
        <v>0.4839</v>
      </c>
      <c r="U26" s="32">
        <f t="shared" si="4"/>
        <v>0.68769999999999998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23" t="str">
        <f>'BGS PTY18 Cost Alloc'!$E$30</f>
        <v>2019 Forecasted Calendar Month Sales</v>
      </c>
      <c r="F30" s="23" t="s">
        <v>39</v>
      </c>
      <c r="G30" s="23" t="s">
        <v>39</v>
      </c>
      <c r="H30" s="23" t="str">
        <f>'BGS PTY18 Cost Alloc'!$E$30</f>
        <v>2019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PTY18 Cost Alloc'!Q30</f>
        <v>2019 Forecasted Calendar Month Sales</v>
      </c>
      <c r="R30" s="23" t="s">
        <v>39</v>
      </c>
      <c r="S30" s="23" t="s">
        <v>39</v>
      </c>
      <c r="T30" s="23" t="str">
        <f>'BGS PTY18 Cost Alloc'!T30</f>
        <v>2019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153">
        <f>'BGS PTY18 Cost Alloc'!E33</f>
        <v>0.35580000000000001</v>
      </c>
      <c r="F33" s="156" t="s">
        <v>40</v>
      </c>
      <c r="G33" s="156" t="s">
        <v>40</v>
      </c>
      <c r="H33" s="153">
        <f>'BGS PTY18 Cost Alloc'!H33</f>
        <v>0.4259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5">1-E33</f>
        <v>0.64419999999999999</v>
      </c>
      <c r="R33" s="32"/>
      <c r="S33" s="32"/>
      <c r="T33" s="32">
        <f t="shared" ref="T33:T44" si="6">1-H33</f>
        <v>0.57410000000000005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153">
        <f>'BGS PTY18 Cost Alloc'!E34</f>
        <v>0.3483</v>
      </c>
      <c r="F34" s="156" t="s">
        <v>40</v>
      </c>
      <c r="G34" s="156" t="s">
        <v>40</v>
      </c>
      <c r="H34" s="153">
        <f>'BGS PTY18 Cost Alloc'!H34</f>
        <v>0.43049999999999999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5"/>
        <v>0.65169999999999995</v>
      </c>
      <c r="R34" s="32"/>
      <c r="S34" s="32"/>
      <c r="T34" s="32">
        <f t="shared" si="6"/>
        <v>0.56950000000000001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153">
        <f>'BGS PTY18 Cost Alloc'!E35</f>
        <v>0.34039999999999998</v>
      </c>
      <c r="F35" s="156" t="s">
        <v>40</v>
      </c>
      <c r="G35" s="156" t="s">
        <v>40</v>
      </c>
      <c r="H35" s="153">
        <f>'BGS PTY18 Cost Alloc'!H35</f>
        <v>0.4289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5"/>
        <v>0.65959999999999996</v>
      </c>
      <c r="R35" s="32"/>
      <c r="S35" s="32"/>
      <c r="T35" s="32">
        <f t="shared" si="6"/>
        <v>0.57109999999999994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153">
        <f>'BGS PTY18 Cost Alloc'!E36</f>
        <v>0.34399999999999997</v>
      </c>
      <c r="F36" s="156" t="s">
        <v>40</v>
      </c>
      <c r="G36" s="156" t="s">
        <v>40</v>
      </c>
      <c r="H36" s="153">
        <f>'BGS PTY18 Cost Alloc'!H36</f>
        <v>0.43940000000000001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5"/>
        <v>0.65600000000000003</v>
      </c>
      <c r="R36" s="32"/>
      <c r="S36" s="32"/>
      <c r="T36" s="32">
        <f t="shared" si="6"/>
        <v>0.56059999999999999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153">
        <f>'BGS PTY18 Cost Alloc'!E37</f>
        <v>0.36749999999999999</v>
      </c>
      <c r="F37" s="156" t="s">
        <v>40</v>
      </c>
      <c r="G37" s="156" t="s">
        <v>40</v>
      </c>
      <c r="H37" s="153">
        <f>'BGS PTY18 Cost Alloc'!H37</f>
        <v>0.45469999999999999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5"/>
        <v>0.63250000000000006</v>
      </c>
      <c r="R37" s="32"/>
      <c r="S37" s="32"/>
      <c r="T37" s="32">
        <f t="shared" si="6"/>
        <v>0.54530000000000001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28" t="s">
        <v>6</v>
      </c>
      <c r="C38" s="35"/>
      <c r="D38" s="135"/>
      <c r="E38" s="153">
        <f>'BGS PTY18 Cost Alloc'!E38</f>
        <v>0.3977</v>
      </c>
      <c r="F38" s="156" t="s">
        <v>40</v>
      </c>
      <c r="G38" s="156" t="s">
        <v>40</v>
      </c>
      <c r="H38" s="153">
        <f>'BGS PTY18 Cost Alloc'!H38</f>
        <v>0.46229999999999999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5"/>
        <v>0.60230000000000006</v>
      </c>
      <c r="R38" s="32"/>
      <c r="S38" s="32"/>
      <c r="T38" s="32">
        <f t="shared" si="6"/>
        <v>0.53770000000000007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28" t="s">
        <v>7</v>
      </c>
      <c r="C39" s="35"/>
      <c r="D39" s="135"/>
      <c r="E39" s="153">
        <f>'BGS PTY18 Cost Alloc'!E39</f>
        <v>0.4133</v>
      </c>
      <c r="F39" s="156" t="s">
        <v>40</v>
      </c>
      <c r="G39" s="156" t="s">
        <v>40</v>
      </c>
      <c r="H39" s="153">
        <f>'BGS PTY18 Cost Alloc'!H39</f>
        <v>0.46879999999999999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5"/>
        <v>0.5867</v>
      </c>
      <c r="R39" s="32"/>
      <c r="S39" s="32"/>
      <c r="T39" s="32">
        <f t="shared" si="6"/>
        <v>0.53120000000000001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28" t="s">
        <v>8</v>
      </c>
      <c r="C40" s="35"/>
      <c r="D40" s="135"/>
      <c r="E40" s="153">
        <f>'BGS PTY18 Cost Alloc'!E40</f>
        <v>0.41420000000000001</v>
      </c>
      <c r="F40" s="156" t="s">
        <v>40</v>
      </c>
      <c r="G40" s="156" t="s">
        <v>40</v>
      </c>
      <c r="H40" s="153">
        <f>'BGS PTY18 Cost Alloc'!H40</f>
        <v>0.46610000000000001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5"/>
        <v>0.58579999999999999</v>
      </c>
      <c r="R40" s="32"/>
      <c r="S40" s="32"/>
      <c r="T40" s="32">
        <f t="shared" si="6"/>
        <v>0.53390000000000004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28" t="s">
        <v>9</v>
      </c>
      <c r="C41" s="35"/>
      <c r="D41" s="135"/>
      <c r="E41" s="153">
        <f>'BGS PTY18 Cost Alloc'!E41</f>
        <v>0.40150000000000002</v>
      </c>
      <c r="F41" s="156" t="s">
        <v>40</v>
      </c>
      <c r="G41" s="156" t="s">
        <v>40</v>
      </c>
      <c r="H41" s="153">
        <f>'BGS PTY18 Cost Alloc'!H41</f>
        <v>0.46110000000000001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5"/>
        <v>0.59850000000000003</v>
      </c>
      <c r="R41" s="32"/>
      <c r="S41" s="32"/>
      <c r="T41" s="32">
        <f t="shared" si="6"/>
        <v>0.53889999999999993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153">
        <f>'BGS PTY18 Cost Alloc'!E42</f>
        <v>0.36899999999999999</v>
      </c>
      <c r="F42" s="156" t="s">
        <v>40</v>
      </c>
      <c r="G42" s="156" t="s">
        <v>40</v>
      </c>
      <c r="H42" s="153">
        <f>'BGS PTY18 Cost Alloc'!H42</f>
        <v>0.46479999999999999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5"/>
        <v>0.63100000000000001</v>
      </c>
      <c r="R42" s="32"/>
      <c r="S42" s="32"/>
      <c r="T42" s="32">
        <f t="shared" si="6"/>
        <v>0.53520000000000001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153">
        <f>'BGS PTY18 Cost Alloc'!E43</f>
        <v>0.35199999999999998</v>
      </c>
      <c r="F43" s="156" t="s">
        <v>40</v>
      </c>
      <c r="G43" s="156" t="s">
        <v>40</v>
      </c>
      <c r="H43" s="153">
        <f>'BGS PTY18 Cost Alloc'!H43</f>
        <v>0.4531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5"/>
        <v>0.64800000000000002</v>
      </c>
      <c r="R43" s="32"/>
      <c r="S43" s="32"/>
      <c r="T43" s="32">
        <f t="shared" si="6"/>
        <v>0.54689999999999994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153">
        <f>'BGS PTY18 Cost Alloc'!E44</f>
        <v>0.3548</v>
      </c>
      <c r="F44" s="156" t="s">
        <v>40</v>
      </c>
      <c r="G44" s="156" t="s">
        <v>40</v>
      </c>
      <c r="H44" s="153">
        <f>'BGS PTY18 Cost Alloc'!H44</f>
        <v>0.43330000000000002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5"/>
        <v>0.6452</v>
      </c>
      <c r="R44" s="32"/>
      <c r="S44" s="32"/>
      <c r="T44" s="32">
        <f t="shared" si="6"/>
        <v>0.56669999999999998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75" x14ac:dyDescent="0.25">
      <c r="A52" s="22"/>
      <c r="B52" s="414" t="str">
        <f>$B$1</f>
        <v xml:space="preserve">Jersey Central Power &amp; Light 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75" x14ac:dyDescent="0.25">
      <c r="A53" s="22"/>
      <c r="B53" s="414" t="str">
        <f>$B$2</f>
        <v>Attachment 2</v>
      </c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70" t="str">
        <f>'BGS PTY18 Cost Alloc'!Y55</f>
        <v>Forecast 2019 Delivery MWh</v>
      </c>
      <c r="X55" s="171"/>
      <c r="Y55" s="171"/>
      <c r="Z55" s="31"/>
    </row>
    <row r="56" spans="1:33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8" t="s">
        <v>251</v>
      </c>
    </row>
    <row r="57" spans="1:33" x14ac:dyDescent="0.2">
      <c r="A57" s="22"/>
      <c r="B57" s="39" t="str">
        <f>'BGS PTY18 Cost Alloc'!$B$57</f>
        <v>calendar month sales forecasted for 2019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2">
      <c r="A60" s="22"/>
      <c r="B60" s="28" t="s">
        <v>1</v>
      </c>
      <c r="C60" s="49"/>
      <c r="D60" s="49"/>
      <c r="E60" s="50">
        <f>'BGS PTY18 Cost Alloc'!E60</f>
        <v>23565</v>
      </c>
      <c r="F60" s="50">
        <f>'BGS PTY18 Cost Alloc'!F60</f>
        <v>756063</v>
      </c>
      <c r="G60" s="50">
        <f>'BGS PTY18 Cost Alloc'!G60</f>
        <v>518162</v>
      </c>
      <c r="H60" s="50">
        <f>'BGS PTY18 Cost Alloc'!H60</f>
        <v>12162</v>
      </c>
      <c r="I60" s="50">
        <f>'BGS PTY18 Cost Alloc'!I60</f>
        <v>9590</v>
      </c>
      <c r="J60" s="50">
        <f t="shared" ref="J60:J72" si="7">SUM(E60:I60)</f>
        <v>1319542</v>
      </c>
      <c r="K60" s="49"/>
      <c r="L60" s="49"/>
      <c r="M60" s="50">
        <f t="shared" ref="M60:M71" si="8">E60-ROUND(SUM($W60/1000),0)</f>
        <v>22985</v>
      </c>
      <c r="N60" s="51" t="s">
        <v>28</v>
      </c>
      <c r="O60" s="52"/>
      <c r="P60" s="53"/>
      <c r="Q60" s="53">
        <f>SUM(E60:E64,E69:E71)</f>
        <v>155825</v>
      </c>
      <c r="R60" s="53">
        <f>SUM(F60:F64,F69:F71)</f>
        <v>5410210</v>
      </c>
      <c r="S60" s="53">
        <f>SUM(G60:G64,G69:G71)</f>
        <v>3839355</v>
      </c>
      <c r="T60" s="53">
        <f>SUM(H60:H64,H69:H71)</f>
        <v>86886</v>
      </c>
      <c r="U60" s="54">
        <f>SUM(I60:I64,I69:I71)</f>
        <v>76720</v>
      </c>
      <c r="V60" s="169">
        <f>'BGS PTY18 Cost Alloc'!V60</f>
        <v>43466</v>
      </c>
      <c r="W60" s="50">
        <f>'BGS PTY18 Cost Alloc'!W60</f>
        <v>579968.33333329996</v>
      </c>
      <c r="X60" s="50">
        <f>'BGS PTY18 Cost Alloc'!X60</f>
        <v>11869.833333300001</v>
      </c>
      <c r="Y60" s="55">
        <f t="shared" ref="Y60:Y71" si="9">W60-X60</f>
        <v>568098.5</v>
      </c>
      <c r="Z60" s="50">
        <f>'BGS PTY18 Cost Alloc'!Z60</f>
        <v>1724182.4015641999</v>
      </c>
      <c r="AA60" s="50">
        <f>'BGS PTY18 Cost Alloc'!AA60</f>
        <v>22985.238607846699</v>
      </c>
      <c r="AB60" s="50">
        <f>'BGS PTY18 Cost Alloc'!AB60</f>
        <v>754338.84449058899</v>
      </c>
      <c r="AC60" s="50">
        <f>'BGS PTY18 Cost Alloc'!AC60</f>
        <v>518174.09490754409</v>
      </c>
      <c r="AD60" s="50">
        <f>'BGS PTY18 Cost Alloc'!AD60</f>
        <v>575919.09690754407</v>
      </c>
      <c r="AG60" s="50">
        <f>'BGS PTY18 Cost Alloc'!AG60</f>
        <v>12162.049460863702</v>
      </c>
    </row>
    <row r="61" spans="1:33" x14ac:dyDescent="0.2">
      <c r="A61" s="22"/>
      <c r="B61" s="28" t="s">
        <v>2</v>
      </c>
      <c r="C61" s="49"/>
      <c r="D61" s="49"/>
      <c r="E61" s="50">
        <f>'BGS PTY18 Cost Alloc'!E61</f>
        <v>25830</v>
      </c>
      <c r="F61" s="50">
        <f>'BGS PTY18 Cost Alloc'!F61</f>
        <v>767678</v>
      </c>
      <c r="G61" s="50">
        <f>'BGS PTY18 Cost Alloc'!G61</f>
        <v>518422</v>
      </c>
      <c r="H61" s="50">
        <f>'BGS PTY18 Cost Alloc'!H61</f>
        <v>14327</v>
      </c>
      <c r="I61" s="50">
        <f>'BGS PTY18 Cost Alloc'!I61</f>
        <v>9590</v>
      </c>
      <c r="J61" s="50">
        <f t="shared" si="7"/>
        <v>1335847</v>
      </c>
      <c r="K61" s="49"/>
      <c r="L61" s="49"/>
      <c r="M61" s="50">
        <f t="shared" si="8"/>
        <v>25258</v>
      </c>
      <c r="N61" s="51"/>
      <c r="O61" s="52"/>
      <c r="P61" s="114" t="s">
        <v>193</v>
      </c>
      <c r="Q61" s="53">
        <f>SUMPRODUCT(E33:E37,M60:M64)+SUMPRODUCT(E42:E44,M69:M71)</f>
        <v>53380.747199999998</v>
      </c>
      <c r="R61" s="47"/>
      <c r="S61" s="131" t="s">
        <v>177</v>
      </c>
      <c r="T61" s="53">
        <f>SUMPRODUCT(H33:H37,H60:H64)+SUMPRODUCT(H42:H44,H69:H71)</f>
        <v>38107.132400000002</v>
      </c>
      <c r="U61" s="48">
        <f>T61/T60</f>
        <v>0.43858771723868062</v>
      </c>
      <c r="V61" s="169">
        <f>'BGS PTY18 Cost Alloc'!V61</f>
        <v>43497</v>
      </c>
      <c r="W61" s="50">
        <f>'BGS PTY18 Cost Alloc'!W61</f>
        <v>572070.86111109995</v>
      </c>
      <c r="X61" s="50">
        <f>'BGS PTY18 Cost Alloc'!X61</f>
        <v>11775.236111099999</v>
      </c>
      <c r="Y61" s="55">
        <f t="shared" si="9"/>
        <v>560295.625</v>
      </c>
      <c r="Z61" s="50">
        <f>'BGS PTY18 Cost Alloc'!Z61</f>
        <v>1838681.5364045999</v>
      </c>
      <c r="AA61" s="50">
        <f>'BGS PTY18 Cost Alloc'!AA61</f>
        <v>25257.743785767001</v>
      </c>
      <c r="AB61" s="50">
        <f>'BGS PTY18 Cost Alloc'!AB61</f>
        <v>765839.2530528279</v>
      </c>
      <c r="AC61" s="50">
        <f>'BGS PTY18 Cost Alloc'!AC61</f>
        <v>518433.94475810003</v>
      </c>
      <c r="AD61" s="50">
        <f>'BGS PTY18 Cost Alloc'!AD61</f>
        <v>574486.42875810002</v>
      </c>
      <c r="AG61" s="50">
        <f>'BGS PTY18 Cost Alloc'!AG61</f>
        <v>14327.337866873295</v>
      </c>
    </row>
    <row r="62" spans="1:33" x14ac:dyDescent="0.2">
      <c r="A62" s="22"/>
      <c r="B62" s="28" t="s">
        <v>3</v>
      </c>
      <c r="C62" s="49"/>
      <c r="D62" s="49"/>
      <c r="E62" s="50">
        <f>'BGS PTY18 Cost Alloc'!E62</f>
        <v>23751</v>
      </c>
      <c r="F62" s="50">
        <f>'BGS PTY18 Cost Alloc'!F62</f>
        <v>700839</v>
      </c>
      <c r="G62" s="50">
        <f>'BGS PTY18 Cost Alloc'!G62</f>
        <v>510718</v>
      </c>
      <c r="H62" s="50">
        <f>'BGS PTY18 Cost Alloc'!H62</f>
        <v>14335</v>
      </c>
      <c r="I62" s="50">
        <f>'BGS PTY18 Cost Alloc'!I62</f>
        <v>9590</v>
      </c>
      <c r="J62" s="50">
        <f t="shared" si="7"/>
        <v>1259233</v>
      </c>
      <c r="K62" s="49"/>
      <c r="L62" s="49"/>
      <c r="M62" s="50">
        <f t="shared" si="8"/>
        <v>23186</v>
      </c>
      <c r="N62" s="51"/>
      <c r="O62" s="52"/>
      <c r="P62" s="114" t="s">
        <v>194</v>
      </c>
      <c r="Q62" s="53">
        <f>SUMPRODUCT(Q33:Q37,M60:M64)+SUMPRODUCT(Q42:Q44,M69:M71)</f>
        <v>98111.252800000002</v>
      </c>
      <c r="R62" s="47"/>
      <c r="S62" s="131" t="s">
        <v>178</v>
      </c>
      <c r="T62" s="53">
        <f>+T60-T61</f>
        <v>48778.867599999998</v>
      </c>
      <c r="U62" s="48"/>
      <c r="V62" s="169">
        <f>'BGS PTY18 Cost Alloc'!V62</f>
        <v>43525</v>
      </c>
      <c r="W62" s="50">
        <f>'BGS PTY18 Cost Alloc'!W62</f>
        <v>564939.43287040002</v>
      </c>
      <c r="X62" s="50">
        <f>'BGS PTY18 Cost Alloc'!X62</f>
        <v>11690.422453699999</v>
      </c>
      <c r="Y62" s="55">
        <f t="shared" si="9"/>
        <v>553249.01041670004</v>
      </c>
      <c r="Z62" s="50">
        <f>'BGS PTY18 Cost Alloc'!Z62</f>
        <v>1627068.8108206</v>
      </c>
      <c r="AA62" s="50">
        <f>'BGS PTY18 Cost Alloc'!AA62</f>
        <v>23186.444082912603</v>
      </c>
      <c r="AB62" s="50">
        <f>'BGS PTY18 Cost Alloc'!AB62</f>
        <v>699211.56509585003</v>
      </c>
      <c r="AC62" s="50">
        <f>'BGS PTY18 Cost Alloc'!AC62</f>
        <v>510730.26342078904</v>
      </c>
      <c r="AD62" s="50">
        <f>'BGS PTY18 Cost Alloc'!AD62</f>
        <v>565001.65742078901</v>
      </c>
      <c r="AG62" s="50">
        <f>'BGS PTY18 Cost Alloc'!AG62</f>
        <v>14334.828988410003</v>
      </c>
    </row>
    <row r="63" spans="1:33" x14ac:dyDescent="0.2">
      <c r="A63" s="22"/>
      <c r="B63" s="28" t="s">
        <v>4</v>
      </c>
      <c r="C63" s="49"/>
      <c r="D63" s="49"/>
      <c r="E63" s="50">
        <f>'BGS PTY18 Cost Alloc'!E63</f>
        <v>20338</v>
      </c>
      <c r="F63" s="50">
        <f>'BGS PTY18 Cost Alloc'!F63</f>
        <v>647385</v>
      </c>
      <c r="G63" s="50">
        <f>'BGS PTY18 Cost Alloc'!G63</f>
        <v>464644</v>
      </c>
      <c r="H63" s="50">
        <f>'BGS PTY18 Cost Alloc'!H63</f>
        <v>11761</v>
      </c>
      <c r="I63" s="50">
        <f>'BGS PTY18 Cost Alloc'!I63</f>
        <v>9590</v>
      </c>
      <c r="J63" s="50">
        <f t="shared" si="7"/>
        <v>1153718</v>
      </c>
      <c r="K63" s="49"/>
      <c r="L63" s="49"/>
      <c r="M63" s="50">
        <f t="shared" si="8"/>
        <v>19781</v>
      </c>
      <c r="N63" s="46"/>
      <c r="O63" s="47"/>
      <c r="P63" s="114" t="s">
        <v>195</v>
      </c>
      <c r="Q63" s="53">
        <f>SUM(W60:W64,W69:W71)/1000</f>
        <v>4333.8891105293997</v>
      </c>
      <c r="R63" s="47"/>
      <c r="S63" s="47"/>
      <c r="T63" s="47"/>
      <c r="U63" s="48"/>
      <c r="V63" s="169">
        <f>'BGS PTY18 Cost Alloc'!V63</f>
        <v>43556</v>
      </c>
      <c r="W63" s="50">
        <f>'BGS PTY18 Cost Alloc'!W63</f>
        <v>557073.46894289996</v>
      </c>
      <c r="X63" s="50">
        <f>'BGS PTY18 Cost Alloc'!X63</f>
        <v>11614.374324799999</v>
      </c>
      <c r="Y63" s="55">
        <f t="shared" si="9"/>
        <v>545459.09461809997</v>
      </c>
      <c r="Z63" s="50">
        <f>'BGS PTY18 Cost Alloc'!Z63</f>
        <v>1310564.7060739</v>
      </c>
      <c r="AA63" s="50">
        <f>'BGS PTY18 Cost Alloc'!AA63</f>
        <v>19780.665192779703</v>
      </c>
      <c r="AB63" s="50">
        <f>'BGS PTY18 Cost Alloc'!AB63</f>
        <v>646073.74100652803</v>
      </c>
      <c r="AC63" s="50">
        <f>'BGS PTY18 Cost Alloc'!AC63</f>
        <v>464655.65971247101</v>
      </c>
      <c r="AD63" s="50">
        <f>'BGS PTY18 Cost Alloc'!AD63</f>
        <v>520518.057712471</v>
      </c>
      <c r="AG63" s="50">
        <f>'BGS PTY18 Cost Alloc'!AG63</f>
        <v>11761.227115389496</v>
      </c>
    </row>
    <row r="64" spans="1:33" x14ac:dyDescent="0.2">
      <c r="A64" s="22"/>
      <c r="B64" s="28" t="s">
        <v>5</v>
      </c>
      <c r="C64" s="49"/>
      <c r="D64" s="49"/>
      <c r="E64" s="50">
        <f>'BGS PTY18 Cost Alloc'!E64</f>
        <v>15219</v>
      </c>
      <c r="F64" s="50">
        <f>'BGS PTY18 Cost Alloc'!F64</f>
        <v>593952</v>
      </c>
      <c r="G64" s="50">
        <f>'BGS PTY18 Cost Alloc'!G64</f>
        <v>439233</v>
      </c>
      <c r="H64" s="50">
        <f>'BGS PTY18 Cost Alloc'!H64</f>
        <v>7562</v>
      </c>
      <c r="I64" s="50">
        <f>'BGS PTY18 Cost Alloc'!I64</f>
        <v>9590</v>
      </c>
      <c r="J64" s="50">
        <f t="shared" si="7"/>
        <v>1065556</v>
      </c>
      <c r="K64" s="49"/>
      <c r="L64" s="49"/>
      <c r="M64" s="50">
        <f t="shared" si="8"/>
        <v>14670</v>
      </c>
      <c r="N64" s="51" t="s">
        <v>29</v>
      </c>
      <c r="O64" s="52"/>
      <c r="P64" s="53"/>
      <c r="Q64" s="53">
        <f>+SUM(E65:E68)</f>
        <v>72736</v>
      </c>
      <c r="R64" s="53">
        <f>+SUM(F65:F68)</f>
        <v>3679982</v>
      </c>
      <c r="S64" s="53">
        <f>+SUM(G65:G68)</f>
        <v>2112534</v>
      </c>
      <c r="T64" s="53">
        <f>+SUM(H65:H68)</f>
        <v>32036</v>
      </c>
      <c r="U64" s="54">
        <f>+SUM(I65:I68)</f>
        <v>38360</v>
      </c>
      <c r="V64" s="169">
        <f>'BGS PTY18 Cost Alloc'!V64</f>
        <v>43586</v>
      </c>
      <c r="W64" s="50">
        <f>'BGS PTY18 Cost Alloc'!W64</f>
        <v>549475.00802140008</v>
      </c>
      <c r="X64" s="50">
        <f>'BGS PTY18 Cost Alloc'!X64</f>
        <v>11549.572185200001</v>
      </c>
      <c r="Y64" s="55">
        <f t="shared" si="9"/>
        <v>537925.43583620002</v>
      </c>
      <c r="Z64" s="50">
        <f>'BGS PTY18 Cost Alloc'!Z64</f>
        <v>983244.90342049999</v>
      </c>
      <c r="AA64" s="50">
        <f>'BGS PTY18 Cost Alloc'!AA64</f>
        <v>14670.489150408801</v>
      </c>
      <c r="AB64" s="50">
        <f>'BGS PTY18 Cost Alloc'!AB64</f>
        <v>592968.75351033499</v>
      </c>
      <c r="AC64" s="50">
        <f>'BGS PTY18 Cost Alloc'!AC64</f>
        <v>439244.91301233106</v>
      </c>
      <c r="AD64" s="50">
        <f>'BGS PTY18 Cost Alloc'!AD64</f>
        <v>501711.55101233104</v>
      </c>
      <c r="AG64" s="50">
        <f>'BGS PTY18 Cost Alloc'!AG64</f>
        <v>7561.9923987510947</v>
      </c>
    </row>
    <row r="65" spans="1:33" x14ac:dyDescent="0.2">
      <c r="A65" s="22"/>
      <c r="B65" s="28" t="s">
        <v>6</v>
      </c>
      <c r="C65" s="49"/>
      <c r="D65" s="49"/>
      <c r="E65" s="50">
        <f>'BGS PTY18 Cost Alloc'!E65</f>
        <v>15454</v>
      </c>
      <c r="F65" s="50">
        <f>'BGS PTY18 Cost Alloc'!F65</f>
        <v>700169</v>
      </c>
      <c r="G65" s="50">
        <f>'BGS PTY18 Cost Alloc'!G65</f>
        <v>487689</v>
      </c>
      <c r="H65" s="50">
        <f>'BGS PTY18 Cost Alloc'!H65</f>
        <v>9518</v>
      </c>
      <c r="I65" s="50">
        <f>'BGS PTY18 Cost Alloc'!I65</f>
        <v>9590</v>
      </c>
      <c r="J65" s="50">
        <f t="shared" si="7"/>
        <v>1222420</v>
      </c>
      <c r="K65" s="49"/>
      <c r="L65" s="50"/>
      <c r="M65" s="50">
        <f t="shared" si="8"/>
        <v>14912</v>
      </c>
      <c r="N65" s="51"/>
      <c r="O65" s="52"/>
      <c r="P65" s="157" t="s">
        <v>151</v>
      </c>
      <c r="Q65" s="158">
        <f>SUMPRODUCT(E38:E41,M65:M68)</f>
        <v>28770.069900000002</v>
      </c>
      <c r="R65" s="158">
        <f>'BGS PTY18 Cost Alloc'!R65</f>
        <v>1975322.3391199985</v>
      </c>
      <c r="S65" s="131" t="s">
        <v>177</v>
      </c>
      <c r="T65" s="53">
        <f>+SUMPRODUCT(H38:H41,H65:H68)</f>
        <v>14886.868499999999</v>
      </c>
      <c r="U65" s="56">
        <f>T65/T64</f>
        <v>0.46469186227993503</v>
      </c>
      <c r="V65" s="169">
        <f>'BGS PTY18 Cost Alloc'!V65</f>
        <v>43617</v>
      </c>
      <c r="W65" s="50">
        <f>'BGS PTY18 Cost Alloc'!W65</f>
        <v>541646.67535659997</v>
      </c>
      <c r="X65" s="50">
        <f>'BGS PTY18 Cost Alloc'!X65</f>
        <v>11496.4532007</v>
      </c>
      <c r="Y65" s="55">
        <f t="shared" si="9"/>
        <v>530150.22215589997</v>
      </c>
      <c r="Z65" s="50">
        <f>'BGS PTY18 Cost Alloc'!Z65</f>
        <v>978837.61123079993</v>
      </c>
      <c r="AA65" s="50">
        <f>'BGS PTY18 Cost Alloc'!AA65</f>
        <v>13933.703136709299</v>
      </c>
      <c r="AB65" s="50">
        <f>'BGS PTY18 Cost Alloc'!AB65</f>
        <v>700169.29502990399</v>
      </c>
      <c r="AC65" s="50">
        <f>'BGS PTY18 Cost Alloc'!AC65</f>
        <v>487700.13521430601</v>
      </c>
      <c r="AD65" s="50">
        <f>'BGS PTY18 Cost Alloc'!AD65</f>
        <v>548435.43321430602</v>
      </c>
      <c r="AG65" s="50">
        <f>'BGS PTY18 Cost Alloc'!AG65</f>
        <v>9517.8384443462037</v>
      </c>
    </row>
    <row r="66" spans="1:33" x14ac:dyDescent="0.2">
      <c r="A66" s="22"/>
      <c r="B66" s="28" t="s">
        <v>7</v>
      </c>
      <c r="C66" s="49"/>
      <c r="D66" s="49"/>
      <c r="E66" s="50">
        <f>'BGS PTY18 Cost Alloc'!E66</f>
        <v>18683</v>
      </c>
      <c r="F66" s="50">
        <f>'BGS PTY18 Cost Alloc'!F66</f>
        <v>959624</v>
      </c>
      <c r="G66" s="50">
        <f>'BGS PTY18 Cost Alloc'!G66</f>
        <v>533658</v>
      </c>
      <c r="H66" s="50">
        <f>'BGS PTY18 Cost Alloc'!H66</f>
        <v>7049</v>
      </c>
      <c r="I66" s="50">
        <f>'BGS PTY18 Cost Alloc'!I66</f>
        <v>9590</v>
      </c>
      <c r="J66" s="50">
        <f t="shared" si="7"/>
        <v>1528604</v>
      </c>
      <c r="K66" s="49"/>
      <c r="L66" s="50"/>
      <c r="M66" s="50">
        <f t="shared" si="8"/>
        <v>18149</v>
      </c>
      <c r="N66" s="51"/>
      <c r="O66" s="52"/>
      <c r="P66" s="157" t="s">
        <v>152</v>
      </c>
      <c r="Q66" s="158">
        <f>SUMPRODUCT(Q38:Q41,M65:M68)</f>
        <v>41844.930099999998</v>
      </c>
      <c r="R66" s="158">
        <f>'BGS PTY18 Cost Alloc'!R66</f>
        <v>1704659.6608800013</v>
      </c>
      <c r="S66" s="131" t="s">
        <v>178</v>
      </c>
      <c r="T66" s="53">
        <f>+T64-T65</f>
        <v>17149.131500000003</v>
      </c>
      <c r="U66" s="48"/>
      <c r="V66" s="169">
        <f>'BGS PTY18 Cost Alloc'!V66</f>
        <v>43647</v>
      </c>
      <c r="W66" s="50">
        <f>'BGS PTY18 Cost Alloc'!W66</f>
        <v>534089.06496960006</v>
      </c>
      <c r="X66" s="50">
        <f>'BGS PTY18 Cost Alloc'!X66</f>
        <v>11456.5743007</v>
      </c>
      <c r="Y66" s="55">
        <f t="shared" si="9"/>
        <v>522632.49066890008</v>
      </c>
      <c r="Z66" s="50">
        <f>'BGS PTY18 Cost Alloc'!Z66</f>
        <v>1144842.5825376001</v>
      </c>
      <c r="AA66" s="50">
        <f>'BGS PTY18 Cost Alloc'!AA66</f>
        <v>17003.931940046103</v>
      </c>
      <c r="AB66" s="50">
        <f>'BGS PTY18 Cost Alloc'!AB66</f>
        <v>959624.476986747</v>
      </c>
      <c r="AC66" s="50">
        <f>'BGS PTY18 Cost Alloc'!AC66</f>
        <v>533668.60912104207</v>
      </c>
      <c r="AD66" s="50">
        <f>'BGS PTY18 Cost Alloc'!AD66</f>
        <v>603905.36112104205</v>
      </c>
      <c r="AG66" s="50">
        <f>'BGS PTY18 Cost Alloc'!AG66</f>
        <v>7048.7584066205027</v>
      </c>
    </row>
    <row r="67" spans="1:33" x14ac:dyDescent="0.2">
      <c r="A67" s="22"/>
      <c r="B67" s="28" t="s">
        <v>8</v>
      </c>
      <c r="C67" s="49"/>
      <c r="D67" s="49"/>
      <c r="E67" s="50">
        <f>'BGS PTY18 Cost Alloc'!E67</f>
        <v>21050</v>
      </c>
      <c r="F67" s="50">
        <f>'BGS PTY18 Cost Alloc'!F67</f>
        <v>1116559</v>
      </c>
      <c r="G67" s="50">
        <f>'BGS PTY18 Cost Alloc'!G67</f>
        <v>567778</v>
      </c>
      <c r="H67" s="50">
        <f>'BGS PTY18 Cost Alloc'!H67</f>
        <v>9874</v>
      </c>
      <c r="I67" s="50">
        <f>'BGS PTY18 Cost Alloc'!I67</f>
        <v>9590</v>
      </c>
      <c r="J67" s="50">
        <f t="shared" si="7"/>
        <v>1724851</v>
      </c>
      <c r="K67" s="49"/>
      <c r="L67" s="49"/>
      <c r="M67" s="50">
        <f t="shared" si="8"/>
        <v>20524</v>
      </c>
      <c r="N67" s="57"/>
      <c r="O67" s="58"/>
      <c r="P67" s="114" t="s">
        <v>195</v>
      </c>
      <c r="Q67" s="53">
        <f>SUM(W65:W68)/1000</f>
        <v>2120.5840466813002</v>
      </c>
      <c r="R67" s="66"/>
      <c r="S67" s="58"/>
      <c r="T67" s="58"/>
      <c r="U67" s="59"/>
      <c r="V67" s="169">
        <f>'BGS PTY18 Cost Alloc'!V67</f>
        <v>43678</v>
      </c>
      <c r="W67" s="50">
        <f>'BGS PTY18 Cost Alloc'!W67</f>
        <v>526303.9870504</v>
      </c>
      <c r="X67" s="50">
        <f>'BGS PTY18 Cost Alloc'!X67</f>
        <v>11430.372159099999</v>
      </c>
      <c r="Y67" s="55">
        <f t="shared" si="9"/>
        <v>514873.61489129998</v>
      </c>
      <c r="Z67" s="50">
        <f>'BGS PTY18 Cost Alloc'!Z67</f>
        <v>1270923.8224968</v>
      </c>
      <c r="AA67" s="50">
        <f>'BGS PTY18 Cost Alloc'!AA67</f>
        <v>19252.9194685109</v>
      </c>
      <c r="AB67" s="50">
        <f>'BGS PTY18 Cost Alloc'!AB67</f>
        <v>1116558.9140941</v>
      </c>
      <c r="AC67" s="50">
        <f>'BGS PTY18 Cost Alloc'!AC67</f>
        <v>567789.11063605594</v>
      </c>
      <c r="AD67" s="50">
        <f>'BGS PTY18 Cost Alloc'!AD67</f>
        <v>638731.31963605597</v>
      </c>
      <c r="AG67" s="50">
        <f>'BGS PTY18 Cost Alloc'!AG67</f>
        <v>9873.6945944710969</v>
      </c>
    </row>
    <row r="68" spans="1:33" x14ac:dyDescent="0.2">
      <c r="A68" s="22"/>
      <c r="B68" s="28" t="s">
        <v>9</v>
      </c>
      <c r="C68" s="49"/>
      <c r="D68" s="49"/>
      <c r="E68" s="50">
        <f>'BGS PTY18 Cost Alloc'!E68</f>
        <v>17549</v>
      </c>
      <c r="F68" s="50">
        <f>'BGS PTY18 Cost Alloc'!F68</f>
        <v>903630</v>
      </c>
      <c r="G68" s="50">
        <f>'BGS PTY18 Cost Alloc'!G68</f>
        <v>523409</v>
      </c>
      <c r="H68" s="50">
        <f>'BGS PTY18 Cost Alloc'!H68</f>
        <v>5595</v>
      </c>
      <c r="I68" s="50">
        <f>'BGS PTY18 Cost Alloc'!I68</f>
        <v>9590</v>
      </c>
      <c r="J68" s="50">
        <f t="shared" si="7"/>
        <v>1459773</v>
      </c>
      <c r="K68" s="49"/>
      <c r="L68" s="49"/>
      <c r="M68" s="50">
        <f t="shared" si="8"/>
        <v>17030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9">
        <f>'BGS PTY18 Cost Alloc'!V68</f>
        <v>43709</v>
      </c>
      <c r="W68" s="50">
        <f>'BGS PTY18 Cost Alloc'!W68</f>
        <v>518544.31930469995</v>
      </c>
      <c r="X68" s="50">
        <f>'BGS PTY18 Cost Alloc'!X68</f>
        <v>11419.653172400001</v>
      </c>
      <c r="Y68" s="55">
        <f t="shared" si="9"/>
        <v>507124.66613229993</v>
      </c>
      <c r="Z68" s="50">
        <f>'BGS PTY18 Cost Alloc'!Z68</f>
        <v>1056858.1503125001</v>
      </c>
      <c r="AA68" s="50">
        <f>'BGS PTY18 Cost Alloc'!AA68</f>
        <v>15974.235710306801</v>
      </c>
      <c r="AB68" s="50">
        <f>'BGS PTY18 Cost Alloc'!AB68</f>
        <v>903630.36547324795</v>
      </c>
      <c r="AC68" s="50">
        <f>'BGS PTY18 Cost Alloc'!AC68</f>
        <v>523419.80631970003</v>
      </c>
      <c r="AD68" s="50">
        <f>'BGS PTY18 Cost Alloc'!AD68</f>
        <v>596448.63831970003</v>
      </c>
      <c r="AG68" s="50">
        <f>'BGS PTY18 Cost Alloc'!AG68</f>
        <v>5594.5144500803053</v>
      </c>
    </row>
    <row r="69" spans="1:33" x14ac:dyDescent="0.2">
      <c r="A69" s="22"/>
      <c r="B69" s="28" t="s">
        <v>10</v>
      </c>
      <c r="C69" s="49"/>
      <c r="D69" s="49"/>
      <c r="E69" s="50">
        <f>'BGS PTY18 Cost Alloc'!E69</f>
        <v>12792</v>
      </c>
      <c r="F69" s="50">
        <f>'BGS PTY18 Cost Alloc'!F69</f>
        <v>635700</v>
      </c>
      <c r="G69" s="50">
        <f>'BGS PTY18 Cost Alloc'!G69</f>
        <v>453116</v>
      </c>
      <c r="H69" s="50">
        <f>'BGS PTY18 Cost Alloc'!H69</f>
        <v>7365</v>
      </c>
      <c r="I69" s="50">
        <f>'BGS PTY18 Cost Alloc'!I69</f>
        <v>9590</v>
      </c>
      <c r="J69" s="50">
        <f t="shared" si="7"/>
        <v>1118563</v>
      </c>
      <c r="K69" s="49"/>
      <c r="L69" s="49"/>
      <c r="M69" s="50">
        <f t="shared" si="8"/>
        <v>12281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9">
        <f>'BGS PTY18 Cost Alloc'!V69</f>
        <v>43739</v>
      </c>
      <c r="W69" s="50">
        <f>'BGS PTY18 Cost Alloc'!W69</f>
        <v>511063.01258009998</v>
      </c>
      <c r="X69" s="50">
        <f>'BGS PTY18 Cost Alloc'!X69</f>
        <v>11425.5409368</v>
      </c>
      <c r="Y69" s="55">
        <f t="shared" si="9"/>
        <v>499637.47164329997</v>
      </c>
      <c r="Z69" s="50">
        <f>'BGS PTY18 Cost Alloc'!Z69</f>
        <v>832317.09372740006</v>
      </c>
      <c r="AA69" s="50">
        <f>'BGS PTY18 Cost Alloc'!AA69</f>
        <v>12280.925134660501</v>
      </c>
      <c r="AB69" s="50">
        <f>'BGS PTY18 Cost Alloc'!AB69</f>
        <v>634867.8292999689</v>
      </c>
      <c r="AC69" s="50">
        <f>'BGS PTY18 Cost Alloc'!AC69</f>
        <v>453126.689642212</v>
      </c>
      <c r="AD69" s="50">
        <f>'BGS PTY18 Cost Alloc'!AD69</f>
        <v>516247.69764221198</v>
      </c>
      <c r="AG69" s="50">
        <f>'BGS PTY18 Cost Alloc'!AG69</f>
        <v>7365.3848199874983</v>
      </c>
    </row>
    <row r="70" spans="1:33" x14ac:dyDescent="0.2">
      <c r="A70" s="22"/>
      <c r="B70" s="28" t="s">
        <v>11</v>
      </c>
      <c r="C70" s="49"/>
      <c r="D70" s="49"/>
      <c r="E70" s="50">
        <f>'BGS PTY18 Cost Alloc'!E70</f>
        <v>15006</v>
      </c>
      <c r="F70" s="50">
        <f>'BGS PTY18 Cost Alloc'!F70</f>
        <v>614269</v>
      </c>
      <c r="G70" s="50">
        <f>'BGS PTY18 Cost Alloc'!G70</f>
        <v>452674</v>
      </c>
      <c r="H70" s="50">
        <f>'BGS PTY18 Cost Alloc'!H70</f>
        <v>9447</v>
      </c>
      <c r="I70" s="50">
        <f>'BGS PTY18 Cost Alloc'!I70</f>
        <v>9590</v>
      </c>
      <c r="J70" s="50">
        <f t="shared" si="7"/>
        <v>1100986</v>
      </c>
      <c r="K70" s="49"/>
      <c r="L70" s="49"/>
      <c r="M70" s="50">
        <f t="shared" si="8"/>
        <v>14503</v>
      </c>
      <c r="N70" s="46"/>
      <c r="O70" s="47"/>
      <c r="P70" s="47"/>
      <c r="Q70" s="47"/>
      <c r="R70" s="47"/>
      <c r="S70" s="47"/>
      <c r="T70" s="47"/>
      <c r="U70" s="48"/>
      <c r="V70" s="169">
        <f>'BGS PTY18 Cost Alloc'!V70</f>
        <v>43770</v>
      </c>
      <c r="W70" s="50">
        <f>'BGS PTY18 Cost Alloc'!W70</f>
        <v>503359.59696170001</v>
      </c>
      <c r="X70" s="50">
        <f>'BGS PTY18 Cost Alloc'!X70</f>
        <v>11449.002681499998</v>
      </c>
      <c r="Y70" s="55">
        <f t="shared" si="9"/>
        <v>491910.59428020002</v>
      </c>
      <c r="Z70" s="50">
        <f>'BGS PTY18 Cost Alloc'!Z70</f>
        <v>1071373.3287497</v>
      </c>
      <c r="AA70" s="50">
        <f>'BGS PTY18 Cost Alloc'!AA70</f>
        <v>14502.7721228962</v>
      </c>
      <c r="AB70" s="50">
        <f>'BGS PTY18 Cost Alloc'!AB70</f>
        <v>613197.64695407404</v>
      </c>
      <c r="AC70" s="50">
        <f>'BGS PTY18 Cost Alloc'!AC70</f>
        <v>452684.55748243199</v>
      </c>
      <c r="AD70" s="50">
        <f>'BGS PTY18 Cost Alloc'!AD70</f>
        <v>509264.06348243199</v>
      </c>
      <c r="AG70" s="50">
        <f>'BGS PTY18 Cost Alloc'!AG70</f>
        <v>9446.7690652227029</v>
      </c>
    </row>
    <row r="71" spans="1:33" x14ac:dyDescent="0.2">
      <c r="A71" s="22"/>
      <c r="B71" s="28" t="s">
        <v>12</v>
      </c>
      <c r="C71" s="49"/>
      <c r="D71" s="49"/>
      <c r="E71" s="50">
        <f>'BGS PTY18 Cost Alloc'!E71</f>
        <v>19324</v>
      </c>
      <c r="F71" s="50">
        <f>'BGS PTY18 Cost Alloc'!F71</f>
        <v>694324</v>
      </c>
      <c r="G71" s="50">
        <f>'BGS PTY18 Cost Alloc'!G71</f>
        <v>482386</v>
      </c>
      <c r="H71" s="50">
        <f>'BGS PTY18 Cost Alloc'!H71</f>
        <v>9927</v>
      </c>
      <c r="I71" s="50">
        <f>'BGS PTY18 Cost Alloc'!I71</f>
        <v>9590</v>
      </c>
      <c r="J71" s="50">
        <f t="shared" si="7"/>
        <v>1215551</v>
      </c>
      <c r="K71" s="49"/>
      <c r="L71" s="49"/>
      <c r="M71" s="50">
        <f t="shared" si="8"/>
        <v>18828</v>
      </c>
      <c r="N71" s="51"/>
      <c r="O71" s="52"/>
      <c r="P71" s="115" t="s">
        <v>148</v>
      </c>
      <c r="Q71" s="53">
        <f>SUM(E60:E64,E69:E71)</f>
        <v>155825</v>
      </c>
      <c r="R71" s="53"/>
      <c r="S71" s="115" t="s">
        <v>148</v>
      </c>
      <c r="T71" s="53">
        <f>SUM(H60:H64,H69:H71)</f>
        <v>86886</v>
      </c>
      <c r="U71" s="54"/>
      <c r="V71" s="169">
        <f>'BGS PTY18 Cost Alloc'!V71</f>
        <v>43800</v>
      </c>
      <c r="W71" s="50">
        <f>'BGS PTY18 Cost Alloc'!W71</f>
        <v>495939.39670850005</v>
      </c>
      <c r="X71" s="50">
        <f>'BGS PTY18 Cost Alloc'!X71</f>
        <v>11492.086238299999</v>
      </c>
      <c r="Y71" s="55">
        <f t="shared" si="9"/>
        <v>484447.31047020003</v>
      </c>
      <c r="Z71" s="50">
        <f>'BGS PTY18 Cost Alloc'!Z71</f>
        <v>1435895.9293958</v>
      </c>
      <c r="AA71" s="50">
        <f>'BGS PTY18 Cost Alloc'!AA71</f>
        <v>18828.075899498701</v>
      </c>
      <c r="AB71" s="50">
        <f>'BGS PTY18 Cost Alloc'!AB71</f>
        <v>692887.6998606351</v>
      </c>
      <c r="AC71" s="50">
        <f>'BGS PTY18 Cost Alloc'!AC71</f>
        <v>482396.50031204999</v>
      </c>
      <c r="AD71" s="50">
        <f>'BGS PTY18 Cost Alloc'!AD71</f>
        <v>539163.65431204997</v>
      </c>
      <c r="AG71" s="50">
        <f>'BGS PTY18 Cost Alloc'!AG71</f>
        <v>9926.8312806094</v>
      </c>
    </row>
    <row r="72" spans="1:33" x14ac:dyDescent="0.2">
      <c r="A72" s="22"/>
      <c r="B72" s="60" t="s">
        <v>13</v>
      </c>
      <c r="C72" s="55"/>
      <c r="D72" s="55"/>
      <c r="E72" s="55">
        <f>SUM(E60:E71)</f>
        <v>228561</v>
      </c>
      <c r="F72" s="55">
        <f>SUM(F60:F71)</f>
        <v>9090192</v>
      </c>
      <c r="G72" s="55">
        <f>SUM(G60:G71)</f>
        <v>5951889</v>
      </c>
      <c r="H72" s="55">
        <f>SUM(H60:H71)</f>
        <v>118922</v>
      </c>
      <c r="I72" s="55">
        <f>SUM(I60:I71)</f>
        <v>115080</v>
      </c>
      <c r="J72" s="55">
        <f t="shared" si="7"/>
        <v>15504644</v>
      </c>
      <c r="K72" s="55"/>
      <c r="L72" s="55"/>
      <c r="M72" s="55">
        <f>SUM(M60:M71)</f>
        <v>222107</v>
      </c>
      <c r="N72" s="51"/>
      <c r="O72" s="52"/>
      <c r="P72" s="114" t="s">
        <v>146</v>
      </c>
      <c r="Q72" s="53">
        <f>SUMPRODUCT(E15:E19,E60:E64)+SUMPRODUCT(E24:E26,E69:E71)</f>
        <v>73835.346399999995</v>
      </c>
      <c r="R72" s="47">
        <f>Q72/Q71</f>
        <v>0.47383504829135242</v>
      </c>
      <c r="S72" s="114" t="s">
        <v>177</v>
      </c>
      <c r="T72" s="53">
        <f>SUMPRODUCT(H15:H19,H60:H64)+SUMPRODUCT(H24:H26,H69:H71)</f>
        <v>48031.303799999994</v>
      </c>
      <c r="U72" s="48">
        <f>T72/T71</f>
        <v>0.55280832124853252</v>
      </c>
      <c r="W72" s="55">
        <f t="shared" ref="W72:AD72" si="10">SUM(W60:W71)</f>
        <v>6454473.1572106993</v>
      </c>
      <c r="X72" s="55">
        <f t="shared" si="10"/>
        <v>138669.12109759997</v>
      </c>
      <c r="Y72" s="55">
        <f t="shared" si="10"/>
        <v>6315804.0361131011</v>
      </c>
      <c r="Z72" s="55">
        <f t="shared" si="10"/>
        <v>15274790.8767344</v>
      </c>
      <c r="AA72" s="55">
        <f t="shared" si="10"/>
        <v>217657.1442323433</v>
      </c>
      <c r="AB72" s="55">
        <f t="shared" si="10"/>
        <v>9079368.3848548066</v>
      </c>
      <c r="AC72" s="55">
        <f t="shared" si="10"/>
        <v>5952024.2845390327</v>
      </c>
      <c r="AD72" s="55">
        <f t="shared" si="10"/>
        <v>6689832.9595390325</v>
      </c>
      <c r="AG72" s="55">
        <f>SUM(AG60:AG71)</f>
        <v>118921.22689162529</v>
      </c>
    </row>
    <row r="73" spans="1:33" x14ac:dyDescent="0.2">
      <c r="A73" s="22"/>
      <c r="B73" s="28"/>
      <c r="J73" s="61"/>
      <c r="N73" s="51"/>
      <c r="O73" s="52"/>
      <c r="P73" s="114" t="s">
        <v>145</v>
      </c>
      <c r="Q73" s="53">
        <f>+Q71-Q72</f>
        <v>81989.653600000005</v>
      </c>
      <c r="R73" s="47"/>
      <c r="S73" s="114" t="s">
        <v>178</v>
      </c>
      <c r="T73" s="53">
        <f>+T71-T72</f>
        <v>38854.696200000006</v>
      </c>
      <c r="U73" s="48"/>
    </row>
    <row r="74" spans="1:33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3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72736</v>
      </c>
      <c r="R75" s="44"/>
      <c r="S75" s="116" t="s">
        <v>149</v>
      </c>
      <c r="T75" s="53">
        <f>+SUM(H65:H68)</f>
        <v>32036</v>
      </c>
      <c r="U75" s="45"/>
      <c r="V75" s="55">
        <f t="shared" ref="V75:V86" si="11">W60-W75</f>
        <v>244127.33333329996</v>
      </c>
      <c r="W75" s="55">
        <f t="shared" ref="W75:W86" si="12">SUM(X75:Z75)</f>
        <v>335841</v>
      </c>
      <c r="X75" s="50">
        <f>'BGS PTY18 Cost Alloc'!X75</f>
        <v>9135.5</v>
      </c>
      <c r="Y75" s="50">
        <f>'BGS PTY18 Cost Alloc'!Y75</f>
        <v>324336</v>
      </c>
      <c r="Z75" s="50">
        <f>'BGS PTY18 Cost Alloc'!Z75</f>
        <v>2369.5</v>
      </c>
      <c r="AA75" s="55"/>
      <c r="AB75" s="13">
        <f t="shared" ref="AB75:AB86" si="13">(V75*$AA$94+W75*$AA$95)/1000</f>
        <v>124.59447248931227</v>
      </c>
      <c r="AC75" s="13">
        <f t="shared" ref="AC75:AC86" si="14">(W60/1000)-AB75</f>
        <v>455.3738608439877</v>
      </c>
    </row>
    <row r="76" spans="1:33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37358.7526</v>
      </c>
      <c r="R76" s="47">
        <f>Q76/Q75</f>
        <v>0.51362121370435543</v>
      </c>
      <c r="S76" s="131" t="s">
        <v>177</v>
      </c>
      <c r="T76" s="53">
        <f>+SUMPRODUCT(H20:H23,H65:H68)</f>
        <v>18385.917299999997</v>
      </c>
      <c r="U76" s="48">
        <f>T76/T75</f>
        <v>0.57391426208015972</v>
      </c>
      <c r="V76" s="55">
        <f t="shared" si="11"/>
        <v>241592.02777779993</v>
      </c>
      <c r="W76" s="55">
        <f t="shared" si="12"/>
        <v>330478.83333330002</v>
      </c>
      <c r="X76" s="50">
        <f>'BGS PTY18 Cost Alloc'!X76</f>
        <v>9063.2083332999991</v>
      </c>
      <c r="Y76" s="50">
        <f>'BGS PTY18 Cost Alloc'!Y76</f>
        <v>319107</v>
      </c>
      <c r="Z76" s="50">
        <f>'BGS PTY18 Cost Alloc'!Z76</f>
        <v>2308.625</v>
      </c>
      <c r="AA76" s="55"/>
      <c r="AB76" s="13">
        <f t="shared" si="13"/>
        <v>122.76735459273837</v>
      </c>
      <c r="AC76" s="13">
        <f t="shared" si="14"/>
        <v>449.30350651836159</v>
      </c>
      <c r="AD76" s="13"/>
    </row>
    <row r="77" spans="1:33" x14ac:dyDescent="0.2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35377.2474</v>
      </c>
      <c r="R77" s="58"/>
      <c r="S77" s="132" t="s">
        <v>178</v>
      </c>
      <c r="T77" s="66">
        <f>T75-T76</f>
        <v>13650.082700000003</v>
      </c>
      <c r="U77" s="59"/>
      <c r="V77" s="55">
        <f t="shared" si="11"/>
        <v>239302.03009260003</v>
      </c>
      <c r="W77" s="55">
        <f t="shared" si="12"/>
        <v>325637.40277779999</v>
      </c>
      <c r="X77" s="50">
        <f>'BGS PTY18 Cost Alloc'!X77</f>
        <v>8998.3923610999991</v>
      </c>
      <c r="Y77" s="50">
        <f>'BGS PTY18 Cost Alloc'!Y77</f>
        <v>314385</v>
      </c>
      <c r="Z77" s="50">
        <f>'BGS PTY18 Cost Alloc'!Z77</f>
        <v>2254.0104167</v>
      </c>
      <c r="AA77" s="55"/>
      <c r="AB77" s="13">
        <f t="shared" si="13"/>
        <v>121.11756607132979</v>
      </c>
      <c r="AC77" s="13">
        <f t="shared" si="14"/>
        <v>443.82186679907016</v>
      </c>
      <c r="AD77" s="55">
        <f>SUM(AB65:AB68)</f>
        <v>3679983.0515839988</v>
      </c>
    </row>
    <row r="78" spans="1:33" x14ac:dyDescent="0.2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1"/>
        <v>236772.1159336</v>
      </c>
      <c r="W78" s="55">
        <f t="shared" si="12"/>
        <v>320301.35300929996</v>
      </c>
      <c r="X78" s="50">
        <f>'BGS PTY18 Cost Alloc'!X78</f>
        <v>8940.2583911999991</v>
      </c>
      <c r="Y78" s="50">
        <f>'BGS PTY18 Cost Alloc'!Y78</f>
        <v>309156</v>
      </c>
      <c r="Z78" s="50">
        <f>'BGS PTY18 Cost Alloc'!Z78</f>
        <v>2205.0946180999999</v>
      </c>
      <c r="AA78" s="55"/>
      <c r="AB78" s="13">
        <f t="shared" si="13"/>
        <v>119.29851909329834</v>
      </c>
      <c r="AC78" s="13">
        <f t="shared" si="14"/>
        <v>437.77494984960157</v>
      </c>
    </row>
    <row r="79" spans="1:33" x14ac:dyDescent="0.2">
      <c r="A79" s="22"/>
      <c r="B79" s="28" t="s">
        <v>1</v>
      </c>
      <c r="C79" s="67">
        <v>48.23</v>
      </c>
      <c r="D79" s="162">
        <f>ROUND(C79*$H$308,3)</f>
        <v>51.206000000000003</v>
      </c>
      <c r="E79" s="67">
        <v>36.146000000000001</v>
      </c>
      <c r="F79" s="162">
        <f>ROUND(E79*$H$308,3)</f>
        <v>38.375999999999998</v>
      </c>
      <c r="H79" s="33">
        <v>0.94843214438785017</v>
      </c>
      <c r="I79" s="33">
        <v>0.93999822584674986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1"/>
        <v>234324.79226140003</v>
      </c>
      <c r="W79" s="55">
        <f t="shared" si="12"/>
        <v>315150.21576000005</v>
      </c>
      <c r="X79" s="50">
        <f>'BGS PTY18 Cost Alloc'!X79</f>
        <v>8890.7799238000007</v>
      </c>
      <c r="Y79" s="50">
        <f>'BGS PTY18 Cost Alloc'!Y79</f>
        <v>304096</v>
      </c>
      <c r="Z79" s="50">
        <f>'BGS PTY18 Cost Alloc'!Z79</f>
        <v>2163.4358361999998</v>
      </c>
      <c r="AA79" s="55"/>
      <c r="AB79" s="13">
        <f t="shared" si="13"/>
        <v>117.54190363043224</v>
      </c>
      <c r="AC79" s="13">
        <f t="shared" si="14"/>
        <v>431.93310439096786</v>
      </c>
    </row>
    <row r="80" spans="1:33" x14ac:dyDescent="0.2">
      <c r="A80" s="22"/>
      <c r="B80" s="28" t="s">
        <v>2</v>
      </c>
      <c r="C80" s="67">
        <v>46.02</v>
      </c>
      <c r="D80" s="162">
        <f>ROUND(C80*$H$308,3)</f>
        <v>48.859000000000002</v>
      </c>
      <c r="E80" s="67">
        <v>34.49</v>
      </c>
      <c r="F80" s="162">
        <f>ROUND(E80*$H$308,3)</f>
        <v>36.618000000000002</v>
      </c>
      <c r="H80" s="176">
        <f>H79</f>
        <v>0.94843214438785017</v>
      </c>
      <c r="I80" s="176">
        <f>I79</f>
        <v>0.93999822584674986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11"/>
        <v>231800.27494989999</v>
      </c>
      <c r="W80" s="55">
        <f t="shared" si="12"/>
        <v>309846.40040669998</v>
      </c>
      <c r="X80" s="50">
        <f>'BGS PTY18 Cost Alloc'!X80</f>
        <v>8850.1782507999997</v>
      </c>
      <c r="Y80" s="50">
        <f>'BGS PTY18 Cost Alloc'!Y80</f>
        <v>298867</v>
      </c>
      <c r="Z80" s="50">
        <f>'BGS PTY18 Cost Alloc'!Z80</f>
        <v>2129.2221559</v>
      </c>
      <c r="AA80" s="55"/>
      <c r="AB80" s="13">
        <f t="shared" si="13"/>
        <v>115.73266837895437</v>
      </c>
      <c r="AC80" s="13">
        <f t="shared" si="14"/>
        <v>425.91400697764561</v>
      </c>
    </row>
    <row r="81" spans="1:29" x14ac:dyDescent="0.2">
      <c r="A81" s="22"/>
      <c r="B81" s="28" t="s">
        <v>3</v>
      </c>
      <c r="C81" s="67">
        <v>36.97</v>
      </c>
      <c r="D81" s="162">
        <f>ROUND(C81*$H$308,3)</f>
        <v>39.250999999999998</v>
      </c>
      <c r="E81" s="67">
        <v>27.707000000000001</v>
      </c>
      <c r="F81" s="162">
        <f>ROUND(E81*$H$308,3)</f>
        <v>29.416</v>
      </c>
      <c r="H81" s="176">
        <f>H79</f>
        <v>0.94843214438785017</v>
      </c>
      <c r="I81" s="176">
        <f>I79</f>
        <v>0.93999822584674986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1"/>
        <v>229358.88119570003</v>
      </c>
      <c r="W81" s="55">
        <f t="shared" si="12"/>
        <v>304730.18377390003</v>
      </c>
      <c r="X81" s="50">
        <f>'BGS PTY18 Cost Alloc'!X81</f>
        <v>8819.6931050000003</v>
      </c>
      <c r="Y81" s="50">
        <f>'BGS PTY18 Cost Alloc'!Y81</f>
        <v>293807</v>
      </c>
      <c r="Z81" s="50">
        <f>'BGS PTY18 Cost Alloc'!Z81</f>
        <v>2103.4906688999999</v>
      </c>
      <c r="AA81" s="55"/>
      <c r="AB81" s="13">
        <f t="shared" si="13"/>
        <v>113.98669220715081</v>
      </c>
      <c r="AC81" s="13">
        <f t="shared" si="14"/>
        <v>420.10237276244925</v>
      </c>
    </row>
    <row r="82" spans="1:29" x14ac:dyDescent="0.2">
      <c r="A82" s="22"/>
      <c r="B82" s="28" t="s">
        <v>4</v>
      </c>
      <c r="C82" s="67">
        <v>32.630000000000003</v>
      </c>
      <c r="D82" s="162">
        <f>ROUND(C82*$H$308,3)</f>
        <v>34.643000000000001</v>
      </c>
      <c r="E82" s="67">
        <v>24.454999999999998</v>
      </c>
      <c r="F82" s="162">
        <f>ROUND(E82*$H$308,3)</f>
        <v>25.963999999999999</v>
      </c>
      <c r="H82" s="176">
        <f>H79</f>
        <v>0.94843214438785017</v>
      </c>
      <c r="I82" s="176">
        <f>I79</f>
        <v>0.93999822584674986</v>
      </c>
      <c r="L82" s="139"/>
      <c r="N82" s="51"/>
      <c r="O82" s="52"/>
      <c r="P82" s="114" t="s">
        <v>147</v>
      </c>
      <c r="Q82" s="53">
        <f>Q72-Q61</f>
        <v>20454.599199999997</v>
      </c>
      <c r="R82" s="47"/>
      <c r="S82" s="114" t="s">
        <v>147</v>
      </c>
      <c r="T82" s="53">
        <f>T72-T61</f>
        <v>9924.171399999992</v>
      </c>
      <c r="U82" s="48"/>
      <c r="V82" s="55">
        <f t="shared" si="11"/>
        <v>226839.70462870004</v>
      </c>
      <c r="W82" s="55">
        <f t="shared" si="12"/>
        <v>299464.28242169996</v>
      </c>
      <c r="X82" s="50">
        <f>'BGS PTY18 Cost Alloc'!X82</f>
        <v>8799.6675304</v>
      </c>
      <c r="Y82" s="50">
        <f>'BGS PTY18 Cost Alloc'!Y82</f>
        <v>288578</v>
      </c>
      <c r="Z82" s="50">
        <f>'BGS PTY18 Cost Alloc'!Z82</f>
        <v>2086.6148913000002</v>
      </c>
      <c r="AA82" s="55"/>
      <c r="AB82" s="13">
        <f t="shared" si="13"/>
        <v>112.18887759063328</v>
      </c>
      <c r="AC82" s="13">
        <f t="shared" si="14"/>
        <v>414.1151094597667</v>
      </c>
    </row>
    <row r="83" spans="1:29" x14ac:dyDescent="0.2">
      <c r="A83" s="22"/>
      <c r="B83" s="28" t="s">
        <v>5</v>
      </c>
      <c r="C83" s="67">
        <v>32</v>
      </c>
      <c r="D83" s="162">
        <f>ROUND(C83*$H$308,3)</f>
        <v>33.973999999999997</v>
      </c>
      <c r="E83" s="67">
        <v>23.983000000000001</v>
      </c>
      <c r="F83" s="162">
        <f>ROUND(E83*$H$308,3)</f>
        <v>25.463000000000001</v>
      </c>
      <c r="H83" s="176">
        <f>H79</f>
        <v>0.94843214438785017</v>
      </c>
      <c r="I83" s="176">
        <f>I79</f>
        <v>0.93999822584674986</v>
      </c>
      <c r="L83" s="139"/>
      <c r="N83" s="51"/>
      <c r="O83" s="52"/>
      <c r="P83" s="114" t="s">
        <v>150</v>
      </c>
      <c r="Q83" s="140">
        <f>Q82*(E117-E118)</f>
        <v>224997.29503803031</v>
      </c>
      <c r="R83" s="47"/>
      <c r="S83" s="114" t="s">
        <v>150</v>
      </c>
      <c r="T83" s="140">
        <f>T82*(H117-H118)</f>
        <v>107943.11025073577</v>
      </c>
      <c r="U83" s="48"/>
      <c r="V83" s="55">
        <f t="shared" si="11"/>
        <v>224324.18001439999</v>
      </c>
      <c r="W83" s="55">
        <f t="shared" si="12"/>
        <v>294220.13929029997</v>
      </c>
      <c r="X83" s="50">
        <f>'BGS PTY18 Cost Alloc'!X83</f>
        <v>8791.4731580000007</v>
      </c>
      <c r="Y83" s="50">
        <f>'BGS PTY18 Cost Alloc'!Y83</f>
        <v>283349</v>
      </c>
      <c r="Z83" s="50">
        <f>'BGS PTY18 Cost Alloc'!Z83</f>
        <v>2079.6661322999998</v>
      </c>
      <c r="AA83" s="55"/>
      <c r="AB83" s="13">
        <f t="shared" si="13"/>
        <v>110.39768696787677</v>
      </c>
      <c r="AC83" s="13">
        <f t="shared" si="14"/>
        <v>408.14663233682313</v>
      </c>
    </row>
    <row r="84" spans="1:29" x14ac:dyDescent="0.2">
      <c r="A84" s="22"/>
      <c r="B84" s="185" t="s">
        <v>6</v>
      </c>
      <c r="C84" s="222">
        <v>34.36</v>
      </c>
      <c r="D84" s="223">
        <f>ROUND(C84*$H$307,3)</f>
        <v>47.878</v>
      </c>
      <c r="E84" s="222">
        <v>22.251000000000001</v>
      </c>
      <c r="F84" s="224">
        <f>ROUND(E84*$H$307,3)</f>
        <v>31.004999999999999</v>
      </c>
      <c r="H84" s="128">
        <v>0.92205555346959389</v>
      </c>
      <c r="I84" s="129">
        <v>0.85639557945903599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11"/>
        <v>221894.52834899997</v>
      </c>
      <c r="W84" s="55">
        <f t="shared" si="12"/>
        <v>289168.48423110001</v>
      </c>
      <c r="X84" s="50">
        <f>'BGS PTY18 Cost Alloc'!X84</f>
        <v>8796.0125877999999</v>
      </c>
      <c r="Y84" s="50">
        <f>'BGS PTY18 Cost Alloc'!Y84</f>
        <v>278289</v>
      </c>
      <c r="Z84" s="50">
        <f>'BGS PTY18 Cost Alloc'!Z84</f>
        <v>2083.4716432999999</v>
      </c>
      <c r="AA84" s="55"/>
      <c r="AB84" s="13">
        <f t="shared" si="13"/>
        <v>108.671473534483</v>
      </c>
      <c r="AC84" s="13">
        <f t="shared" si="14"/>
        <v>402.39153904561704</v>
      </c>
    </row>
    <row r="85" spans="1:29" x14ac:dyDescent="0.2">
      <c r="A85" s="22"/>
      <c r="B85" s="189" t="s">
        <v>7</v>
      </c>
      <c r="C85" s="225">
        <v>38.950000000000003</v>
      </c>
      <c r="D85" s="226">
        <f>ROUND(C85*$H$307,3)</f>
        <v>54.274000000000001</v>
      </c>
      <c r="E85" s="225">
        <v>25.224</v>
      </c>
      <c r="F85" s="227">
        <f>ROUND(E85*$H$307,3)</f>
        <v>35.146999999999998</v>
      </c>
      <c r="H85" s="174">
        <f t="shared" ref="H85:I87" si="15">H84</f>
        <v>0.92205555346959389</v>
      </c>
      <c r="I85" s="267">
        <f t="shared" si="15"/>
        <v>0.85639557945903599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1"/>
        <v>219387.07237800001</v>
      </c>
      <c r="W85" s="55">
        <f t="shared" si="12"/>
        <v>283972.5245837</v>
      </c>
      <c r="X85" s="50">
        <f>'BGS PTY18 Cost Alloc'!X85</f>
        <v>8813.9303034999994</v>
      </c>
      <c r="Y85" s="50">
        <f>'BGS PTY18 Cost Alloc'!Y85</f>
        <v>273060</v>
      </c>
      <c r="Z85" s="50">
        <f>'BGS PTY18 Cost Alloc'!Z85</f>
        <v>2098.5942802</v>
      </c>
      <c r="AA85" s="55"/>
      <c r="AB85" s="13">
        <f t="shared" si="13"/>
        <v>106.89494950361888</v>
      </c>
      <c r="AC85" s="13">
        <f t="shared" si="14"/>
        <v>396.46464745808112</v>
      </c>
    </row>
    <row r="86" spans="1:29" x14ac:dyDescent="0.2">
      <c r="A86" s="22"/>
      <c r="B86" s="189" t="s">
        <v>8</v>
      </c>
      <c r="C86" s="225">
        <v>36</v>
      </c>
      <c r="D86" s="226">
        <f>ROUND(C86*$H$307,3)</f>
        <v>50.162999999999997</v>
      </c>
      <c r="E86" s="225">
        <v>23.312999999999999</v>
      </c>
      <c r="F86" s="227">
        <f>ROUND(E86*$H$307,3)</f>
        <v>32.484999999999999</v>
      </c>
      <c r="H86" s="174">
        <f t="shared" si="15"/>
        <v>0.92205555346959389</v>
      </c>
      <c r="I86" s="267">
        <f t="shared" si="15"/>
        <v>0.85639557945903599</v>
      </c>
      <c r="L86" s="139"/>
      <c r="N86" s="51"/>
      <c r="O86" s="52"/>
      <c r="P86" s="114" t="s">
        <v>147</v>
      </c>
      <c r="Q86" s="53">
        <f>Q76-Q65</f>
        <v>8588.6826999999976</v>
      </c>
      <c r="R86" s="47"/>
      <c r="S86" s="114" t="s">
        <v>147</v>
      </c>
      <c r="T86" s="53">
        <f>T76-T65</f>
        <v>3499.0487999999987</v>
      </c>
      <c r="U86" s="48"/>
      <c r="V86" s="55">
        <f t="shared" si="11"/>
        <v>216966.24507619999</v>
      </c>
      <c r="W86" s="55">
        <f t="shared" si="12"/>
        <v>278973.15163230005</v>
      </c>
      <c r="X86" s="50">
        <f>'BGS PTY18 Cost Alloc'!X86</f>
        <v>8846.8411620999996</v>
      </c>
      <c r="Y86" s="50">
        <f>'BGS PTY18 Cost Alloc'!Y86</f>
        <v>268000</v>
      </c>
      <c r="Z86" s="50">
        <f>'BGS PTY18 Cost Alloc'!Z86</f>
        <v>2126.3104702000001</v>
      </c>
      <c r="AA86" s="55"/>
      <c r="AB86" s="13">
        <f t="shared" si="13"/>
        <v>105.18465850337839</v>
      </c>
      <c r="AC86" s="13">
        <f t="shared" si="14"/>
        <v>390.75473820512167</v>
      </c>
    </row>
    <row r="87" spans="1:29" x14ac:dyDescent="0.2">
      <c r="A87" s="22"/>
      <c r="B87" s="192" t="s">
        <v>9</v>
      </c>
      <c r="C87" s="228">
        <v>34.44</v>
      </c>
      <c r="D87" s="229">
        <f>ROUND(C87*$H$307,3)</f>
        <v>47.988999999999997</v>
      </c>
      <c r="E87" s="228">
        <v>22.303000000000001</v>
      </c>
      <c r="F87" s="230">
        <f>ROUND(E87*$H$307,3)</f>
        <v>31.077000000000002</v>
      </c>
      <c r="H87" s="175">
        <f t="shared" si="15"/>
        <v>0.92205555346959389</v>
      </c>
      <c r="I87" s="268">
        <f t="shared" si="15"/>
        <v>0.85639557945903599</v>
      </c>
      <c r="L87" s="139"/>
      <c r="N87" s="64"/>
      <c r="O87" s="65"/>
      <c r="P87" s="117" t="s">
        <v>150</v>
      </c>
      <c r="Q87" s="141">
        <f>Q86*(E113-E114)</f>
        <v>177206.69187910444</v>
      </c>
      <c r="R87" s="58"/>
      <c r="S87" s="117" t="s">
        <v>150</v>
      </c>
      <c r="T87" s="141">
        <f>T86*(H113-H114)</f>
        <v>71549.179966676864</v>
      </c>
      <c r="U87" s="59"/>
      <c r="AA87" s="55"/>
    </row>
    <row r="88" spans="1:29" x14ac:dyDescent="0.2">
      <c r="A88" s="22"/>
      <c r="B88" s="28" t="s">
        <v>10</v>
      </c>
      <c r="C88" s="67">
        <v>32.42</v>
      </c>
      <c r="D88" s="162">
        <f>ROUND(C88*$H$308,3)</f>
        <v>34.42</v>
      </c>
      <c r="E88" s="67">
        <v>24.297000000000001</v>
      </c>
      <c r="F88" s="162">
        <f>ROUND(E88*$H$308,3)</f>
        <v>25.795999999999999</v>
      </c>
      <c r="H88" s="176">
        <f>H79</f>
        <v>0.94843214438785017</v>
      </c>
      <c r="I88" s="176">
        <f>I79</f>
        <v>0.93999822584674986</v>
      </c>
      <c r="L88" s="139"/>
    </row>
    <row r="89" spans="1:29" x14ac:dyDescent="0.2">
      <c r="A89" s="22"/>
      <c r="B89" s="28" t="s">
        <v>11</v>
      </c>
      <c r="C89" s="67">
        <v>32.43</v>
      </c>
      <c r="D89" s="162">
        <f>ROUND(C89*$H$308,3)</f>
        <v>34.430999999999997</v>
      </c>
      <c r="E89" s="67">
        <v>24.305</v>
      </c>
      <c r="F89" s="162">
        <f>ROUND(E89*$H$308,3)</f>
        <v>25.803999999999998</v>
      </c>
      <c r="H89" s="176">
        <f>H79</f>
        <v>0.94843214438785017</v>
      </c>
      <c r="I89" s="176">
        <f>I79</f>
        <v>0.93999822584674986</v>
      </c>
      <c r="L89" s="139"/>
    </row>
    <row r="90" spans="1:29" x14ac:dyDescent="0.2">
      <c r="A90" s="22"/>
      <c r="B90" s="28" t="s">
        <v>12</v>
      </c>
      <c r="C90" s="67">
        <v>36.58</v>
      </c>
      <c r="D90" s="162">
        <f>ROUND(C90*$H$308,3)</f>
        <v>38.837000000000003</v>
      </c>
      <c r="E90" s="67">
        <v>27.414999999999999</v>
      </c>
      <c r="F90" s="162">
        <f>ROUND(E90*$H$308,3)</f>
        <v>29.106000000000002</v>
      </c>
      <c r="G90" s="70"/>
      <c r="H90" s="176">
        <f>H79</f>
        <v>0.94843214438785017</v>
      </c>
      <c r="I90" s="176">
        <f>I79</f>
        <v>0.93999822584674986</v>
      </c>
      <c r="L90" s="139"/>
    </row>
    <row r="91" spans="1:29" x14ac:dyDescent="0.2">
      <c r="A91" s="22"/>
      <c r="B91" s="28"/>
      <c r="C91" s="69"/>
      <c r="D91" s="69"/>
      <c r="G91" s="70"/>
      <c r="K91" s="70"/>
      <c r="X91" s="13" t="s">
        <v>210</v>
      </c>
    </row>
    <row r="92" spans="1:29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x14ac:dyDescent="0.2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x14ac:dyDescent="0.2">
      <c r="A94" s="22"/>
      <c r="B94" s="28" t="s">
        <v>23</v>
      </c>
      <c r="C94" s="72"/>
      <c r="D94" s="72"/>
      <c r="E94" s="154">
        <f>'BGS PTY18 Cost Alloc'!E94</f>
        <v>0.105545</v>
      </c>
      <c r="F94" s="154">
        <f>'BGS PTY18 Cost Alloc'!F94</f>
        <v>0.105545</v>
      </c>
      <c r="G94" s="154">
        <f>'BGS PTY18 Cost Alloc'!G94</f>
        <v>0.105545</v>
      </c>
      <c r="H94" s="154">
        <f>'BGS PTY18 Cost Alloc'!H94</f>
        <v>0.105545</v>
      </c>
      <c r="I94" s="154">
        <f>'BGS PTY18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x14ac:dyDescent="0.2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x14ac:dyDescent="0.2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x14ac:dyDescent="0.2">
      <c r="A97" s="22"/>
      <c r="B97" s="236" t="s">
        <v>267</v>
      </c>
      <c r="C97" s="241"/>
      <c r="D97" s="241"/>
      <c r="E97" s="245">
        <f>ROUND(1-1/E98,6)</f>
        <v>9.9324999999999997E-2</v>
      </c>
      <c r="F97" s="245">
        <f>ROUND(1-1/F98,6)</f>
        <v>9.9324999999999997E-2</v>
      </c>
      <c r="G97" s="245">
        <f>ROUND(1-1/G98,6)</f>
        <v>9.9324999999999997E-2</v>
      </c>
      <c r="H97" s="245">
        <f>ROUND(1-1/H98,6)</f>
        <v>9.9324999999999997E-2</v>
      </c>
      <c r="I97" s="245">
        <f>ROUND(1-1/I98,6)</f>
        <v>9.9324999999999997E-2</v>
      </c>
      <c r="J97" s="73"/>
      <c r="K97" s="73"/>
      <c r="L97" s="73"/>
      <c r="M97" s="73"/>
    </row>
    <row r="98" spans="1:13" ht="12" customHeight="1" x14ac:dyDescent="0.2">
      <c r="A98" s="22"/>
      <c r="B98" s="236" t="s">
        <v>266</v>
      </c>
      <c r="C98" s="241"/>
      <c r="D98" s="241"/>
      <c r="E98" s="412">
        <v>1.1102789567315661</v>
      </c>
      <c r="F98" s="412">
        <v>1.1102789567315661</v>
      </c>
      <c r="G98" s="412">
        <v>1.1102789567315661</v>
      </c>
      <c r="H98" s="412">
        <v>1.1102789567315661</v>
      </c>
      <c r="I98" s="412">
        <v>1.1102789567315661</v>
      </c>
      <c r="J98" s="73"/>
      <c r="K98" s="73"/>
      <c r="L98" s="73"/>
    </row>
    <row r="99" spans="1:13" x14ac:dyDescent="0.2">
      <c r="A99" s="22"/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1:13" x14ac:dyDescent="0.2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13" x14ac:dyDescent="0.2">
      <c r="A101" s="22"/>
      <c r="B101" s="36" t="s">
        <v>288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1:13" x14ac:dyDescent="0.2">
      <c r="A102" s="22"/>
      <c r="B102" s="36" t="str">
        <f>'BGS PTY18 Cost Alloc'!$B$102</f>
        <v xml:space="preserve"> </v>
      </c>
    </row>
    <row r="103" spans="1:13" ht="15.75" x14ac:dyDescent="0.25">
      <c r="A103" s="22"/>
      <c r="B103" s="414" t="str">
        <f>$B$1</f>
        <v xml:space="preserve">Jersey Central Power &amp; Light </v>
      </c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</row>
    <row r="104" spans="1:13" ht="15.75" x14ac:dyDescent="0.25">
      <c r="A104" s="22"/>
      <c r="B104" s="414" t="str">
        <f>$B$2</f>
        <v>Attachment 2</v>
      </c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</row>
    <row r="105" spans="1:13" x14ac:dyDescent="0.2">
      <c r="A105" s="22"/>
    </row>
    <row r="106" spans="1:13" x14ac:dyDescent="0.2">
      <c r="A106" s="22"/>
    </row>
    <row r="107" spans="1:13" x14ac:dyDescent="0.2">
      <c r="A107" s="18" t="s">
        <v>34</v>
      </c>
      <c r="B107" s="16" t="s">
        <v>51</v>
      </c>
    </row>
    <row r="108" spans="1:13" x14ac:dyDescent="0.2">
      <c r="A108" s="22"/>
      <c r="B108" s="17" t="s">
        <v>171</v>
      </c>
    </row>
    <row r="109" spans="1:13" x14ac:dyDescent="0.2">
      <c r="A109" s="22"/>
      <c r="B109" s="17" t="s">
        <v>21</v>
      </c>
    </row>
    <row r="110" spans="1:13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</row>
    <row r="111" spans="1:13" x14ac:dyDescent="0.2">
      <c r="A111" s="22"/>
    </row>
    <row r="112" spans="1:13" x14ac:dyDescent="0.2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41.72632108697703</v>
      </c>
      <c r="F112" s="75">
        <f>(SUMPRODUCT(F20:F23,F65:F68,$D84:$D87,$H84:$H87)*F95+SUMPRODUCT(R20:R23,F65:F68,$F84:$F87,$I84:$I87)*F95)/SUM(F65:F68)</f>
        <v>41.814114964396815</v>
      </c>
      <c r="G112" s="75">
        <f>(SUMPRODUCT(G20:G23,G65:G68,$D84:$D87,$H84:$H87)*G95+SUMPRODUCT(S20:S23,G65:G68,$F84:$F87,$I84:$I87)*G95)/SUM(G65:G68)</f>
        <v>43.079631817750183</v>
      </c>
      <c r="H112" s="75">
        <f>(SUMPRODUCT(H20:H23,H65:H68,$D84:$D87,$H84:$H87)*H95+SUMPRODUCT(T20:T23,H65:H68,$F84:$F87,$I84:$I87)*H95)/SUM(H65:H68)</f>
        <v>42.785959936821627</v>
      </c>
      <c r="I112" s="75">
        <f>(SUMPRODUCT(I20:I23,I65:I68,$D84:$D87,$H84:$H87)*I95+SUMPRODUCT(U20:U23,I65:I68,$F84:$F87,$I84:$I87)*I95)/SUM(I65:I68)</f>
        <v>36.667626647326813</v>
      </c>
      <c r="J112" s="76"/>
      <c r="K112" s="74"/>
      <c r="L112" s="74"/>
    </row>
    <row r="113" spans="1:12" x14ac:dyDescent="0.2">
      <c r="A113" s="22"/>
      <c r="B113" s="77" t="s">
        <v>41</v>
      </c>
      <c r="C113" s="74"/>
      <c r="D113" s="74"/>
      <c r="E113" s="75">
        <f>(SUMPRODUCT(E20:E23,E65:E68,$D84:$D87,$H84:$H87)*E95)/SUMPRODUCT(E20:E23,E65:E68)</f>
        <v>51.761570813879281</v>
      </c>
      <c r="F113" s="75">
        <f>(SUMPRODUCT(F20:F23,F65:F68,$D84:$D87,$H84:$H87)*F95)/SUMPRODUCT(F20:F23,F65:F68)</f>
        <v>51.812465475861849</v>
      </c>
      <c r="G113" s="75">
        <f>(SUMPRODUCT(G20:G23,G65:G68,$D84:$D87,$H84:$H87)*G95)/SUMPRODUCT(G20:G23,G65:G68)</f>
        <v>51.632423505614739</v>
      </c>
      <c r="H113" s="75">
        <f>(SUMPRODUCT(H20:H23,H65:H68,$D84:$D87,$H84:$H87)*H95)/SUMPRODUCT(H20:H23,H65:H68)</f>
        <v>51.498637834786635</v>
      </c>
      <c r="I113" s="75">
        <f>(SUMPRODUCT(I20:I23,I65:I68,$D84:$D87,$H84:$H87)*I95)/SUMPRODUCT(I20:I23,I65:I68)</f>
        <v>51.50891268413929</v>
      </c>
      <c r="J113" s="76"/>
      <c r="K113" s="74"/>
      <c r="L113" s="74"/>
    </row>
    <row r="114" spans="1:12" x14ac:dyDescent="0.2">
      <c r="A114" s="22"/>
      <c r="B114" s="77" t="s">
        <v>42</v>
      </c>
      <c r="C114" s="74"/>
      <c r="D114" s="74"/>
      <c r="E114" s="75">
        <f>(SUMPRODUCT(Q20:Q23,E65:E68,$F84:$F87,$I84:$I87)*E95)/SUMPRODUCT(Q20:Q23,E65:E68)</f>
        <v>31.128989768697057</v>
      </c>
      <c r="F114" s="75">
        <f>(SUMPRODUCT(R20:R23,F65:F68,$F84:$F87,$I84:$I87)*F95)/SUMPRODUCT(R20:R23,F65:F68)</f>
        <v>31.169980042111067</v>
      </c>
      <c r="G114" s="75">
        <f>(SUMPRODUCT(S20:S23,G65:G68,$F84:$F87,$I84:$I87)*G95)/SUMPRODUCT(S20:S23,G65:G68)</f>
        <v>31.127472001394221</v>
      </c>
      <c r="H114" s="75">
        <f>(SUMPRODUCT(T20:T23,H65:H68,$F84:$F87,$I84:$I87)*H95)/SUMPRODUCT(T20:T23,H65:H68)</f>
        <v>31.050457756052982</v>
      </c>
      <c r="I114" s="75">
        <f>(SUMPRODUCT(U20:U23,I65:I68,$F84:$F87,$I84:$I87)*I95)/SUMPRODUCT(U20:U23,I65:I68)</f>
        <v>31.074110389123657</v>
      </c>
      <c r="J114" s="76"/>
      <c r="K114" s="74"/>
      <c r="L114" s="74"/>
    </row>
    <row r="115" spans="1:12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</row>
    <row r="116" spans="1:12" x14ac:dyDescent="0.2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37.238812481555428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36.928275589108978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37.609529395196098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37.941272610370874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34.370997455936298</v>
      </c>
      <c r="J116" s="76"/>
      <c r="K116" s="74"/>
      <c r="L116" s="74"/>
    </row>
    <row r="117" spans="1:12" x14ac:dyDescent="0.2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43.026542161355827</v>
      </c>
      <c r="F117" s="75">
        <f>(SUMPRODUCT(F15:F19,F60:F64,$D79:$D83,$H79:$H83)*F95+SUMPRODUCT(F24:F26,F69:F71,$D88:$D90,$H88:$H90)*F95)/(SUMPRODUCT(F15:F19,F60:F64)+SUMPRODUCT(F24:F26,F69:F71))</f>
        <v>42.361845605928949</v>
      </c>
      <c r="G117" s="75">
        <f>(SUMPRODUCT(G15:G19,G60:G64,$D79:$D83,$H79:$H83)*G95+SUMPRODUCT(G24:G26,G69:G71,$D88:$D90,$H88:$H90)*G95)/(SUMPRODUCT(G15:G19,G60:G64)+SUMPRODUCT(G24:G26,G69:G71))</f>
        <v>42.088747737905955</v>
      </c>
      <c r="H117" s="75">
        <f>(SUMPRODUCT(H15:H19,H60:H64,$D79:$D83,$H79:$H83)*H95+SUMPRODUCT(H24:H26,H69:H71,$D88:$D90,$H88:$H90)*H95)/(SUMPRODUCT(H15:H19,H60:H64)+SUMPRODUCT(H24:H26,H69:H71))</f>
        <v>42.805281779204989</v>
      </c>
      <c r="I117" s="75">
        <f>(SUMPRODUCT(I15:I19,I60:I64,$D79:$D83,$H79:$H83)*I95+SUMPRODUCT(I24:I26,I69:I71,$D88:$D90,$H88:$H90)*I95)/(SUMPRODUCT(I15:I19,I60:I64)+SUMPRODUCT(I24:I26,I69:I71))</f>
        <v>41.962363968187994</v>
      </c>
      <c r="J117" s="76"/>
      <c r="K117" s="74"/>
      <c r="L117" s="74"/>
    </row>
    <row r="118" spans="1:12" x14ac:dyDescent="0.2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32.026703306628704</v>
      </c>
      <c r="F118" s="75">
        <f>(SUMPRODUCT(R15:R19,F60:F64,$F79:$F83,$I79:$I83)*F95+SUMPRODUCT(R24:R26,F69:F71,$F88:$F90,$I88:$I90)*F95)/(SUMPRODUCT(R15:R19,F60:F64)+SUMPRODUCT(R24:R26,F69:F71))</f>
        <v>31.521323943738665</v>
      </c>
      <c r="G118" s="75">
        <f>(SUMPRODUCT(S15:S19,G60:G64,$F79:$F83,$I79:$I83)*G95+SUMPRODUCT(S24:S26,G69:G71,$F88:$F90,$I88:$I90)*G95)/(SUMPRODUCT(S15:S19,G60:G64)+SUMPRODUCT(S24:S26,G69:G71))</f>
        <v>31.480463569470128</v>
      </c>
      <c r="H118" s="75">
        <f>(SUMPRODUCT(T15:T19,H60:H64,$F79:$F83,$I79:$I83)*H95+SUMPRODUCT(T24:T26,H69:H71,$F88:$F90,$I88:$I90)*H95)/(SUMPRODUCT(T15:T19,H60:H64)+SUMPRODUCT(T24:T26,H69:H71))</f>
        <v>31.928493592058619</v>
      </c>
      <c r="I118" s="75">
        <f>(SUMPRODUCT(U15:U19,I60:I64,$F79:$F83,$I79:$I83)*I95+SUMPRODUCT(U24:U26,I69:I71,$F88:$F90,$I88:$I90)*I95)/(SUMPRODUCT(U15:U19,I60:I64)+SUMPRODUCT(U24:U26,I69:I71))</f>
        <v>31.031277158365182</v>
      </c>
      <c r="J118" s="76"/>
      <c r="K118" s="74"/>
      <c r="L118" s="74"/>
    </row>
    <row r="119" spans="1:12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</row>
    <row r="120" spans="1:12" x14ac:dyDescent="0.2">
      <c r="A120" s="22"/>
      <c r="B120" s="13" t="s">
        <v>16</v>
      </c>
      <c r="C120" s="74"/>
      <c r="D120" s="78"/>
      <c r="E120" s="79">
        <f>(E112*SUM(E65:E68)+E116*SUM(E60:E64,E69:E71))/E72</f>
        <v>38.666892626129282</v>
      </c>
      <c r="F120" s="79">
        <f>(F112*SUM(F65:F68)+F116*SUM(F60:F64,F69:F71))/F72</f>
        <v>38.906209713707277</v>
      </c>
      <c r="G120" s="79">
        <f>(G112*SUM(G65:G68)+G116*SUM(G60:G64,G69:G71))/G72</f>
        <v>39.551060453844514</v>
      </c>
      <c r="H120" s="79">
        <f>(H112*SUM(H65:H68)+H116*SUM(H60:H64,H69:H71))/H72</f>
        <v>39.24636673248601</v>
      </c>
      <c r="I120" s="79">
        <f>(I112*SUM(I65:I68)+I116*SUM(I60:I64,I69:I71))/I72</f>
        <v>35.136540519733131</v>
      </c>
      <c r="J120" s="76"/>
      <c r="K120" s="78"/>
      <c r="L120" s="78"/>
    </row>
    <row r="121" spans="1:12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x14ac:dyDescent="0.2">
      <c r="A122" s="22"/>
      <c r="B122" s="13" t="s">
        <v>44</v>
      </c>
      <c r="C122" s="80">
        <f>SUMPRODUCT(C120:I120,C72:I72)/SUM(C72:I72)</f>
        <v>39.124855178650257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2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1:12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1:12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1:12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</row>
    <row r="129" spans="1:12" x14ac:dyDescent="0.2">
      <c r="A129" s="22"/>
      <c r="C129" s="81"/>
    </row>
    <row r="130" spans="1:12" x14ac:dyDescent="0.2">
      <c r="A130" s="22"/>
      <c r="B130" s="28" t="s">
        <v>17</v>
      </c>
      <c r="C130" s="76"/>
      <c r="D130" s="76"/>
      <c r="E130" s="76">
        <f>SUM(E65:E68)*E112/1000</f>
        <v>3035.0056905823612</v>
      </c>
      <c r="F130" s="76">
        <f>SUM(F65:F68)*F112/1000</f>
        <v>153875.1904149109</v>
      </c>
      <c r="G130" s="76">
        <f>SUM(G65:G68)*G112/1000</f>
        <v>91007.186922479057</v>
      </c>
      <c r="H130" s="76">
        <f>SUM(H65:H68)*H112/1000</f>
        <v>1370.6910125360178</v>
      </c>
      <c r="I130" s="76">
        <f>SUM(I65:I68)*I112/1000</f>
        <v>1406.5701581914564</v>
      </c>
      <c r="J130" s="76">
        <f>SUM(E130:I130)</f>
        <v>250694.6441986998</v>
      </c>
      <c r="K130" s="76"/>
      <c r="L130" s="76"/>
    </row>
    <row r="131" spans="1:12" x14ac:dyDescent="0.2">
      <c r="A131" s="22"/>
      <c r="B131" s="77" t="s">
        <v>41</v>
      </c>
      <c r="C131" s="76"/>
      <c r="D131" s="76"/>
      <c r="E131" s="76">
        <f>SUMPRODUCT(E65:E68,E20:E23)*E113/1000</f>
        <v>1933.7477182230969</v>
      </c>
      <c r="F131" s="76">
        <f>SUMPRODUCT(F65:F68,F20:F23)*F113/1000</f>
        <v>98316.93634184965</v>
      </c>
      <c r="G131" s="76">
        <f>SUMPRODUCT(G65:G68,G20:G23)*G113/1000</f>
        <v>63579.024882317281</v>
      </c>
      <c r="H131" s="76">
        <f>SUMPRODUCT(H65:H68,H20:H23)*H113/1000</f>
        <v>946.84969629303794</v>
      </c>
      <c r="I131" s="76">
        <f>SUMPRODUCT(I65:I68,I20:I23)*I113/1000</f>
        <v>540.84827049451678</v>
      </c>
      <c r="J131" s="76">
        <f>SUM(E131:I131)</f>
        <v>165317.40690917757</v>
      </c>
      <c r="K131" s="76"/>
      <c r="L131" s="76"/>
    </row>
    <row r="132" spans="1:12" x14ac:dyDescent="0.2">
      <c r="A132" s="22"/>
      <c r="B132" s="77" t="s">
        <v>42</v>
      </c>
      <c r="C132" s="76"/>
      <c r="D132" s="76"/>
      <c r="E132" s="76">
        <f>SUMPRODUCT(E65:E68,Q20:Q23)*E114/1000</f>
        <v>1101.2579723592646</v>
      </c>
      <c r="F132" s="76">
        <f>SUMPRODUCT(F65:F68,R20:R23)*F114/1000</f>
        <v>55558.25407306126</v>
      </c>
      <c r="G132" s="76">
        <f>SUMPRODUCT(G65:G68,S20:S23)*G114/1000</f>
        <v>27428.162040161787</v>
      </c>
      <c r="H132" s="76">
        <f>SUMPRODUCT(H65:H68,T20:T23)*H114/1000</f>
        <v>423.8413162429797</v>
      </c>
      <c r="I132" s="76">
        <f>SUMPRODUCT(I65:I68,U20:U23)*I114/1000</f>
        <v>865.72188769693969</v>
      </c>
      <c r="J132" s="76">
        <f>SUM(E132:I132)</f>
        <v>85377.237289522236</v>
      </c>
      <c r="K132" s="76"/>
      <c r="L132" s="76"/>
    </row>
    <row r="133" spans="1:12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</row>
    <row r="134" spans="1:12" x14ac:dyDescent="0.2">
      <c r="A134" s="22"/>
      <c r="B134" s="28" t="s">
        <v>18</v>
      </c>
      <c r="C134" s="82"/>
      <c r="D134" s="82"/>
      <c r="E134" s="82">
        <f>SUM(E60:E64,E69:E71)*E116/1000</f>
        <v>5802.7379549383741</v>
      </c>
      <c r="F134" s="82">
        <f>SUM(F60:F64,F69:F71)*F116/1000</f>
        <v>199789.72587495326</v>
      </c>
      <c r="G134" s="82">
        <f>SUM(G60:G64,G69:G71)*G116/1000</f>
        <v>144396.33473109311</v>
      </c>
      <c r="H134" s="82">
        <f>SUM(H60:H64,H69:H71)*H116/1000</f>
        <v>3296.5654120246836</v>
      </c>
      <c r="I134" s="82">
        <f>SUM(I60:I64,I69:I71)*I116/1000</f>
        <v>2636.9429248194328</v>
      </c>
      <c r="J134" s="76">
        <f>SUM(E134:I134)</f>
        <v>355922.30689782888</v>
      </c>
      <c r="K134" s="82"/>
      <c r="L134" s="82"/>
    </row>
    <row r="135" spans="1:12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3176.8796448779121</v>
      </c>
      <c r="F135" s="76">
        <f>(SUMPRODUCT(F60:F64,F15:F19)+SUMPRODUCT(F69:F71,F24:F26))*F117/1000</f>
        <v>114311.86225329257</v>
      </c>
      <c r="G135" s="76">
        <f>(SUMPRODUCT(G60:G64,G15:G19)+SUMPRODUCT(G69:G71,G24:G26))*G117/1000</f>
        <v>93362.702752500816</v>
      </c>
      <c r="H135" s="76">
        <f>(SUMPRODUCT(H60:H64,H15:H19)+SUMPRODUCT(H69:H71,H24:H26))*H117/1000</f>
        <v>2055.9934933815994</v>
      </c>
      <c r="I135" s="76">
        <f>(SUMPRODUCT(I60:I64,I15:I19)+SUMPRODUCT(I69:I71,I24:I26))*I117/1000</f>
        <v>983.59269200592246</v>
      </c>
      <c r="J135" s="76">
        <f>SUM(E135:I135)</f>
        <v>213891.03083605881</v>
      </c>
      <c r="K135" s="76"/>
      <c r="L135" s="76"/>
    </row>
    <row r="136" spans="1:12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2625.8583100604619</v>
      </c>
      <c r="F136" s="76">
        <f>+(SUMPRODUCT(F60:F64,R15:R19)+SUMPRODUCT(F69:F71,R24:R26))*F118/1000</f>
        <v>85477.863621660712</v>
      </c>
      <c r="G136" s="76">
        <f>+(SUMPRODUCT(G60:G64,S15:S19)+SUMPRODUCT(G69:G71,S24:S26))*G118/1000</f>
        <v>51033.63197859229</v>
      </c>
      <c r="H136" s="76">
        <f>+(SUMPRODUCT(H60:H64,T15:T19)+SUMPRODUCT(H69:H71,T24:T26))*H118/1000</f>
        <v>1240.5719186430847</v>
      </c>
      <c r="I136" s="76">
        <f>+(SUMPRODUCT(I60:I64,U15:U19)+SUMPRODUCT(I69:I71,U24:U26))*I118/1000</f>
        <v>1653.35023281351</v>
      </c>
      <c r="J136" s="76">
        <f>SUM(E136:I136)</f>
        <v>142031.27606177004</v>
      </c>
      <c r="K136" s="76"/>
      <c r="L136" s="76"/>
    </row>
    <row r="137" spans="1:12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</row>
    <row r="138" spans="1:12" x14ac:dyDescent="0.2">
      <c r="A138" s="22"/>
      <c r="B138" s="13" t="s">
        <v>16</v>
      </c>
      <c r="C138" s="82"/>
      <c r="D138" s="82"/>
      <c r="E138" s="82">
        <f>+E130+E134</f>
        <v>8837.7436455207353</v>
      </c>
      <c r="F138" s="82">
        <f>+F130+F134</f>
        <v>353664.91628986417</v>
      </c>
      <c r="G138" s="82">
        <f>+G130+G134</f>
        <v>235403.52165357216</v>
      </c>
      <c r="H138" s="82">
        <f>+H130+H134</f>
        <v>4667.2564245607009</v>
      </c>
      <c r="I138" s="82">
        <f>+I130+I134</f>
        <v>4043.5130830108892</v>
      </c>
      <c r="J138" s="76">
        <f>SUM(E138:I138)</f>
        <v>606616.95109652868</v>
      </c>
      <c r="K138" s="82"/>
      <c r="L138" s="82"/>
    </row>
    <row r="139" spans="1:12" x14ac:dyDescent="0.2">
      <c r="A139" s="22"/>
    </row>
    <row r="140" spans="1:12" x14ac:dyDescent="0.2">
      <c r="A140" s="22"/>
      <c r="B140" s="13" t="s">
        <v>44</v>
      </c>
      <c r="C140" s="76">
        <f>SUM(C138:I138)</f>
        <v>606616.95109652868</v>
      </c>
      <c r="E140" s="83"/>
      <c r="F140" s="74"/>
    </row>
    <row r="141" spans="1:12" x14ac:dyDescent="0.2">
      <c r="A141" s="22"/>
    </row>
    <row r="142" spans="1:12" x14ac:dyDescent="0.2">
      <c r="A142" s="22"/>
    </row>
    <row r="143" spans="1:12" ht="15.75" x14ac:dyDescent="0.25">
      <c r="A143" s="22"/>
      <c r="B143" s="414" t="str">
        <f>$B$1</f>
        <v xml:space="preserve">Jersey Central Power &amp; Light </v>
      </c>
      <c r="C143" s="414"/>
      <c r="D143" s="414"/>
      <c r="E143" s="414"/>
      <c r="F143" s="414"/>
      <c r="G143" s="414"/>
      <c r="H143" s="414"/>
      <c r="I143" s="414"/>
      <c r="J143" s="414"/>
      <c r="K143" s="414"/>
      <c r="L143" s="414"/>
    </row>
    <row r="144" spans="1:12" ht="15.75" x14ac:dyDescent="0.25">
      <c r="A144" s="22"/>
      <c r="B144" s="414" t="str">
        <f>$B$2</f>
        <v>Attachment 2</v>
      </c>
      <c r="C144" s="414"/>
      <c r="D144" s="414"/>
      <c r="E144" s="414"/>
      <c r="F144" s="414"/>
      <c r="G144" s="414"/>
      <c r="H144" s="414"/>
      <c r="I144" s="414"/>
      <c r="J144" s="414"/>
      <c r="K144" s="414"/>
      <c r="L144" s="414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41.726321086977023</v>
      </c>
      <c r="F152" s="75">
        <f>+F130/SUM(F65:F68)*1000</f>
        <v>41.814114964396815</v>
      </c>
      <c r="G152" s="75">
        <f>+G130/SUM(G65:G68)*1000</f>
        <v>43.079631817750183</v>
      </c>
      <c r="H152" s="75">
        <f>+H130/SUM(H65:H68)*1000</f>
        <v>42.785959936821634</v>
      </c>
      <c r="I152" s="75">
        <f>+I130/SUM(I65:I68)*1000</f>
        <v>36.667626647326806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54.453418159041732</v>
      </c>
      <c r="F153" s="75"/>
      <c r="G153" s="75"/>
      <c r="H153" s="75">
        <f>+(H131*1000-W153*AVERAGE(H$113,H$114))/Q153</f>
        <v>53.901734898708334</v>
      </c>
      <c r="I153" s="75"/>
      <c r="J153" s="76"/>
      <c r="K153" s="76"/>
      <c r="L153" s="80"/>
      <c r="M153" s="80"/>
      <c r="P153" s="13" t="s">
        <v>14</v>
      </c>
      <c r="Q153" s="55">
        <f>T65</f>
        <v>14886.868499999999</v>
      </c>
      <c r="R153" s="55"/>
      <c r="T153" s="55">
        <f>T76</f>
        <v>18385.917299999997</v>
      </c>
      <c r="U153" s="55"/>
      <c r="W153" s="55">
        <f>+T153-Q153</f>
        <v>3499.0487999999987</v>
      </c>
      <c r="X153" s="55"/>
      <c r="Z153" s="144">
        <f>+H153*Q153/1000</f>
        <v>802.42803935893176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32.976346829400256</v>
      </c>
      <c r="F154" s="75"/>
      <c r="G154" s="75"/>
      <c r="H154" s="75">
        <f>+(H132*1000-W154*AVERAGE(H$113,H$114))/Q154</f>
        <v>33.136545321673346</v>
      </c>
      <c r="I154" s="75"/>
      <c r="J154" s="76"/>
      <c r="K154" s="76"/>
      <c r="L154" s="80"/>
      <c r="M154" s="80"/>
      <c r="P154" s="13" t="s">
        <v>15</v>
      </c>
      <c r="Q154" s="55">
        <f>T66</f>
        <v>17149.131500000003</v>
      </c>
      <c r="R154" s="55"/>
      <c r="T154" s="55">
        <f>T77</f>
        <v>13650.082700000003</v>
      </c>
      <c r="U154" s="55"/>
      <c r="W154" s="55">
        <f>+T154-Q154</f>
        <v>-3499.0488000000005</v>
      </c>
      <c r="X154" s="55"/>
      <c r="Z154" s="85">
        <f>+H154*Q154/1000</f>
        <v>568.26297317708611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1370.6910125360178</v>
      </c>
      <c r="AA155" s="144"/>
      <c r="AC155" s="81">
        <f>+H130</f>
        <v>1370.6910125360178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37.238812481555421</v>
      </c>
      <c r="F156" s="79">
        <f>+F134/SUM(F60:F64,F69:F71)*1000</f>
        <v>36.928275589108971</v>
      </c>
      <c r="G156" s="79">
        <f>+G134/SUM(G60:G64,G69:G71)*1000</f>
        <v>37.609529395196098</v>
      </c>
      <c r="H156" s="79">
        <f>+H134/SUM(H60:H64,H69:H71)*1000</f>
        <v>37.941272610370874</v>
      </c>
      <c r="I156" s="79">
        <f>+I134/SUM(I60:I64,I69:I71)*1000</f>
        <v>34.370997455936298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43.567053805137888</v>
      </c>
      <c r="F157" s="75"/>
      <c r="G157" s="75"/>
      <c r="H157" s="75">
        <f>+(H135*1000-W157*AVERAGE(H$117,H$118))/Q157</f>
        <v>44.221592892800309</v>
      </c>
      <c r="I157" s="75"/>
      <c r="J157" s="76"/>
      <c r="K157" s="76"/>
      <c r="L157" s="80"/>
      <c r="M157" s="80"/>
      <c r="P157" s="13" t="s">
        <v>14</v>
      </c>
      <c r="Q157" s="55">
        <f>T61</f>
        <v>38107.132400000002</v>
      </c>
      <c r="R157" s="55"/>
      <c r="T157" s="55">
        <f>T72</f>
        <v>48031.303799999994</v>
      </c>
      <c r="U157" s="55"/>
      <c r="W157" s="55">
        <f>+T157-Q157</f>
        <v>9924.171399999992</v>
      </c>
      <c r="X157" s="55"/>
      <c r="Z157" s="144">
        <f>+H157*Q157/1000</f>
        <v>1685.1580953048406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33.795495687325598</v>
      </c>
      <c r="F158" s="75"/>
      <c r="G158" s="75"/>
      <c r="H158" s="75">
        <f>+(H136*1000-W158*AVERAGE(H$117,H$118))/Q158</f>
        <v>33.034947222100818</v>
      </c>
      <c r="I158" s="75"/>
      <c r="J158" s="76"/>
      <c r="K158" s="76"/>
      <c r="L158" s="80"/>
      <c r="M158" s="80"/>
      <c r="P158" s="13" t="s">
        <v>15</v>
      </c>
      <c r="Q158" s="55">
        <f>T62</f>
        <v>48778.867599999998</v>
      </c>
      <c r="R158" s="55"/>
      <c r="T158" s="55">
        <f>T73</f>
        <v>38854.696200000006</v>
      </c>
      <c r="U158" s="55"/>
      <c r="W158" s="55">
        <f>+T158-Q158</f>
        <v>-9924.171399999992</v>
      </c>
      <c r="X158" s="55"/>
      <c r="Z158" s="85">
        <f>+H158*Q158/1000</f>
        <v>1611.4073167198435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3296.5654120246841</v>
      </c>
      <c r="AA159" s="144"/>
      <c r="AC159" s="81">
        <f>+H134</f>
        <v>3296.5654120246836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38.666892626129275</v>
      </c>
      <c r="F160" s="75">
        <f>(F152*SUM(F65:F68)+F156*SUM(F60:F64,F69:F71))/F72</f>
        <v>38.906209713707277</v>
      </c>
      <c r="G160" s="75">
        <f>(G152*SUM(G65:G68)+G156*SUM(G60:G64,G69:G71))/G72</f>
        <v>39.551060453844514</v>
      </c>
      <c r="H160" s="75">
        <f>(H152*SUM(H65:H68)+H156*SUM(H60:H64,H69:H71))/H72</f>
        <v>39.24636673248601</v>
      </c>
      <c r="I160" s="75">
        <f>(I152*SUM(I65:I68)+I156*SUM(I60:I64,I69:I71))/I72</f>
        <v>35.136540519733131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39.124855178650265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tr">
        <f>'BGS PTY18 Cost Alloc'!$B$165</f>
        <v>obligations - annual average forecasted for 2019; costs are market estimates</v>
      </c>
      <c r="J165" s="26" t="s">
        <v>294</v>
      </c>
      <c r="P165" s="13" t="s">
        <v>14</v>
      </c>
      <c r="Q165" s="55">
        <f>SUMPRODUCT(E38:E41,M65:M68)</f>
        <v>28770.069900000002</v>
      </c>
      <c r="R165" s="55">
        <f>SUMPRODUCT(E38:E41,E65:E68)</f>
        <v>29632.573200000003</v>
      </c>
      <c r="T165" s="55">
        <f>Q76</f>
        <v>37358.7526</v>
      </c>
      <c r="U165" s="55">
        <f>T165-($Q$167*$Q165/($Q$165+$Q$166))</f>
        <v>36494.781046479562</v>
      </c>
      <c r="W165" s="55">
        <f>+T165-Q165</f>
        <v>8588.6826999999976</v>
      </c>
      <c r="X165" s="55">
        <f>-Q165+U165</f>
        <v>7724.7111464795598</v>
      </c>
      <c r="Z165" s="144">
        <f>+E153*Q165/1000</f>
        <v>1566.6286467295602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41844.930099999998</v>
      </c>
      <c r="R166" s="55">
        <f>SUMPRODUCT(Q38:Q41,E65:E68)</f>
        <v>43103.426800000001</v>
      </c>
      <c r="T166" s="55">
        <f>Q77</f>
        <v>35377.2474</v>
      </c>
      <c r="U166" s="55">
        <f>T166-($Q$167*$Q166/($Q$165+$Q$166))</f>
        <v>34120.634906839143</v>
      </c>
      <c r="W166" s="55">
        <f>+T166-Q166</f>
        <v>-6467.6826999999976</v>
      </c>
      <c r="X166" s="55">
        <f>-Q166+U166</f>
        <v>-7724.295193160855</v>
      </c>
      <c r="Z166" s="144">
        <f>+E154*Q166/1000</f>
        <v>1379.8929280296104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55">
        <f>SUM(W65:W68)/1000</f>
        <v>2120.5840466813002</v>
      </c>
      <c r="R167" s="55"/>
      <c r="T167" s="55">
        <v>0</v>
      </c>
      <c r="U167" s="55">
        <v>0</v>
      </c>
      <c r="W167" s="55">
        <f>+T167-Q167</f>
        <v>-2120.5840466813002</v>
      </c>
      <c r="X167" s="55"/>
      <c r="Z167" s="85">
        <f>+E152*Q167/1000</f>
        <v>88.484170823745004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87">
        <f>'BGS PTY18 Cost Alloc'!E168</f>
        <v>82.07</v>
      </c>
      <c r="F168" s="87">
        <f>'BGS PTY18 Cost Alloc'!F168</f>
        <v>2616.1</v>
      </c>
      <c r="G168" s="87">
        <f>'BGS PTY18 Cost Alloc'!G168</f>
        <v>1747.84</v>
      </c>
      <c r="H168" s="87">
        <f>'BGS PTY18 Cost Alloc'!H168</f>
        <v>43.1</v>
      </c>
      <c r="I168" s="87">
        <f>'BGS PTY18 Cost Alloc'!I168</f>
        <v>0.02</v>
      </c>
      <c r="J168" s="87">
        <f>SUM(E168:I168)</f>
        <v>4489.130000000001</v>
      </c>
      <c r="K168" s="87"/>
      <c r="L168" s="87"/>
      <c r="M168" s="87"/>
      <c r="Z168" s="144">
        <f>SUM(Z165:Z167)</f>
        <v>3035.0057455829156</v>
      </c>
      <c r="AA168" s="144"/>
      <c r="AC168" s="81">
        <f>+E130</f>
        <v>3035.0056905823612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53380.747199999998</v>
      </c>
      <c r="R170" s="55">
        <f>SUMPRODUCT(E33:E37,E60:E64)+SUMPRODUCT(E42:E44,E69:E71)</f>
        <v>54913.626099999994</v>
      </c>
      <c r="T170" s="55">
        <f>Q72</f>
        <v>73835.346399999995</v>
      </c>
      <c r="U170" s="55">
        <f>T170-($Q$172*$Q170/($Q$170+$Q$171))</f>
        <v>72308.227878876743</v>
      </c>
      <c r="W170" s="55">
        <f>+T170-Q170</f>
        <v>20454.599199999997</v>
      </c>
      <c r="X170" s="55">
        <f>-Q170+U170</f>
        <v>18927.480678876746</v>
      </c>
      <c r="Z170" s="144">
        <f>+E157*Q170/1000</f>
        <v>2325.6418854208637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98111.252800000002</v>
      </c>
      <c r="R171" s="55">
        <f>SUMPRODUCT(Q33:Q37,E60:E64)+SUMPRODUCT(Q42:Q44,E69:E71)</f>
        <v>100911.37390000001</v>
      </c>
      <c r="T171" s="55">
        <f>Q73</f>
        <v>81989.653600000005</v>
      </c>
      <c r="U171" s="55">
        <f>T171-($Q$172*$Q171/($Q$170+$Q$171))</f>
        <v>79182.883010593854</v>
      </c>
      <c r="W171" s="55">
        <f>+T171-Q171</f>
        <v>-16121.599199999997</v>
      </c>
      <c r="X171" s="55">
        <f>-Q171+U171</f>
        <v>-18928.369789406148</v>
      </c>
      <c r="Z171" s="144">
        <f>+E158*Q171/1000</f>
        <v>3315.7184208805115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4333.8891105293997</v>
      </c>
      <c r="T172" s="13">
        <v>0</v>
      </c>
      <c r="U172" s="55">
        <v>0</v>
      </c>
      <c r="W172" s="55">
        <f>+T172-Q172</f>
        <v>-4333.8891105293997</v>
      </c>
      <c r="X172" s="55"/>
      <c r="Z172" s="85">
        <f>+E156*Q172/1000</f>
        <v>161.38888390285933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5802.7491902042348</v>
      </c>
      <c r="AA173" s="144"/>
      <c r="AC173" s="81">
        <f>+E134</f>
        <v>5802.7379549383741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v>243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8837.7436455207353</v>
      </c>
    </row>
    <row r="176" spans="1:51" x14ac:dyDescent="0.2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319"/>
      <c r="C177" s="92"/>
      <c r="D177" s="342"/>
      <c r="E177" s="93"/>
      <c r="G177" s="325"/>
      <c r="H177" s="84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218.95703478053935</v>
      </c>
      <c r="E179" s="162">
        <f>ROUND(D179*$H$308,3)</f>
        <v>232.46600000000001</v>
      </c>
      <c r="F179" s="93" t="s">
        <v>88</v>
      </c>
      <c r="G179" s="89" t="s">
        <v>162</v>
      </c>
      <c r="H179" s="81">
        <f>ROUND(E179*E173*J$168,0)</f>
        <v>127315552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11">
        <f>D179</f>
        <v>218.95703478053935</v>
      </c>
      <c r="E180" s="162">
        <f>ROUND(D180*$H$308,3)</f>
        <v>232.46600000000001</v>
      </c>
      <c r="F180" s="93" t="s">
        <v>88</v>
      </c>
      <c r="G180" s="121" t="s">
        <v>163</v>
      </c>
      <c r="H180" s="122">
        <f>ROUND(E180*E174*J$168,0)</f>
        <v>253587533</v>
      </c>
      <c r="I180" s="89"/>
      <c r="J180" s="89"/>
      <c r="K180" s="142"/>
      <c r="Z180" s="144"/>
      <c r="AA180" s="144"/>
      <c r="AC180" s="81"/>
    </row>
    <row r="181" spans="1:50" x14ac:dyDescent="0.2">
      <c r="A181" s="22"/>
      <c r="B181" s="366"/>
      <c r="C181" s="366"/>
      <c r="D181" s="366"/>
      <c r="E181" s="366"/>
      <c r="F181" s="366"/>
      <c r="G181" s="89" t="s">
        <v>164</v>
      </c>
      <c r="H181" s="81">
        <f>SUM(H179:H180)</f>
        <v>380903085</v>
      </c>
      <c r="I181" s="89"/>
      <c r="J181" s="89"/>
      <c r="K181" s="142"/>
    </row>
    <row r="182" spans="1:50" x14ac:dyDescent="0.2">
      <c r="A182" s="22"/>
      <c r="B182" s="366"/>
      <c r="C182" s="366"/>
      <c r="D182" s="366"/>
      <c r="E182" s="366"/>
      <c r="F182" s="366"/>
      <c r="G182" s="89"/>
      <c r="H182" s="81"/>
      <c r="I182" s="89"/>
      <c r="J182" s="89"/>
      <c r="K182" s="142"/>
    </row>
    <row r="183" spans="1:50" x14ac:dyDescent="0.2">
      <c r="A183" s="22"/>
      <c r="B183" s="13" t="s">
        <v>153</v>
      </c>
      <c r="I183" s="89"/>
      <c r="J183" s="89"/>
      <c r="K183" s="142"/>
    </row>
    <row r="184" spans="1:50" x14ac:dyDescent="0.2">
      <c r="A184" s="22"/>
      <c r="B184" s="17" t="s">
        <v>154</v>
      </c>
      <c r="I184" s="89"/>
      <c r="J184" s="89"/>
      <c r="K184" s="142"/>
    </row>
    <row r="185" spans="1:50" x14ac:dyDescent="0.2">
      <c r="A185" s="22"/>
      <c r="B185" s="17"/>
      <c r="C185" s="105" t="str">
        <f>" ---------- Rate "&amp;C30&amp;" ----------"</f>
        <v xml:space="preserve"> ---------- Rate  ----------</v>
      </c>
      <c r="D185" s="106"/>
      <c r="E185" s="106"/>
      <c r="I185" s="89"/>
      <c r="J185" s="89"/>
      <c r="K185" s="142"/>
    </row>
    <row r="186" spans="1:50" x14ac:dyDescent="0.2">
      <c r="A186" s="22"/>
      <c r="C186" s="38" t="s">
        <v>140</v>
      </c>
      <c r="E186" s="38" t="s">
        <v>141</v>
      </c>
      <c r="I186" s="89"/>
      <c r="J186" s="89"/>
      <c r="K186" s="142"/>
    </row>
    <row r="187" spans="1:50" x14ac:dyDescent="0.2">
      <c r="A187" s="22"/>
      <c r="B187" s="89" t="s">
        <v>142</v>
      </c>
      <c r="C187" s="107"/>
      <c r="E187" s="118">
        <f>SUM(R65/(R65+R66))</f>
        <v>0.53677500029076186</v>
      </c>
      <c r="F187" s="112"/>
      <c r="I187" s="89"/>
      <c r="J187" s="89"/>
      <c r="K187" s="142"/>
      <c r="AX187" s="118"/>
    </row>
    <row r="188" spans="1:50" x14ac:dyDescent="0.2">
      <c r="A188" s="22"/>
      <c r="B188" s="89" t="s">
        <v>144</v>
      </c>
      <c r="C188" s="108"/>
      <c r="E188" s="109">
        <f>1-E187</f>
        <v>0.46322499970923814</v>
      </c>
      <c r="G188" s="53"/>
      <c r="I188" s="89"/>
      <c r="J188" s="89"/>
      <c r="K188" s="142"/>
    </row>
    <row r="189" spans="1:50" x14ac:dyDescent="0.2">
      <c r="A189" s="22"/>
      <c r="B189" s="110" t="s">
        <v>155</v>
      </c>
      <c r="C189" s="111">
        <v>0.86519999999999997</v>
      </c>
      <c r="D189" s="13" t="s">
        <v>143</v>
      </c>
      <c r="J189" s="89"/>
      <c r="K189" s="142"/>
    </row>
    <row r="190" spans="1:50" x14ac:dyDescent="0.2">
      <c r="A190" s="13"/>
      <c r="J190" s="89"/>
      <c r="K190" s="142"/>
    </row>
    <row r="191" spans="1:50" x14ac:dyDescent="0.2">
      <c r="A191" s="18" t="s">
        <v>89</v>
      </c>
      <c r="B191" s="16" t="s">
        <v>90</v>
      </c>
      <c r="D191" s="38" t="s">
        <v>222</v>
      </c>
      <c r="E191" s="38" t="s">
        <v>218</v>
      </c>
    </row>
    <row r="192" spans="1:50" x14ac:dyDescent="0.2">
      <c r="A192" s="22"/>
      <c r="B192" s="17" t="s">
        <v>298</v>
      </c>
      <c r="D192" s="344">
        <v>2</v>
      </c>
    </row>
    <row r="193" spans="1:13" x14ac:dyDescent="0.2">
      <c r="A193" s="22"/>
      <c r="B193" s="17" t="s">
        <v>301</v>
      </c>
      <c r="D193" s="345">
        <v>6.96</v>
      </c>
      <c r="F193" s="93"/>
    </row>
    <row r="194" spans="1:13" x14ac:dyDescent="0.2">
      <c r="A194" s="22"/>
      <c r="B194" s="17" t="s">
        <v>91</v>
      </c>
      <c r="D194" s="343">
        <f>D192+D193</f>
        <v>8.9600000000000009</v>
      </c>
      <c r="E194" s="162">
        <f>ROUND(D194*$H$308,3)</f>
        <v>9.5129999999999999</v>
      </c>
      <c r="F194" s="13" t="s">
        <v>92</v>
      </c>
    </row>
    <row r="195" spans="1:13" x14ac:dyDescent="0.2">
      <c r="A195" s="22"/>
      <c r="B195" s="17"/>
      <c r="E195" s="92"/>
      <c r="F195" s="93"/>
    </row>
    <row r="196" spans="1:13" x14ac:dyDescent="0.2">
      <c r="A196" s="18" t="s">
        <v>93</v>
      </c>
      <c r="B196" s="16" t="s">
        <v>167</v>
      </c>
    </row>
    <row r="197" spans="1:13" x14ac:dyDescent="0.2">
      <c r="A197" s="18"/>
      <c r="B197" s="16"/>
    </row>
    <row r="198" spans="1:13" x14ac:dyDescent="0.2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x14ac:dyDescent="0.2">
      <c r="A199" s="18"/>
      <c r="B199" s="16"/>
    </row>
    <row r="200" spans="1:13" x14ac:dyDescent="0.2">
      <c r="A200" s="22"/>
      <c r="B200" s="89" t="s">
        <v>94</v>
      </c>
      <c r="C200" s="145"/>
      <c r="D200" s="145"/>
      <c r="E200" s="146">
        <v>7.4649999999999999</v>
      </c>
      <c r="F200" s="146">
        <v>7.4649999999999999</v>
      </c>
      <c r="G200" s="146">
        <v>7.4649999999999999</v>
      </c>
      <c r="H200" s="146">
        <v>7.4649999999999999</v>
      </c>
      <c r="I200" s="146">
        <v>0</v>
      </c>
      <c r="J200" s="145"/>
      <c r="K200" s="145"/>
      <c r="L200" s="145"/>
      <c r="M200" s="145"/>
    </row>
    <row r="201" spans="1:13" x14ac:dyDescent="0.2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</row>
    <row r="202" spans="1:13" x14ac:dyDescent="0.2">
      <c r="A202" s="22"/>
      <c r="B202" s="89" t="s">
        <v>131</v>
      </c>
      <c r="C202" s="145"/>
      <c r="D202" s="145"/>
      <c r="E202" s="146">
        <f>$H$181*(E$168/$J$168)/E$72</f>
        <v>30.467345238445091</v>
      </c>
      <c r="F202" s="146">
        <f>$H$181*(F$168/$J$168)/F$72</f>
        <v>24.419321476128953</v>
      </c>
      <c r="G202" s="146">
        <f>$H$181*(G$168/$J$168)/G$72</f>
        <v>24.917195446996036</v>
      </c>
      <c r="H202" s="146">
        <f>$H$181*(H$168/$J$168)/H$72</f>
        <v>30.751575684836638</v>
      </c>
      <c r="I202" s="146">
        <f>$H$181*(I$168/$J$168)/I$72</f>
        <v>1.474627912870112E-2</v>
      </c>
      <c r="J202" s="145"/>
      <c r="K202" s="145"/>
      <c r="L202" s="145"/>
      <c r="M202" s="145"/>
    </row>
    <row r="203" spans="1:13" x14ac:dyDescent="0.2">
      <c r="A203" s="22"/>
      <c r="B203" s="89" t="s">
        <v>198</v>
      </c>
      <c r="C203" s="145"/>
      <c r="D203" s="145"/>
      <c r="E203" s="146">
        <f>$H$179*(E$168/$J$168)/SUM(E65:E68)</f>
        <v>32.000318027831618</v>
      </c>
      <c r="F203" s="146">
        <f>$H$179*(F$168/$J$168)/SUM(F65:F68)</f>
        <v>20.161735895989082</v>
      </c>
      <c r="G203" s="146">
        <f>$H$179*(G$168/$J$168)/SUM(G65:G68)</f>
        <v>23.464820797801831</v>
      </c>
      <c r="H203" s="146"/>
      <c r="I203" s="146">
        <f>$H$179*(I$168/$J$168)/SUM(I65:I68)</f>
        <v>1.4786679928438979E-2</v>
      </c>
      <c r="J203" s="145"/>
      <c r="K203" s="145"/>
      <c r="L203" s="145"/>
      <c r="M203" s="145"/>
    </row>
    <row r="204" spans="1:13" x14ac:dyDescent="0.2">
      <c r="A204" s="22"/>
      <c r="B204" s="89" t="s">
        <v>199</v>
      </c>
      <c r="C204" s="145"/>
      <c r="D204" s="145"/>
      <c r="E204" s="146">
        <f>$H$179*(E$168/$J$168)/R165</f>
        <v>78.547857331281662</v>
      </c>
      <c r="F204" s="146"/>
      <c r="G204" s="146"/>
      <c r="H204" s="146">
        <f>$H$179*(H$168/$J$168)/Q153</f>
        <v>82.1094594627709</v>
      </c>
      <c r="I204" s="146"/>
      <c r="J204" s="145"/>
      <c r="K204" s="145"/>
      <c r="L204" s="145"/>
      <c r="M204" s="145"/>
    </row>
    <row r="205" spans="1:13" x14ac:dyDescent="0.2">
      <c r="A205" s="22"/>
      <c r="B205" s="89" t="s">
        <v>201</v>
      </c>
      <c r="C205" s="145"/>
      <c r="D205" s="145"/>
      <c r="E205" s="146">
        <f>$H$180*(E$168/$J$168)/(E72-SUM(E65:E68))</f>
        <v>29.751784135869652</v>
      </c>
      <c r="F205" s="146">
        <f>$H$180*(F$168/$J$168)/(F72-SUM(F65:F68))</f>
        <v>27.315297473063321</v>
      </c>
      <c r="G205" s="146">
        <f>$H$180*(G$168/$J$168)/(G72-SUM(G65:G68))</f>
        <v>25.716337705828789</v>
      </c>
      <c r="H205" s="146"/>
      <c r="I205" s="146">
        <f>$H$180*(I$168/$J$168)/(I72-SUM(I65:I68))</f>
        <v>1.4726078728832189E-2</v>
      </c>
      <c r="J205" s="145"/>
      <c r="K205" s="145"/>
      <c r="L205" s="145"/>
      <c r="M205" s="145"/>
    </row>
    <row r="206" spans="1:13" x14ac:dyDescent="0.2">
      <c r="A206" s="22"/>
      <c r="B206" s="89" t="s">
        <v>200</v>
      </c>
      <c r="C206" s="145"/>
      <c r="D206" s="145"/>
      <c r="E206" s="146">
        <f>$H$180*(E$168/$J$168)/R170</f>
        <v>84.424797490688547</v>
      </c>
      <c r="F206" s="147"/>
      <c r="G206" s="147"/>
      <c r="H206" s="146">
        <f>$H$180*(H$168/$J$168)/Q157</f>
        <v>63.890563383451855</v>
      </c>
      <c r="I206" s="146"/>
      <c r="J206" s="145"/>
      <c r="K206" s="145"/>
      <c r="L206" s="145"/>
      <c r="M206" s="145"/>
    </row>
    <row r="207" spans="1:13" x14ac:dyDescent="0.2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75" x14ac:dyDescent="0.25">
      <c r="A208" s="22"/>
      <c r="B208" s="414" t="str">
        <f>$B$1</f>
        <v xml:space="preserve">Jersey Central Power &amp; Light </v>
      </c>
      <c r="C208" s="414"/>
      <c r="D208" s="414"/>
      <c r="E208" s="414"/>
      <c r="F208" s="414"/>
      <c r="G208" s="414"/>
      <c r="H208" s="414"/>
      <c r="I208" s="414"/>
      <c r="J208" s="414"/>
      <c r="K208" s="414"/>
      <c r="L208" s="414"/>
      <c r="M208" s="145"/>
    </row>
    <row r="209" spans="1:18" ht="15.75" x14ac:dyDescent="0.25">
      <c r="A209" s="22"/>
      <c r="B209" s="414" t="str">
        <f>$B$2</f>
        <v>Attachment 2</v>
      </c>
      <c r="C209" s="414"/>
      <c r="D209" s="414"/>
      <c r="E209" s="414"/>
      <c r="F209" s="414"/>
      <c r="G209" s="414"/>
      <c r="H209" s="414"/>
      <c r="I209" s="414"/>
      <c r="J209" s="414"/>
      <c r="K209" s="414"/>
      <c r="L209" s="414"/>
      <c r="M209" s="145"/>
      <c r="N209" s="145"/>
      <c r="O209" s="145"/>
      <c r="P209" s="145"/>
      <c r="Q209" s="145"/>
      <c r="R209" s="145"/>
    </row>
    <row r="210" spans="1:18" x14ac:dyDescent="0.2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">
      <c r="A211" s="22"/>
      <c r="M211" s="145"/>
      <c r="N211" s="145"/>
      <c r="O211" s="145"/>
      <c r="P211" s="145"/>
      <c r="Q211" s="145"/>
      <c r="R211" s="145"/>
    </row>
    <row r="212" spans="1:18" x14ac:dyDescent="0.2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x14ac:dyDescent="0.2">
      <c r="A213" s="22"/>
      <c r="B213" s="16"/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B219" s="28" t="s">
        <v>17</v>
      </c>
      <c r="C219" s="74"/>
      <c r="D219" s="74"/>
      <c r="E219" s="74">
        <f>+E152+(E$95*$E$194)+E$200+E203</f>
        <v>91.827165776295232</v>
      </c>
      <c r="F219" s="74">
        <f>+F152+(F$95*$E$194)+F$200+F203</f>
        <v>80.076377521872502</v>
      </c>
      <c r="G219" s="74">
        <f>+G152+(G$95*$E$194)+G$200+G203</f>
        <v>84.644979277038615</v>
      </c>
      <c r="H219" s="74"/>
      <c r="I219" s="74">
        <f>+I152+(I$95*$E$194)+I$200+I203</f>
        <v>47.317939988741848</v>
      </c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77" t="s">
        <v>72</v>
      </c>
      <c r="C220" s="74"/>
      <c r="D220" s="74"/>
      <c r="E220" s="74">
        <f>+E153+(E$95*$E$194)+E$200+E$204</f>
        <v>151.10180215181001</v>
      </c>
      <c r="F220" s="74"/>
      <c r="G220" s="74"/>
      <c r="H220" s="74">
        <f>+H153+(H$95*$E$194)+H$200+H$204</f>
        <v>154.11172102296584</v>
      </c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73</v>
      </c>
      <c r="C221" s="74"/>
      <c r="D221" s="74"/>
      <c r="E221" s="74">
        <f>+E154+(E$95*$E$194)+E$200</f>
        <v>51.076873490886854</v>
      </c>
      <c r="F221" s="74"/>
      <c r="G221" s="74"/>
      <c r="H221" s="74">
        <f>+H154+(H$95*$E$194)+H$200</f>
        <v>51.23707198315995</v>
      </c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89" t="s">
        <v>142</v>
      </c>
      <c r="C222" s="74"/>
      <c r="D222" s="74"/>
      <c r="E222" s="74"/>
      <c r="F222" s="74">
        <f>(F219*SUM(F65:F68)-C189*10*E188*SUM(F65:F68))/SUM(F65:F68)</f>
        <v>76.068554824388187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144</v>
      </c>
      <c r="C223" s="74"/>
      <c r="D223" s="74"/>
      <c r="E223" s="74"/>
      <c r="F223" s="74">
        <f>+F222+C189*10</f>
        <v>84.720554824388188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B225" s="28" t="s">
        <v>18</v>
      </c>
      <c r="C225" s="74"/>
      <c r="D225" s="74"/>
      <c r="E225" s="74">
        <f>+E156+(E$95*$E$194)+E$200+E205</f>
        <v>85.091123278911681</v>
      </c>
      <c r="F225" s="74">
        <f>+F156+(F$95*$E$194)+F$200+F205</f>
        <v>82.3440997236589</v>
      </c>
      <c r="G225" s="74">
        <f>+G156+(G$95*$E$194)+G$200+G205</f>
        <v>81.426393762511495</v>
      </c>
      <c r="H225" s="74"/>
      <c r="I225" s="74">
        <f>+I156+(I$95*$E$194)+I$200+I205</f>
        <v>45.021250196151733</v>
      </c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77" t="s">
        <v>72</v>
      </c>
      <c r="C226" s="74"/>
      <c r="D226" s="74"/>
      <c r="E226" s="74">
        <f>+E157+(E$95*$E$194)+E$200+E$206</f>
        <v>146.09237795731303</v>
      </c>
      <c r="F226" s="74"/>
      <c r="G226" s="74"/>
      <c r="H226" s="74">
        <f>+H157+(H$95*$E$194)+H$200+H$206</f>
        <v>126.21268293773878</v>
      </c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73</v>
      </c>
      <c r="C227" s="74"/>
      <c r="D227" s="74"/>
      <c r="E227" s="74">
        <f>+E158+(E$95*$E$194)+E$200</f>
        <v>51.896022348812195</v>
      </c>
      <c r="F227" s="74"/>
      <c r="G227" s="74"/>
      <c r="H227" s="74">
        <f>+H158+(H$95*$E$194)+H$200</f>
        <v>51.135473883587423</v>
      </c>
      <c r="I227" s="74"/>
      <c r="J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B229" s="13" t="s">
        <v>98</v>
      </c>
      <c r="C229" s="74"/>
      <c r="D229" s="74"/>
      <c r="E229" s="74">
        <f>+E160+(E$95*$E$194)+E$200+E202</f>
        <v>87.234764526060971</v>
      </c>
      <c r="F229" s="74">
        <f>+F160+(F$95*$E$194)+F$200+F202</f>
        <v>81.426057851322838</v>
      </c>
      <c r="G229" s="74">
        <f>+G160+(G$95*$E$194)+G$200+G202</f>
        <v>82.568782562327144</v>
      </c>
      <c r="H229" s="74">
        <f>((H220*SUMPRODUCT(H38:H41,H65:H68)+H221*SUMPRODUCT(T38:T41,H65:H68))+(H226*(SUMPRODUCT(H33:H37,H60:H64)+SUMPRODUCT(H42:H44,H69:H71))+H227*(SUMPRODUCT(T33:T37,H60:H64)+SUMPRODUCT(T42:T44,H69:H71))))/H72</f>
        <v>88.098469078809259</v>
      </c>
      <c r="I229" s="74">
        <f>+I160+(I$95*$E$194)+I$200+I202</f>
        <v>45.786813460348434</v>
      </c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77"/>
      <c r="C234" s="74"/>
      <c r="D234" s="74"/>
      <c r="I234" s="89"/>
      <c r="J234" s="80"/>
      <c r="K234" s="93"/>
    </row>
    <row r="235" spans="1:18" x14ac:dyDescent="0.2">
      <c r="A235" s="22"/>
      <c r="C235" s="74"/>
      <c r="D235" s="74"/>
    </row>
    <row r="236" spans="1:18" x14ac:dyDescent="0.2">
      <c r="A236" s="22"/>
      <c r="B236" s="37" t="s">
        <v>101</v>
      </c>
      <c r="C236" s="74"/>
      <c r="D236" s="74"/>
      <c r="I236" s="96"/>
      <c r="K236" s="93"/>
    </row>
    <row r="237" spans="1:18" x14ac:dyDescent="0.2">
      <c r="A237" s="22"/>
      <c r="B237" s="77"/>
      <c r="C237" s="74"/>
      <c r="D237" s="74"/>
      <c r="I237" s="89"/>
      <c r="J237" s="97"/>
      <c r="K237" s="93"/>
    </row>
    <row r="238" spans="1:18" ht="15.75" x14ac:dyDescent="0.25">
      <c r="A238" s="22"/>
      <c r="B238" s="414" t="str">
        <f>$B$1</f>
        <v xml:space="preserve">Jersey Central Power &amp; Light </v>
      </c>
      <c r="C238" s="414"/>
      <c r="D238" s="414"/>
      <c r="E238" s="414"/>
      <c r="F238" s="414"/>
      <c r="G238" s="414"/>
      <c r="H238" s="414"/>
      <c r="I238" s="414"/>
      <c r="J238" s="414"/>
      <c r="K238" s="414"/>
      <c r="L238" s="414"/>
    </row>
    <row r="239" spans="1:18" ht="15.75" x14ac:dyDescent="0.25">
      <c r="A239" s="22"/>
      <c r="B239" s="414" t="str">
        <f>$B$2</f>
        <v>Attachment 2</v>
      </c>
      <c r="C239" s="414"/>
      <c r="D239" s="414"/>
      <c r="E239" s="414"/>
      <c r="F239" s="414"/>
      <c r="G239" s="414"/>
      <c r="H239" s="414"/>
      <c r="I239" s="414"/>
      <c r="J239" s="414"/>
      <c r="K239" s="414"/>
      <c r="L239" s="414"/>
    </row>
    <row r="240" spans="1:18" ht="15.75" x14ac:dyDescent="0.25">
      <c r="A240" s="22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1:12" ht="15.75" x14ac:dyDescent="0.25">
      <c r="A241" s="18" t="s">
        <v>106</v>
      </c>
      <c r="B241" s="163" t="s">
        <v>240</v>
      </c>
      <c r="C241" s="20"/>
      <c r="E241" s="165"/>
      <c r="F241" s="38"/>
      <c r="K241" s="166"/>
      <c r="L241" s="166"/>
    </row>
    <row r="242" spans="1:12" ht="15.75" x14ac:dyDescent="0.25">
      <c r="B242" s="13" t="s">
        <v>241</v>
      </c>
      <c r="K242" s="166"/>
      <c r="L242" s="166"/>
    </row>
    <row r="243" spans="1:12" ht="15.75" x14ac:dyDescent="0.25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6"/>
      <c r="L243" s="166"/>
    </row>
    <row r="244" spans="1:12" ht="15.75" x14ac:dyDescent="0.25">
      <c r="K244" s="166"/>
      <c r="L244" s="166"/>
    </row>
    <row r="245" spans="1:12" ht="15.75" x14ac:dyDescent="0.25">
      <c r="B245" s="28" t="s">
        <v>17</v>
      </c>
      <c r="E245" s="55">
        <f>'Composite Cost Allocation'!E107</f>
        <v>2120584.0466813003</v>
      </c>
      <c r="G245" s="55">
        <f>'Composite Cost Allocation'!G107</f>
        <v>2112534000</v>
      </c>
      <c r="I245" s="55">
        <f>'Composite Cost Allocation'!I107</f>
        <v>38360000</v>
      </c>
      <c r="K245" s="166"/>
      <c r="L245" s="166"/>
    </row>
    <row r="246" spans="1:12" ht="15.75" x14ac:dyDescent="0.25">
      <c r="B246" s="77" t="s">
        <v>72</v>
      </c>
      <c r="E246" s="55">
        <f>'Composite Cost Allocation'!E108</f>
        <v>28770185</v>
      </c>
      <c r="H246" s="55">
        <f>'Composite Cost Allocation'!H108</f>
        <v>14886868.499999998</v>
      </c>
      <c r="K246" s="166"/>
      <c r="L246" s="166"/>
    </row>
    <row r="247" spans="1:12" ht="15.75" x14ac:dyDescent="0.25">
      <c r="B247" s="77" t="s">
        <v>73</v>
      </c>
      <c r="E247" s="55">
        <f>'Composite Cost Allocation'!E109</f>
        <v>41845230.9533187</v>
      </c>
      <c r="H247" s="55">
        <f>'Composite Cost Allocation'!H109</f>
        <v>17149131.5</v>
      </c>
      <c r="K247" s="166"/>
      <c r="L247" s="166"/>
    </row>
    <row r="248" spans="1:12" ht="15.75" x14ac:dyDescent="0.25">
      <c r="B248" s="89" t="s">
        <v>142</v>
      </c>
      <c r="F248" s="55">
        <f>'Composite Cost Allocation'!F110</f>
        <v>1975322000</v>
      </c>
      <c r="K248" s="166"/>
      <c r="L248" s="166"/>
    </row>
    <row r="249" spans="1:12" ht="15.75" x14ac:dyDescent="0.25">
      <c r="B249" s="89" t="s">
        <v>144</v>
      </c>
      <c r="F249" s="55">
        <f>'Composite Cost Allocation'!F111</f>
        <v>1704660000</v>
      </c>
      <c r="K249" s="166"/>
      <c r="L249" s="166"/>
    </row>
    <row r="250" spans="1:12" ht="15.75" x14ac:dyDescent="0.25">
      <c r="K250" s="166"/>
      <c r="L250" s="166"/>
    </row>
    <row r="251" spans="1:12" ht="15.75" x14ac:dyDescent="0.25">
      <c r="B251" s="28" t="s">
        <v>18</v>
      </c>
      <c r="E251" s="55">
        <f>'Composite Cost Allocation'!E113</f>
        <v>4333889.1105293985</v>
      </c>
      <c r="F251" s="55">
        <f>'Composite Cost Allocation'!F113</f>
        <v>5410210000</v>
      </c>
      <c r="G251" s="55">
        <f>'Composite Cost Allocation'!G113</f>
        <v>3839355000</v>
      </c>
      <c r="I251" s="55">
        <f>'Composite Cost Allocation'!I113</f>
        <v>76720000</v>
      </c>
      <c r="K251" s="166"/>
      <c r="L251" s="166"/>
    </row>
    <row r="252" spans="1:12" ht="15.75" x14ac:dyDescent="0.25">
      <c r="B252" s="77" t="s">
        <v>72</v>
      </c>
      <c r="E252" s="55">
        <f>'Composite Cost Allocation'!E114</f>
        <v>53380471.887658589</v>
      </c>
      <c r="H252" s="55">
        <f>'Composite Cost Allocation'!H114</f>
        <v>38107132.399999999</v>
      </c>
      <c r="K252" s="166"/>
      <c r="L252" s="166"/>
    </row>
    <row r="253" spans="1:12" ht="15.75" x14ac:dyDescent="0.25">
      <c r="B253" s="77" t="s">
        <v>73</v>
      </c>
      <c r="E253" s="55">
        <f>'Composite Cost Allocation'!E115</f>
        <v>98110639.001812011</v>
      </c>
      <c r="H253" s="55">
        <f>'Composite Cost Allocation'!H115</f>
        <v>48778867.600000001</v>
      </c>
      <c r="K253" s="166"/>
      <c r="L253" s="166"/>
    </row>
    <row r="254" spans="1:12" ht="15.75" x14ac:dyDescent="0.25">
      <c r="J254" s="26" t="s">
        <v>13</v>
      </c>
      <c r="K254" s="166"/>
      <c r="L254" s="166"/>
    </row>
    <row r="255" spans="1:12" ht="15.75" x14ac:dyDescent="0.25">
      <c r="B255" s="89" t="s">
        <v>162</v>
      </c>
      <c r="E255" s="55">
        <f>SUM(E245:E249)</f>
        <v>72736000</v>
      </c>
      <c r="F255" s="55">
        <f>SUM(F245:F249)</f>
        <v>3679982000</v>
      </c>
      <c r="G255" s="55">
        <f>SUM(G245:G249)</f>
        <v>2112534000</v>
      </c>
      <c r="H255" s="55">
        <f>SUM(H245:H249)</f>
        <v>32036000</v>
      </c>
      <c r="I255" s="55">
        <f>SUM(I245:I249)</f>
        <v>38360000</v>
      </c>
      <c r="J255" s="55">
        <f>SUM(E255:I255)</f>
        <v>5935648000</v>
      </c>
      <c r="K255" s="166"/>
      <c r="L255" s="166"/>
    </row>
    <row r="256" spans="1:12" ht="15.75" x14ac:dyDescent="0.25">
      <c r="B256" s="89" t="s">
        <v>163</v>
      </c>
      <c r="E256" s="138">
        <f>SUM(E251:E253)</f>
        <v>155825000</v>
      </c>
      <c r="F256" s="138">
        <f>SUM(F251:F253)</f>
        <v>5410210000</v>
      </c>
      <c r="G256" s="133">
        <f>SUM(G251:G253)</f>
        <v>3839355000</v>
      </c>
      <c r="H256" s="133">
        <f>SUM(H251:H253)</f>
        <v>86886000</v>
      </c>
      <c r="I256" s="133">
        <f>SUM(I251:I253)</f>
        <v>76720000</v>
      </c>
      <c r="J256" s="138">
        <f>SUM(E256:I256)</f>
        <v>9568996000</v>
      </c>
      <c r="K256" s="166"/>
      <c r="L256" s="166"/>
    </row>
    <row r="257" spans="1:15" ht="15.75" x14ac:dyDescent="0.25">
      <c r="B257" s="89" t="s">
        <v>164</v>
      </c>
      <c r="E257" s="55">
        <f>SUM(E255:E256)</f>
        <v>228561000</v>
      </c>
      <c r="F257" s="55">
        <f>SUM(F255:F256)</f>
        <v>9090192000</v>
      </c>
      <c r="G257" s="55">
        <f>SUM(G255:G256)</f>
        <v>5951889000</v>
      </c>
      <c r="H257" s="55">
        <f>SUM(H255:H256)</f>
        <v>118922000</v>
      </c>
      <c r="I257" s="55">
        <f>SUM(I255:I256)</f>
        <v>115080000</v>
      </c>
      <c r="J257" s="55">
        <f>SUM(E257:I257)</f>
        <v>15504644000</v>
      </c>
      <c r="K257" s="166"/>
      <c r="L257" s="166"/>
    </row>
    <row r="258" spans="1:15" ht="15.75" x14ac:dyDescent="0.25">
      <c r="A258" s="22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</row>
    <row r="261" spans="1:15" x14ac:dyDescent="0.2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x14ac:dyDescent="0.2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x14ac:dyDescent="0.2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x14ac:dyDescent="0.2">
      <c r="A265" s="7"/>
      <c r="B265" s="28" t="s">
        <v>17</v>
      </c>
      <c r="C265" s="149"/>
      <c r="D265" s="149"/>
      <c r="E265" s="149">
        <f>+E219*E245/1000000</f>
        <v>194.72722279717075</v>
      </c>
      <c r="F265" s="149"/>
      <c r="G265" s="149">
        <f>+G219*G245/1000000</f>
        <v>178815.39665203949</v>
      </c>
      <c r="H265" s="144"/>
      <c r="I265" s="149">
        <f>+I219*I245/1000000</f>
        <v>1815.1161779681372</v>
      </c>
      <c r="J265" s="149"/>
      <c r="K265" s="149"/>
      <c r="L265" s="149"/>
    </row>
    <row r="266" spans="1:15" x14ac:dyDescent="0.2">
      <c r="A266" s="7"/>
      <c r="B266" s="77" t="s">
        <v>72</v>
      </c>
      <c r="C266" s="149"/>
      <c r="D266" s="149"/>
      <c r="E266" s="149">
        <f>+E220*E246/1000000</f>
        <v>4347.2268017409715</v>
      </c>
      <c r="F266" s="149"/>
      <c r="G266" s="149"/>
      <c r="H266" s="149">
        <f>+H220*H246/1000000</f>
        <v>2294.2409251775775</v>
      </c>
      <c r="I266" s="149"/>
      <c r="J266" s="149"/>
      <c r="K266" s="149"/>
      <c r="L266" s="149"/>
    </row>
    <row r="267" spans="1:15" x14ac:dyDescent="0.2">
      <c r="A267" s="7"/>
      <c r="B267" s="77" t="s">
        <v>73</v>
      </c>
      <c r="C267" s="149"/>
      <c r="D267" s="149"/>
      <c r="E267" s="149">
        <f>+E221*E247/1000000</f>
        <v>2137.323567599602</v>
      </c>
      <c r="F267" s="149"/>
      <c r="G267" s="149"/>
      <c r="H267" s="149">
        <f>+H221*H247/1000000</f>
        <v>878.67128511417582</v>
      </c>
      <c r="I267" s="149"/>
      <c r="J267" s="149"/>
      <c r="K267" s="81"/>
      <c r="L267" s="81"/>
      <c r="M267" s="81"/>
      <c r="N267" s="81"/>
      <c r="O267" s="81"/>
    </row>
    <row r="268" spans="1:15" x14ac:dyDescent="0.2">
      <c r="A268" s="7"/>
      <c r="B268" s="89" t="s">
        <v>142</v>
      </c>
      <c r="C268" s="149"/>
      <c r="D268" s="149"/>
      <c r="E268" s="149"/>
      <c r="F268" s="149">
        <f>+F222*F248/1000000</f>
        <v>150259.88985282014</v>
      </c>
      <c r="G268" s="149"/>
      <c r="H268" s="144"/>
      <c r="I268" s="149"/>
      <c r="J268" s="149"/>
      <c r="K268" s="149"/>
      <c r="L268" s="149"/>
    </row>
    <row r="269" spans="1:15" x14ac:dyDescent="0.2">
      <c r="A269" s="7"/>
      <c r="B269" s="89" t="s">
        <v>144</v>
      </c>
      <c r="C269" s="149"/>
      <c r="D269" s="149"/>
      <c r="E269" s="149"/>
      <c r="F269" s="149">
        <f>+F223*F249/1000000</f>
        <v>144419.74098694156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x14ac:dyDescent="0.2">
      <c r="A271" s="7"/>
      <c r="B271" s="28" t="s">
        <v>18</v>
      </c>
      <c r="C271" s="149"/>
      <c r="D271" s="149"/>
      <c r="E271" s="149">
        <f>+E225*E251/1000000</f>
        <v>368.77549258118995</v>
      </c>
      <c r="F271" s="149">
        <f>+F225*F251/1000000</f>
        <v>445498.87176593667</v>
      </c>
      <c r="G271" s="149">
        <f>+G225*G251/1000000</f>
        <v>312624.83202406735</v>
      </c>
      <c r="I271" s="149">
        <f>+I225*I251/1000000</f>
        <v>3454.0303150487607</v>
      </c>
      <c r="J271" s="149"/>
      <c r="K271" s="149"/>
      <c r="L271" s="149"/>
    </row>
    <row r="272" spans="1:15" x14ac:dyDescent="0.2">
      <c r="A272" s="7"/>
      <c r="B272" s="77" t="s">
        <v>72</v>
      </c>
      <c r="C272" s="149"/>
      <c r="D272" s="149"/>
      <c r="E272" s="149">
        <f>+E226*E252/1000000</f>
        <v>7798.4800745515413</v>
      </c>
      <c r="F272" s="3"/>
      <c r="G272" s="3"/>
      <c r="H272" s="149">
        <f>+H226*H252/1000000</f>
        <v>4809.6034192676325</v>
      </c>
      <c r="I272" s="3"/>
      <c r="J272" s="149"/>
      <c r="K272" s="149"/>
      <c r="L272" s="149"/>
    </row>
    <row r="273" spans="1:12" x14ac:dyDescent="0.2">
      <c r="A273" s="7"/>
      <c r="B273" s="77" t="s">
        <v>73</v>
      </c>
      <c r="C273" s="3"/>
      <c r="D273" s="3"/>
      <c r="E273" s="149">
        <f>+E227*E253/1000000</f>
        <v>5091.5519142942821</v>
      </c>
      <c r="H273" s="149">
        <f>+H227*H253/1000000</f>
        <v>2494.3305102307686</v>
      </c>
      <c r="J273" s="149"/>
      <c r="K273" s="149"/>
      <c r="L273" s="149"/>
    </row>
    <row r="274" spans="1:12" x14ac:dyDescent="0.2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s="5" t="s">
        <v>25</v>
      </c>
      <c r="D276"/>
      <c r="E276" s="3">
        <f>SUM(E265:E269)</f>
        <v>6679.2775921377443</v>
      </c>
      <c r="F276" s="3">
        <f>SUM(F265:F269)</f>
        <v>294679.6308397617</v>
      </c>
      <c r="G276" s="3">
        <f>SUM(G265:G269)</f>
        <v>178815.39665203949</v>
      </c>
      <c r="H276" s="3">
        <f>SUM(H265:H269)</f>
        <v>3172.9122102917536</v>
      </c>
      <c r="I276" s="3">
        <f>SUM(I265:I269)</f>
        <v>1815.1161779681372</v>
      </c>
      <c r="J276" s="151">
        <f>SUM(E276:I276)</f>
        <v>485162.33347219886</v>
      </c>
      <c r="K276"/>
      <c r="L276"/>
    </row>
    <row r="277" spans="1:12" x14ac:dyDescent="0.2">
      <c r="A277" s="7"/>
      <c r="B277" s="5" t="s">
        <v>26</v>
      </c>
      <c r="D277"/>
      <c r="E277" s="3">
        <f>SUM(E271:E273)</f>
        <v>13258.807481427013</v>
      </c>
      <c r="F277" s="3">
        <f>SUM(F271:F273)</f>
        <v>445498.87176593667</v>
      </c>
      <c r="G277" s="3">
        <f>SUM(G271:G273)</f>
        <v>312624.83202406735</v>
      </c>
      <c r="H277" s="3">
        <f>SUM(H271:H273)</f>
        <v>7303.9339294984011</v>
      </c>
      <c r="I277" s="3">
        <f>SUM(I271:I273)</f>
        <v>3454.0303150487607</v>
      </c>
      <c r="J277" s="151">
        <f>SUM(E277:I277)</f>
        <v>782140.47551597829</v>
      </c>
      <c r="K277"/>
      <c r="L277"/>
    </row>
    <row r="278" spans="1:12" x14ac:dyDescent="0.2">
      <c r="A278" s="7"/>
      <c r="B278" s="5" t="s">
        <v>13</v>
      </c>
      <c r="D278"/>
      <c r="E278" s="3">
        <f>SUM(E276:E277)</f>
        <v>19938.085073564758</v>
      </c>
      <c r="F278" s="3">
        <f>SUM(F276:F277)</f>
        <v>740178.5026056983</v>
      </c>
      <c r="G278" s="3">
        <f>SUM(G276:G277)</f>
        <v>491440.22867610684</v>
      </c>
      <c r="H278" s="3">
        <f>SUM(H276:H277)</f>
        <v>10476.846139790156</v>
      </c>
      <c r="I278" s="3">
        <f>SUM(I276:I277)</f>
        <v>5269.1464930168977</v>
      </c>
      <c r="J278" s="3">
        <f>SUM(E278:I278)</f>
        <v>1267302.8089881772</v>
      </c>
      <c r="L278"/>
    </row>
    <row r="279" spans="1:12" x14ac:dyDescent="0.2">
      <c r="A279" s="7"/>
      <c r="B279"/>
      <c r="C279"/>
      <c r="D279"/>
      <c r="E279"/>
      <c r="F279"/>
      <c r="G279"/>
      <c r="H279"/>
      <c r="J279"/>
      <c r="L279"/>
    </row>
    <row r="280" spans="1:12" x14ac:dyDescent="0.2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x14ac:dyDescent="0.2">
      <c r="A281" s="7"/>
      <c r="B281" s="5" t="s">
        <v>25</v>
      </c>
      <c r="C281"/>
      <c r="D281"/>
      <c r="E281" s="150">
        <f t="shared" ref="E281:J281" si="16">+E276/E278</f>
        <v>0.33500095758913057</v>
      </c>
      <c r="F281" s="150">
        <f t="shared" si="16"/>
        <v>0.39811968302562412</v>
      </c>
      <c r="G281" s="150">
        <f t="shared" si="16"/>
        <v>0.36385990852590788</v>
      </c>
      <c r="H281" s="150">
        <f t="shared" si="16"/>
        <v>0.30284993861285292</v>
      </c>
      <c r="I281" s="150">
        <f t="shared" si="16"/>
        <v>0.34448011274191692</v>
      </c>
      <c r="J281" s="150">
        <f t="shared" si="16"/>
        <v>0.38283063055747157</v>
      </c>
      <c r="L281"/>
    </row>
    <row r="282" spans="1:12" x14ac:dyDescent="0.2">
      <c r="A282" s="7"/>
      <c r="B282" s="5" t="s">
        <v>26</v>
      </c>
      <c r="C282"/>
      <c r="D282"/>
      <c r="E282" s="150">
        <f t="shared" ref="E282:J282" si="17">+E277/E278</f>
        <v>0.66499904241086938</v>
      </c>
      <c r="F282" s="150">
        <f t="shared" si="17"/>
        <v>0.60188031697437594</v>
      </c>
      <c r="G282" s="150">
        <f t="shared" si="17"/>
        <v>0.63614009147409212</v>
      </c>
      <c r="H282" s="150">
        <f t="shared" si="17"/>
        <v>0.69715006138714697</v>
      </c>
      <c r="I282" s="150">
        <f t="shared" si="17"/>
        <v>0.65551988725808308</v>
      </c>
      <c r="J282" s="150">
        <f t="shared" si="17"/>
        <v>0.61716936944252831</v>
      </c>
      <c r="L282"/>
    </row>
    <row r="283" spans="1:12" x14ac:dyDescent="0.2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75" x14ac:dyDescent="0.25">
      <c r="A285" s="22"/>
      <c r="B285" s="414" t="str">
        <f>$B$1</f>
        <v xml:space="preserve">Jersey Central Power &amp; Light </v>
      </c>
      <c r="C285" s="414"/>
      <c r="D285" s="414"/>
      <c r="E285" s="414"/>
      <c r="F285" s="414"/>
      <c r="G285" s="414"/>
      <c r="H285" s="414"/>
      <c r="I285" s="414"/>
      <c r="J285" s="414"/>
      <c r="K285" s="414"/>
      <c r="L285" s="414"/>
    </row>
    <row r="286" spans="1:12" ht="15.75" x14ac:dyDescent="0.25">
      <c r="A286" s="22"/>
      <c r="B286" s="414" t="str">
        <f>$B$2</f>
        <v>Attachment 2</v>
      </c>
      <c r="C286" s="414"/>
      <c r="D286" s="414"/>
      <c r="E286" s="414"/>
      <c r="F286" s="414"/>
      <c r="G286" s="414"/>
      <c r="H286" s="414"/>
      <c r="I286" s="414"/>
      <c r="J286" s="414"/>
      <c r="K286" s="414"/>
      <c r="L286" s="414"/>
    </row>
    <row r="287" spans="1:12" x14ac:dyDescent="0.2">
      <c r="A287" s="7"/>
      <c r="B287" s="5"/>
      <c r="C287"/>
      <c r="D287"/>
      <c r="E287" s="150"/>
      <c r="F287" s="150"/>
      <c r="G287" s="150"/>
      <c r="H287" s="150"/>
      <c r="I287" s="150"/>
      <c r="J287" s="150"/>
      <c r="L287"/>
    </row>
    <row r="288" spans="1:12" x14ac:dyDescent="0.2">
      <c r="A288" s="6" t="s">
        <v>138</v>
      </c>
      <c r="B288" s="1" t="s">
        <v>247</v>
      </c>
      <c r="C288"/>
      <c r="D288"/>
      <c r="E288"/>
      <c r="G288" s="81"/>
      <c r="J288"/>
      <c r="L288"/>
    </row>
    <row r="289" spans="1:12" x14ac:dyDescent="0.2">
      <c r="A289" s="7"/>
      <c r="C289" s="74"/>
      <c r="D289" s="74"/>
      <c r="J289"/>
      <c r="L289"/>
    </row>
    <row r="290" spans="1:12" x14ac:dyDescent="0.2">
      <c r="A290" s="7"/>
      <c r="B290" s="16" t="s">
        <v>232</v>
      </c>
      <c r="C290" s="74"/>
      <c r="D290" s="74"/>
      <c r="J290"/>
      <c r="L290"/>
    </row>
    <row r="291" spans="1:12" x14ac:dyDescent="0.2">
      <c r="A291" s="7"/>
      <c r="B291" s="89" t="s">
        <v>103</v>
      </c>
      <c r="C291" s="144">
        <f>J278</f>
        <v>1267302.8089881772</v>
      </c>
      <c r="J291"/>
      <c r="L291"/>
    </row>
    <row r="292" spans="1:12" x14ac:dyDescent="0.2">
      <c r="A292" s="7"/>
      <c r="B292" s="16"/>
      <c r="C292" s="144"/>
      <c r="J292"/>
      <c r="L292"/>
    </row>
    <row r="293" spans="1:12" x14ac:dyDescent="0.2">
      <c r="A293" s="7"/>
      <c r="B293" s="16" t="s">
        <v>230</v>
      </c>
      <c r="C293" s="144"/>
      <c r="E293" s="26" t="str">
        <f>+E$13</f>
        <v>RT{1}</v>
      </c>
      <c r="F293" s="26" t="str">
        <f>+F$13</f>
        <v>RS{2}</v>
      </c>
      <c r="G293" s="26" t="str">
        <f>+G$13</f>
        <v>GS{3}</v>
      </c>
      <c r="H293" s="155" t="str">
        <f>+H$58</f>
        <v>GST {4}</v>
      </c>
      <c r="I293" s="26" t="str">
        <f>+I$13</f>
        <v>OL/SL</v>
      </c>
      <c r="J293" s="2" t="s">
        <v>13</v>
      </c>
      <c r="L293"/>
    </row>
    <row r="294" spans="1:12" x14ac:dyDescent="0.2">
      <c r="A294" s="7"/>
      <c r="B294" s="21" t="s">
        <v>25</v>
      </c>
      <c r="C294" s="144"/>
      <c r="E294" s="161">
        <f>ROUND(SUM(E65:E68)*E95,0)</f>
        <v>81319</v>
      </c>
      <c r="F294" s="161">
        <f>ROUND(SUM(F65:F68)*F95,0)</f>
        <v>4114217</v>
      </c>
      <c r="G294" s="161">
        <f>ROUND(SUM(G65:G68)*G95,0)</f>
        <v>2361811</v>
      </c>
      <c r="H294" s="161">
        <f>ROUND(SUM(H65:H68)*H95,0)</f>
        <v>35816</v>
      </c>
      <c r="I294" s="161">
        <f>ROUND(SUM(I65:I68)*I95,0)</f>
        <v>42886</v>
      </c>
      <c r="J294" s="161">
        <f>SUM(E294:I294)</f>
        <v>6636049</v>
      </c>
      <c r="L294"/>
    </row>
    <row r="295" spans="1:12" x14ac:dyDescent="0.2">
      <c r="A295" s="7"/>
      <c r="B295" s="12" t="s">
        <v>26</v>
      </c>
      <c r="C295" s="144"/>
      <c r="E295" s="161">
        <f>ROUND((E72-SUM(E65:E68))*E95,0)</f>
        <v>174212</v>
      </c>
      <c r="F295" s="161">
        <f>ROUND((F72-SUM(F65:F68))*F95,0)</f>
        <v>6048611</v>
      </c>
      <c r="G295" s="161">
        <f>ROUND((G72-SUM(G65:G68))*G95,0)</f>
        <v>4292396</v>
      </c>
      <c r="H295" s="161">
        <f>ROUND((H72-SUM(H65:H68))*H95,0)</f>
        <v>97138</v>
      </c>
      <c r="I295" s="161">
        <f>ROUND((I72-SUM(I65:I68))*I95,0)</f>
        <v>85773</v>
      </c>
      <c r="J295" s="161">
        <f>SUM(E295:I295)</f>
        <v>10698130</v>
      </c>
      <c r="L295"/>
    </row>
    <row r="296" spans="1:12" x14ac:dyDescent="0.2">
      <c r="A296" s="7"/>
      <c r="C296" s="89"/>
      <c r="D296" s="145"/>
      <c r="J296" s="4"/>
      <c r="L296"/>
    </row>
    <row r="297" spans="1:12" x14ac:dyDescent="0.2">
      <c r="A297" s="7"/>
      <c r="B297" s="16" t="s">
        <v>233</v>
      </c>
      <c r="C297" s="89"/>
      <c r="D297" s="160" t="s">
        <v>221</v>
      </c>
      <c r="E297" s="133" t="s">
        <v>227</v>
      </c>
      <c r="J297"/>
      <c r="L297"/>
    </row>
    <row r="298" spans="1:12" x14ac:dyDescent="0.2">
      <c r="A298" s="7"/>
      <c r="B298" s="279" t="s">
        <v>308</v>
      </c>
      <c r="D298" s="38" t="s">
        <v>224</v>
      </c>
      <c r="E298" s="126">
        <v>73.11</v>
      </c>
      <c r="F298" s="38" t="s">
        <v>229</v>
      </c>
      <c r="G298" s="38" t="s">
        <v>231</v>
      </c>
      <c r="J298"/>
      <c r="L298"/>
    </row>
    <row r="299" spans="1:12" x14ac:dyDescent="0.2">
      <c r="A299" s="7"/>
      <c r="B299" s="13" t="s">
        <v>226</v>
      </c>
      <c r="C299" s="89"/>
      <c r="D299" s="167">
        <v>1</v>
      </c>
      <c r="E299" s="301">
        <f>ROUND($E$298*D299,3)</f>
        <v>73.11</v>
      </c>
      <c r="F299" s="55">
        <f>J294</f>
        <v>6636049</v>
      </c>
      <c r="G299" s="144">
        <f>ROUND(F299*E299/1000,0)</f>
        <v>485162</v>
      </c>
      <c r="J299"/>
      <c r="L299"/>
    </row>
    <row r="300" spans="1:12" ht="15" x14ac:dyDescent="0.35">
      <c r="A300" s="7"/>
      <c r="B300" s="13" t="s">
        <v>228</v>
      </c>
      <c r="C300" s="89"/>
      <c r="D300" s="167">
        <v>1</v>
      </c>
      <c r="E300" s="301">
        <f>ROUND($E$298*D300,3)</f>
        <v>73.11</v>
      </c>
      <c r="F300" s="55">
        <f>J295</f>
        <v>10698130</v>
      </c>
      <c r="G300" s="85">
        <f>ROUND(F300*E300/1000,0)</f>
        <v>782140</v>
      </c>
      <c r="J300"/>
      <c r="L300"/>
    </row>
    <row r="301" spans="1:12" x14ac:dyDescent="0.2">
      <c r="A301" s="7"/>
      <c r="B301" s="13" t="s">
        <v>234</v>
      </c>
      <c r="C301" s="89"/>
      <c r="D301" s="145"/>
      <c r="G301" s="81">
        <f>SUM(G299:G300)</f>
        <v>1267302</v>
      </c>
      <c r="J301"/>
      <c r="L301"/>
    </row>
    <row r="302" spans="1:12" x14ac:dyDescent="0.2">
      <c r="A302" s="7"/>
      <c r="C302" s="89"/>
      <c r="D302" s="145"/>
      <c r="J302"/>
      <c r="L302"/>
    </row>
    <row r="303" spans="1:12" x14ac:dyDescent="0.2">
      <c r="A303" s="7"/>
      <c r="C303" s="89"/>
      <c r="D303" s="145"/>
      <c r="J303"/>
      <c r="L303"/>
    </row>
    <row r="304" spans="1:12" x14ac:dyDescent="0.2">
      <c r="A304" s="6" t="s">
        <v>242</v>
      </c>
      <c r="B304" s="1" t="s">
        <v>235</v>
      </c>
      <c r="C304" s="89"/>
      <c r="D304" s="145"/>
      <c r="F304" s="5" t="s">
        <v>221</v>
      </c>
      <c r="G304" s="5" t="s">
        <v>223</v>
      </c>
      <c r="H304" s="71"/>
      <c r="I304"/>
    </row>
    <row r="305" spans="1:15" x14ac:dyDescent="0.2">
      <c r="A305" s="7"/>
      <c r="B305"/>
      <c r="C305"/>
      <c r="D305"/>
      <c r="E305"/>
      <c r="F305" s="5" t="s">
        <v>237</v>
      </c>
      <c r="G305" s="5" t="s">
        <v>224</v>
      </c>
      <c r="H305" s="5" t="s">
        <v>223</v>
      </c>
      <c r="I305"/>
    </row>
    <row r="306" spans="1:15" x14ac:dyDescent="0.2">
      <c r="A306" s="7"/>
      <c r="B306" t="s">
        <v>236</v>
      </c>
      <c r="C306"/>
      <c r="D306"/>
      <c r="E306"/>
      <c r="F306" s="8" t="s">
        <v>231</v>
      </c>
      <c r="G306" s="8" t="s">
        <v>225</v>
      </c>
      <c r="H306" s="8" t="s">
        <v>224</v>
      </c>
      <c r="I306" s="10"/>
    </row>
    <row r="307" spans="1:15" x14ac:dyDescent="0.2">
      <c r="A307" s="7"/>
      <c r="B307" s="5" t="s">
        <v>25</v>
      </c>
      <c r="C307" s="302">
        <f>J276*1000/J294</f>
        <v>73.110119209818805</v>
      </c>
      <c r="D307" t="s">
        <v>137</v>
      </c>
      <c r="E307"/>
      <c r="F307" s="274">
        <f>E299</f>
        <v>73.11</v>
      </c>
      <c r="G307" s="159">
        <f>E299/C307</f>
        <v>0.99999836944844167</v>
      </c>
      <c r="H307" s="297">
        <v>1.3934150000000001</v>
      </c>
    </row>
    <row r="308" spans="1:15" x14ac:dyDescent="0.2">
      <c r="A308" s="7"/>
      <c r="B308" s="5" t="s">
        <v>26</v>
      </c>
      <c r="C308" s="302">
        <f>J277*1000/J295</f>
        <v>73.110017873775917</v>
      </c>
      <c r="D308" t="s">
        <v>137</v>
      </c>
      <c r="E308"/>
      <c r="F308" s="274">
        <f>E300</f>
        <v>73.11</v>
      </c>
      <c r="G308" s="159">
        <f>E300/C308</f>
        <v>0.99999975552220566</v>
      </c>
      <c r="H308" s="297">
        <v>1.0616950000000001</v>
      </c>
    </row>
    <row r="309" spans="1:15" x14ac:dyDescent="0.2">
      <c r="A309" s="7"/>
      <c r="B309" s="5"/>
      <c r="C309" s="152"/>
      <c r="D309"/>
      <c r="E309"/>
      <c r="F309"/>
      <c r="G309"/>
      <c r="H309" s="2"/>
      <c r="I309" s="104"/>
      <c r="M309" s="16"/>
      <c r="N309" s="104"/>
      <c r="O309" s="104"/>
    </row>
    <row r="310" spans="1:15" x14ac:dyDescent="0.2">
      <c r="A310" s="7"/>
      <c r="B310"/>
      <c r="C310"/>
      <c r="D310"/>
      <c r="E310" s="137"/>
      <c r="F310" s="4"/>
      <c r="G310"/>
      <c r="H310"/>
      <c r="I310"/>
      <c r="J310"/>
      <c r="K310"/>
      <c r="L310"/>
    </row>
    <row r="311" spans="1:15" x14ac:dyDescent="0.2">
      <c r="A311" s="16" t="s">
        <v>108</v>
      </c>
      <c r="E311" s="98"/>
      <c r="F311" s="101"/>
      <c r="I311"/>
      <c r="J311"/>
      <c r="K311"/>
      <c r="L311"/>
    </row>
    <row r="312" spans="1:15" x14ac:dyDescent="0.2">
      <c r="A312" s="22"/>
      <c r="B312" s="89" t="s">
        <v>132</v>
      </c>
      <c r="C312" s="102">
        <f>E179</f>
        <v>232.46600000000001</v>
      </c>
      <c r="D312" s="93" t="s">
        <v>160</v>
      </c>
      <c r="E312" s="98"/>
      <c r="F312" s="101"/>
      <c r="I312"/>
      <c r="J312"/>
      <c r="K312"/>
      <c r="L312"/>
    </row>
    <row r="313" spans="1:15" x14ac:dyDescent="0.2">
      <c r="A313" s="22"/>
      <c r="B313" s="89"/>
      <c r="C313" s="102">
        <f>E180</f>
        <v>232.46600000000001</v>
      </c>
      <c r="D313" s="93" t="s">
        <v>161</v>
      </c>
      <c r="E313" s="98"/>
      <c r="F313" s="101"/>
      <c r="I313"/>
      <c r="J313"/>
      <c r="K313"/>
      <c r="L313"/>
    </row>
    <row r="314" spans="1:15" x14ac:dyDescent="0.2">
      <c r="A314" s="22"/>
      <c r="B314" s="89" t="s">
        <v>159</v>
      </c>
      <c r="C314" s="81" t="s">
        <v>158</v>
      </c>
      <c r="D314" s="93"/>
      <c r="E314" s="98"/>
      <c r="F314" s="101"/>
      <c r="I314"/>
      <c r="J314"/>
      <c r="K314"/>
      <c r="L314"/>
    </row>
    <row r="315" spans="1:15" x14ac:dyDescent="0.2">
      <c r="A315" s="22"/>
      <c r="B315" s="89" t="s">
        <v>109</v>
      </c>
      <c r="C315" s="148">
        <f>+H173</f>
        <v>4</v>
      </c>
      <c r="D315" s="13" t="s">
        <v>110</v>
      </c>
      <c r="E315" s="98"/>
      <c r="F315" s="101"/>
      <c r="I315"/>
      <c r="J315"/>
      <c r="K315"/>
      <c r="L315"/>
    </row>
    <row r="316" spans="1:15" x14ac:dyDescent="0.2">
      <c r="A316" s="22"/>
      <c r="B316" s="89"/>
      <c r="C316" s="148">
        <f>+H174</f>
        <v>8</v>
      </c>
      <c r="D316" s="13" t="s">
        <v>111</v>
      </c>
      <c r="E316" s="98"/>
      <c r="F316" s="101"/>
      <c r="I316"/>
      <c r="J316"/>
      <c r="K316"/>
      <c r="L316"/>
    </row>
    <row r="317" spans="1:15" x14ac:dyDescent="0.2">
      <c r="A317" s="22"/>
      <c r="B317" s="89" t="s">
        <v>112</v>
      </c>
      <c r="C317" s="102">
        <f>+E194</f>
        <v>9.5129999999999999</v>
      </c>
      <c r="D317" s="13" t="s">
        <v>113</v>
      </c>
      <c r="E317" s="98"/>
      <c r="F317" s="101"/>
      <c r="I317"/>
      <c r="J317"/>
      <c r="K317"/>
      <c r="L317"/>
    </row>
    <row r="318" spans="1:15" x14ac:dyDescent="0.2">
      <c r="A318" s="22"/>
      <c r="B318" s="89" t="s">
        <v>114</v>
      </c>
      <c r="C318" s="21" t="s">
        <v>250</v>
      </c>
      <c r="E318" s="98"/>
      <c r="F318" s="101"/>
      <c r="I318"/>
      <c r="J318"/>
      <c r="K318"/>
      <c r="L318"/>
    </row>
    <row r="319" spans="1:15" x14ac:dyDescent="0.2">
      <c r="A319" s="22"/>
      <c r="B319" s="89"/>
      <c r="C319" s="319" t="s">
        <v>309</v>
      </c>
      <c r="E319" s="98"/>
      <c r="F319" s="101"/>
      <c r="I319"/>
      <c r="J319"/>
      <c r="K319"/>
      <c r="L319"/>
    </row>
    <row r="320" spans="1:15" x14ac:dyDescent="0.2">
      <c r="A320" s="22"/>
      <c r="B320" s="89" t="s">
        <v>115</v>
      </c>
      <c r="C320" s="12" t="str">
        <f>'BGS PTY18 Cost Alloc'!C$316</f>
        <v xml:space="preserve"> forecasted 2019 energy use by class based upon PJM on/off % from 2016 through 2018 class load profiles</v>
      </c>
      <c r="E320" s="98"/>
      <c r="F320" s="101"/>
      <c r="I320"/>
      <c r="J320"/>
      <c r="K320"/>
      <c r="L320"/>
    </row>
    <row r="321" spans="1:12" x14ac:dyDescent="0.2">
      <c r="A321" s="22"/>
      <c r="B321" s="89"/>
      <c r="C321" s="12" t="str">
        <f>'BGS PTY18 Cost Alloc'!C$317</f>
        <v xml:space="preserve">   JCP&amp;L billing on/off % from 2019 forecasted billing determinants</v>
      </c>
      <c r="E321" s="98"/>
      <c r="F321" s="101"/>
      <c r="I321"/>
      <c r="J321"/>
      <c r="K321"/>
      <c r="L321"/>
    </row>
    <row r="322" spans="1:12" x14ac:dyDescent="0.2">
      <c r="A322" s="22"/>
      <c r="B322" s="89" t="s">
        <v>116</v>
      </c>
      <c r="C322" s="12" t="str">
        <f>'BGS PTY18 Cost Alloc'!C$318</f>
        <v xml:space="preserve"> class totals for 2019 excluding accounts required to take service under BGS-CIEP as of June 1, 2020</v>
      </c>
      <c r="E322" s="98"/>
      <c r="F322" s="101"/>
      <c r="I322"/>
      <c r="J322"/>
      <c r="K322"/>
      <c r="L322"/>
    </row>
    <row r="323" spans="1:12" x14ac:dyDescent="0.2">
      <c r="A323" s="22"/>
      <c r="B323" s="89" t="s">
        <v>117</v>
      </c>
      <c r="C323" s="13" t="s">
        <v>166</v>
      </c>
      <c r="E323" s="98"/>
      <c r="F323" s="101"/>
      <c r="I323"/>
      <c r="J323"/>
      <c r="K323"/>
      <c r="L323"/>
    </row>
    <row r="324" spans="1:12" x14ac:dyDescent="0.2">
      <c r="A324" s="22"/>
      <c r="B324" s="89" t="s">
        <v>118</v>
      </c>
      <c r="C324" s="13" t="s">
        <v>214</v>
      </c>
      <c r="E324" s="100"/>
      <c r="F324" s="101"/>
      <c r="I324"/>
      <c r="J324"/>
      <c r="K324"/>
      <c r="L324"/>
    </row>
    <row r="325" spans="1:12" x14ac:dyDescent="0.2">
      <c r="C325" s="13" t="s">
        <v>119</v>
      </c>
      <c r="E325" s="98"/>
      <c r="F325" s="101"/>
      <c r="I325"/>
      <c r="J325"/>
      <c r="K325"/>
      <c r="L325"/>
    </row>
    <row r="326" spans="1:12" x14ac:dyDescent="0.2">
      <c r="B326" s="89" t="s">
        <v>120</v>
      </c>
      <c r="C326" s="103" t="s">
        <v>189</v>
      </c>
      <c r="E326" s="98"/>
      <c r="F326" s="101"/>
      <c r="I326"/>
      <c r="J326"/>
      <c r="K326"/>
      <c r="L326"/>
    </row>
    <row r="327" spans="1:12" x14ac:dyDescent="0.2">
      <c r="A327" s="22"/>
      <c r="C327" s="103" t="s">
        <v>121</v>
      </c>
      <c r="E327" s="99"/>
      <c r="I327"/>
      <c r="J327"/>
      <c r="K327"/>
      <c r="L327"/>
    </row>
    <row r="328" spans="1:12" x14ac:dyDescent="0.2">
      <c r="C328" s="103" t="s">
        <v>188</v>
      </c>
      <c r="I328"/>
      <c r="J328"/>
      <c r="K328"/>
      <c r="L328"/>
    </row>
    <row r="329" spans="1:12" x14ac:dyDescent="0.2">
      <c r="A329" s="7"/>
      <c r="B329" s="368" t="s">
        <v>302</v>
      </c>
      <c r="C329" s="369" t="s">
        <v>303</v>
      </c>
      <c r="D329"/>
      <c r="E329" s="137"/>
      <c r="F329" s="4"/>
      <c r="G329"/>
      <c r="H329"/>
      <c r="I329"/>
      <c r="J329"/>
      <c r="K329"/>
      <c r="L329"/>
    </row>
    <row r="330" spans="1:12" x14ac:dyDescent="0.2">
      <c r="A330" s="7"/>
      <c r="B330" t="str">
        <f>'BGS PTY18 Cost Alloc'!B327</f>
        <v xml:space="preserve"> </v>
      </c>
      <c r="C330" s="9"/>
      <c r="D330"/>
      <c r="E330" s="137"/>
      <c r="F330" s="137"/>
      <c r="G330"/>
      <c r="H330"/>
      <c r="I330"/>
      <c r="J330"/>
      <c r="K330"/>
      <c r="L330"/>
    </row>
    <row r="335" spans="1:12" x14ac:dyDescent="0.2">
      <c r="L335" s="144"/>
    </row>
    <row r="344" spans="12:12" x14ac:dyDescent="0.2">
      <c r="L344" s="144"/>
    </row>
    <row r="345" spans="12:12" x14ac:dyDescent="0.2">
      <c r="L345" s="144"/>
    </row>
    <row r="346" spans="12:12" x14ac:dyDescent="0.2">
      <c r="L346" s="144"/>
    </row>
    <row r="347" spans="12:12" x14ac:dyDescent="0.2">
      <c r="L347" s="139"/>
    </row>
    <row r="348" spans="12:12" x14ac:dyDescent="0.2">
      <c r="L348" s="139"/>
    </row>
    <row r="349" spans="12:12" x14ac:dyDescent="0.2">
      <c r="L349" s="139"/>
    </row>
  </sheetData>
  <sheetProtection password="E165" sheet="1" objects="1" scenarios="1"/>
  <mergeCells count="16">
    <mergeCell ref="B144:L144"/>
    <mergeCell ref="B285:L285"/>
    <mergeCell ref="B286:L286"/>
    <mergeCell ref="B238:L238"/>
    <mergeCell ref="B239:L239"/>
    <mergeCell ref="B208:L208"/>
    <mergeCell ref="B209:L209"/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 &amp;A&amp;CPage &amp;P of &amp;N</oddFooter>
  </headerFooter>
  <rowBreaks count="6" manualBreakCount="6">
    <brk id="51" max="11" man="1"/>
    <brk id="102" max="11" man="1"/>
    <brk id="142" max="11" man="1"/>
    <brk id="207" max="11" man="1"/>
    <brk id="237" max="11" man="1"/>
    <brk id="28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49"/>
  <sheetViews>
    <sheetView view="pageBreakPreview" zoomScale="80" zoomScaleNormal="70" zoomScaleSheetLayoutView="8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6.5703125" style="13" customWidth="1"/>
    <col min="6" max="6" width="16" style="13" customWidth="1"/>
    <col min="7" max="7" width="16.5703125" style="13" customWidth="1"/>
    <col min="8" max="8" width="15.42578125" style="13" customWidth="1"/>
    <col min="9" max="9" width="14.140625" style="13" customWidth="1"/>
    <col min="10" max="10" width="16.42578125" style="13" customWidth="1"/>
    <col min="11" max="11" width="12.5703125" style="13" hidden="1" customWidth="1"/>
    <col min="12" max="12" width="16.5703125" style="13" hidden="1" customWidth="1"/>
    <col min="13" max="13" width="17" style="13" hidden="1" customWidth="1"/>
    <col min="14" max="14" width="15.140625" style="13" hidden="1" customWidth="1"/>
    <col min="15" max="16" width="12.42578125" style="13" hidden="1" customWidth="1"/>
    <col min="17" max="17" width="13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0.5703125" style="13" hidden="1" customWidth="1"/>
    <col min="26" max="26" width="11.5703125" style="13" hidden="1" customWidth="1"/>
    <col min="27" max="27" width="12.5703125" style="13" hidden="1" customWidth="1"/>
    <col min="28" max="28" width="13.42578125" style="13" hidden="1" customWidth="1"/>
    <col min="29" max="29" width="11" style="13" hidden="1" customWidth="1"/>
    <col min="30" max="30" width="14.140625" style="13" hidden="1" customWidth="1"/>
    <col min="31" max="31" width="9.85546875" style="13" hidden="1" customWidth="1"/>
    <col min="32" max="32" width="9.140625" style="13" hidden="1" customWidth="1"/>
    <col min="33" max="33" width="12" style="13" customWidth="1"/>
    <col min="34" max="37" width="9.140625" style="13" customWidth="1"/>
    <col min="38" max="38" width="9.42578125" style="13" customWidth="1"/>
    <col min="39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414" t="s">
        <v>69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26" ht="15.75" x14ac:dyDescent="0.25">
      <c r="B2" s="414" t="s">
        <v>187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26" ht="15.75" x14ac:dyDescent="0.25">
      <c r="B3" s="414" t="str">
        <f>'BGS PTY18 Cost Alloc'!$B$3</f>
        <v>2020 BGS Auction Cost and Bid Factor Tables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415" t="s">
        <v>318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26" x14ac:dyDescent="0.2">
      <c r="L6" s="120" t="s">
        <v>255</v>
      </c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tr">
        <f>'BGS PTY18 Cost Alloc'!$E$10</f>
        <v>Based on an average of 2016 through 2018 Load Profile Information</v>
      </c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153">
        <f>'BGS PTY18 Cost Alloc'!E15</f>
        <v>0.45929999999999999</v>
      </c>
      <c r="F15" s="153">
        <f>'BGS PTY18 Cost Alloc'!F15</f>
        <v>0.48399999999999999</v>
      </c>
      <c r="G15" s="153">
        <f>'BGS PTY18 Cost Alloc'!G15</f>
        <v>0.5494</v>
      </c>
      <c r="H15" s="153">
        <f>'BGS PTY18 Cost Alloc'!H15</f>
        <v>0.53139999999999998</v>
      </c>
      <c r="I15" s="153">
        <f>'BGS PTY18 Cost Alloc'!I15</f>
        <v>0.31530000000000002</v>
      </c>
      <c r="J15" s="29"/>
      <c r="K15" s="30"/>
      <c r="L15" s="30"/>
      <c r="M15" s="30"/>
      <c r="N15" s="31"/>
      <c r="O15" s="32"/>
      <c r="P15" s="32"/>
      <c r="Q15" s="32">
        <f t="shared" ref="Q15:U26" si="0">1-E15</f>
        <v>0.54069999999999996</v>
      </c>
      <c r="R15" s="32">
        <f t="shared" si="0"/>
        <v>0.51600000000000001</v>
      </c>
      <c r="S15" s="32">
        <f t="shared" si="0"/>
        <v>0.4506</v>
      </c>
      <c r="T15" s="32">
        <f t="shared" si="0"/>
        <v>0.46860000000000002</v>
      </c>
      <c r="U15" s="32">
        <f t="shared" si="0"/>
        <v>0.68469999999999998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153">
        <f>'BGS PTY18 Cost Alloc'!E16</f>
        <v>0.48209999999999997</v>
      </c>
      <c r="F16" s="153">
        <f>'BGS PTY18 Cost Alloc'!F16</f>
        <v>0.5091</v>
      </c>
      <c r="G16" s="153">
        <f>'BGS PTY18 Cost Alloc'!G16</f>
        <v>0.57879999999999998</v>
      </c>
      <c r="H16" s="153">
        <f>'BGS PTY18 Cost Alloc'!H16</f>
        <v>0.55940000000000001</v>
      </c>
      <c r="I16" s="153">
        <f>'BGS PTY18 Cost Alloc'!I16</f>
        <v>0.31190000000000001</v>
      </c>
      <c r="J16" s="29"/>
      <c r="K16" s="30"/>
      <c r="L16" s="30"/>
      <c r="M16" s="30"/>
      <c r="N16" s="31"/>
      <c r="O16" s="32"/>
      <c r="P16" s="32"/>
      <c r="Q16" s="32">
        <f t="shared" si="0"/>
        <v>0.51790000000000003</v>
      </c>
      <c r="R16" s="32">
        <f t="shared" si="0"/>
        <v>0.4909</v>
      </c>
      <c r="S16" s="32">
        <f t="shared" si="0"/>
        <v>0.42120000000000002</v>
      </c>
      <c r="T16" s="32">
        <f t="shared" si="0"/>
        <v>0.44059999999999999</v>
      </c>
      <c r="U16" s="32">
        <f t="shared" si="0"/>
        <v>0.68809999999999993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153">
        <f>'BGS PTY18 Cost Alloc'!E17</f>
        <v>0.48880000000000001</v>
      </c>
      <c r="F17" s="153">
        <f>'BGS PTY18 Cost Alloc'!F17</f>
        <v>0.52029999999999998</v>
      </c>
      <c r="G17" s="153">
        <f>'BGS PTY18 Cost Alloc'!G17</f>
        <v>0.60470000000000002</v>
      </c>
      <c r="H17" s="153">
        <f>'BGS PTY18 Cost Alloc'!H17</f>
        <v>0.56799999999999995</v>
      </c>
      <c r="I17" s="153">
        <f>'BGS PTY18 Cost Alloc'!I17</f>
        <v>0.30640000000000001</v>
      </c>
      <c r="J17" s="29"/>
      <c r="K17" s="30"/>
      <c r="L17" s="30"/>
      <c r="M17" s="30"/>
      <c r="N17" s="31"/>
      <c r="O17" s="32"/>
      <c r="P17" s="32"/>
      <c r="Q17" s="32">
        <f t="shared" si="0"/>
        <v>0.51119999999999999</v>
      </c>
      <c r="R17" s="32">
        <f t="shared" si="0"/>
        <v>0.47970000000000002</v>
      </c>
      <c r="S17" s="32">
        <f t="shared" si="0"/>
        <v>0.39529999999999998</v>
      </c>
      <c r="T17" s="32">
        <f t="shared" si="0"/>
        <v>0.43200000000000005</v>
      </c>
      <c r="U17" s="32">
        <f t="shared" si="0"/>
        <v>0.69359999999999999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153">
        <f>'BGS PTY18 Cost Alloc'!E18</f>
        <v>0.4703</v>
      </c>
      <c r="F18" s="153">
        <f>'BGS PTY18 Cost Alloc'!F18</f>
        <v>0.4904</v>
      </c>
      <c r="G18" s="153">
        <f>'BGS PTY18 Cost Alloc'!G18</f>
        <v>0.58179999999999998</v>
      </c>
      <c r="H18" s="153">
        <f>'BGS PTY18 Cost Alloc'!H18</f>
        <v>0.55269999999999997</v>
      </c>
      <c r="I18" s="153">
        <f>'BGS PTY18 Cost Alloc'!I18</f>
        <v>0.27760000000000001</v>
      </c>
      <c r="J18" s="29"/>
      <c r="K18" s="30"/>
      <c r="L18" s="30"/>
      <c r="M18" s="30"/>
      <c r="N18" s="31"/>
      <c r="O18" s="32"/>
      <c r="P18" s="32"/>
      <c r="Q18" s="32">
        <f t="shared" si="0"/>
        <v>0.52970000000000006</v>
      </c>
      <c r="R18" s="32">
        <f t="shared" si="0"/>
        <v>0.50960000000000005</v>
      </c>
      <c r="S18" s="32">
        <f t="shared" si="0"/>
        <v>0.41820000000000002</v>
      </c>
      <c r="T18" s="32">
        <f t="shared" si="0"/>
        <v>0.44730000000000003</v>
      </c>
      <c r="U18" s="32">
        <f t="shared" si="0"/>
        <v>0.72239999999999993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153">
        <f>'BGS PTY18 Cost Alloc'!E19</f>
        <v>0.49170000000000003</v>
      </c>
      <c r="F19" s="153">
        <f>'BGS PTY18 Cost Alloc'!F19</f>
        <v>0.51100000000000001</v>
      </c>
      <c r="G19" s="153">
        <f>'BGS PTY18 Cost Alloc'!G19</f>
        <v>0.59709999999999996</v>
      </c>
      <c r="H19" s="153">
        <f>'BGS PTY18 Cost Alloc'!H19</f>
        <v>0.5736</v>
      </c>
      <c r="I19" s="153">
        <f>'BGS PTY18 Cost Alloc'!I19</f>
        <v>0.2767</v>
      </c>
      <c r="J19" s="29"/>
      <c r="K19" s="30"/>
      <c r="L19" s="30"/>
      <c r="M19" s="30"/>
      <c r="N19" s="31"/>
      <c r="O19" s="32"/>
      <c r="P19" s="32"/>
      <c r="Q19" s="32">
        <f t="shared" si="0"/>
        <v>0.50829999999999997</v>
      </c>
      <c r="R19" s="32">
        <f t="shared" si="0"/>
        <v>0.48899999999999999</v>
      </c>
      <c r="S19" s="32">
        <f t="shared" si="0"/>
        <v>0.40290000000000004</v>
      </c>
      <c r="T19" s="32">
        <f t="shared" si="0"/>
        <v>0.4264</v>
      </c>
      <c r="U19" s="32">
        <f t="shared" si="0"/>
        <v>0.72330000000000005</v>
      </c>
      <c r="V19" s="32"/>
      <c r="W19" s="32"/>
      <c r="X19" s="32"/>
      <c r="Y19" s="32"/>
      <c r="Z19" s="32"/>
    </row>
    <row r="20" spans="1:26" x14ac:dyDescent="0.2">
      <c r="A20" s="22"/>
      <c r="B20" s="185" t="s">
        <v>6</v>
      </c>
      <c r="C20" s="207"/>
      <c r="D20" s="207"/>
      <c r="E20" s="212">
        <f>'BGS PTY18 Cost Alloc'!E20</f>
        <v>0.52880000000000005</v>
      </c>
      <c r="F20" s="212">
        <f>'BGS PTY18 Cost Alloc'!F20</f>
        <v>0.53390000000000004</v>
      </c>
      <c r="G20" s="212">
        <f>'BGS PTY18 Cost Alloc'!G20</f>
        <v>0.59540000000000004</v>
      </c>
      <c r="H20" s="212">
        <f>'BGS PTY18 Cost Alloc'!H20</f>
        <v>0.58609999999999995</v>
      </c>
      <c r="I20" s="231">
        <f>'BGS PTY18 Cost Alloc'!I20</f>
        <v>0.27600000000000002</v>
      </c>
      <c r="J20" s="29"/>
      <c r="K20" s="30"/>
      <c r="L20" s="30"/>
      <c r="M20" s="30"/>
      <c r="N20" s="31"/>
      <c r="O20" s="32"/>
      <c r="P20" s="32"/>
      <c r="Q20" s="32">
        <f t="shared" si="0"/>
        <v>0.47119999999999995</v>
      </c>
      <c r="R20" s="32">
        <f t="shared" si="0"/>
        <v>0.46609999999999996</v>
      </c>
      <c r="S20" s="32">
        <f t="shared" si="0"/>
        <v>0.40459999999999996</v>
      </c>
      <c r="T20" s="32">
        <f t="shared" si="0"/>
        <v>0.41390000000000005</v>
      </c>
      <c r="U20" s="32">
        <f t="shared" si="0"/>
        <v>0.72399999999999998</v>
      </c>
      <c r="V20" s="32"/>
      <c r="W20" s="32"/>
      <c r="X20" s="32"/>
      <c r="Y20" s="32"/>
      <c r="Z20" s="32"/>
    </row>
    <row r="21" spans="1:26" x14ac:dyDescent="0.2">
      <c r="A21" s="22"/>
      <c r="B21" s="189" t="s">
        <v>7</v>
      </c>
      <c r="C21" s="179"/>
      <c r="D21" s="179"/>
      <c r="E21" s="206">
        <f>'BGS PTY18 Cost Alloc'!E21</f>
        <v>0.49940000000000001</v>
      </c>
      <c r="F21" s="206">
        <f>'BGS PTY18 Cost Alloc'!F21</f>
        <v>0.49969999999999998</v>
      </c>
      <c r="G21" s="206">
        <f>'BGS PTY18 Cost Alloc'!G21</f>
        <v>0.55549999999999999</v>
      </c>
      <c r="H21" s="206">
        <f>'BGS PTY18 Cost Alloc'!H21</f>
        <v>0.54239999999999999</v>
      </c>
      <c r="I21" s="232">
        <f>'BGS PTY18 Cost Alloc'!I21</f>
        <v>0.2485</v>
      </c>
      <c r="J21" s="29"/>
      <c r="K21" s="30"/>
      <c r="L21" s="30"/>
      <c r="M21" s="30"/>
      <c r="N21" s="31"/>
      <c r="O21" s="32"/>
      <c r="P21" s="32"/>
      <c r="Q21" s="32">
        <f t="shared" si="0"/>
        <v>0.50059999999999993</v>
      </c>
      <c r="R21" s="32">
        <f t="shared" si="0"/>
        <v>0.50029999999999997</v>
      </c>
      <c r="S21" s="32">
        <f t="shared" si="0"/>
        <v>0.44450000000000001</v>
      </c>
      <c r="T21" s="32">
        <f t="shared" si="0"/>
        <v>0.45760000000000001</v>
      </c>
      <c r="U21" s="32">
        <f t="shared" si="0"/>
        <v>0.75150000000000006</v>
      </c>
      <c r="V21" s="32"/>
      <c r="W21" s="32"/>
      <c r="X21" s="32"/>
      <c r="Y21" s="32"/>
      <c r="Z21" s="32"/>
    </row>
    <row r="22" spans="1:26" x14ac:dyDescent="0.2">
      <c r="A22" s="22"/>
      <c r="B22" s="189" t="s">
        <v>8</v>
      </c>
      <c r="C22" s="179"/>
      <c r="D22" s="179"/>
      <c r="E22" s="206">
        <f>'BGS PTY18 Cost Alloc'!E22</f>
        <v>0.55330000000000001</v>
      </c>
      <c r="F22" s="206">
        <f>'BGS PTY18 Cost Alloc'!F22</f>
        <v>0.55200000000000005</v>
      </c>
      <c r="G22" s="206">
        <f>'BGS PTY18 Cost Alloc'!G22</f>
        <v>0.60950000000000004</v>
      </c>
      <c r="H22" s="206">
        <f>'BGS PTY18 Cost Alloc'!H22</f>
        <v>0.59509999999999996</v>
      </c>
      <c r="I22" s="232">
        <f>'BGS PTY18 Cost Alloc'!I22</f>
        <v>0.29189999999999999</v>
      </c>
      <c r="J22" s="29"/>
      <c r="K22" s="30"/>
      <c r="L22" s="30"/>
      <c r="M22" s="30"/>
      <c r="N22" s="31"/>
      <c r="O22" s="32"/>
      <c r="P22" s="32"/>
      <c r="Q22" s="32">
        <f t="shared" si="0"/>
        <v>0.44669999999999999</v>
      </c>
      <c r="R22" s="32">
        <f t="shared" si="0"/>
        <v>0.44799999999999995</v>
      </c>
      <c r="S22" s="32">
        <f t="shared" si="0"/>
        <v>0.39049999999999996</v>
      </c>
      <c r="T22" s="32">
        <f t="shared" si="0"/>
        <v>0.40490000000000004</v>
      </c>
      <c r="U22" s="32">
        <f t="shared" si="0"/>
        <v>0.70809999999999995</v>
      </c>
      <c r="V22" s="32"/>
      <c r="W22" s="32"/>
      <c r="X22" s="32"/>
      <c r="Y22" s="32"/>
      <c r="Z22" s="32"/>
    </row>
    <row r="23" spans="1:26" x14ac:dyDescent="0.2">
      <c r="A23" s="22"/>
      <c r="B23" s="192" t="s">
        <v>9</v>
      </c>
      <c r="C23" s="208"/>
      <c r="D23" s="208"/>
      <c r="E23" s="218">
        <f>'BGS PTY18 Cost Alloc'!E23</f>
        <v>0.46779999999999999</v>
      </c>
      <c r="F23" s="218">
        <f>'BGS PTY18 Cost Alloc'!F23</f>
        <v>0.47349999999999998</v>
      </c>
      <c r="G23" s="218">
        <f>'BGS PTY18 Cost Alloc'!G23</f>
        <v>0.57030000000000003</v>
      </c>
      <c r="H23" s="218">
        <f>'BGS PTY18 Cost Alloc'!H23</f>
        <v>0.55549999999999999</v>
      </c>
      <c r="I23" s="233">
        <f>'BGS PTY18 Cost Alloc'!I23</f>
        <v>0.27850000000000003</v>
      </c>
      <c r="J23" s="29"/>
      <c r="K23" s="30"/>
      <c r="L23" s="30"/>
      <c r="M23" s="30"/>
      <c r="N23" s="31"/>
      <c r="O23" s="32"/>
      <c r="P23" s="32"/>
      <c r="Q23" s="32">
        <f t="shared" si="0"/>
        <v>0.53220000000000001</v>
      </c>
      <c r="R23" s="32">
        <f t="shared" si="0"/>
        <v>0.52649999999999997</v>
      </c>
      <c r="S23" s="32">
        <f t="shared" si="0"/>
        <v>0.42969999999999997</v>
      </c>
      <c r="T23" s="32">
        <f t="shared" si="0"/>
        <v>0.44450000000000001</v>
      </c>
      <c r="U23" s="32">
        <f t="shared" si="0"/>
        <v>0.72150000000000003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153">
        <f>'BGS PTY18 Cost Alloc'!E24</f>
        <v>0.4909</v>
      </c>
      <c r="F24" s="153">
        <f>'BGS PTY18 Cost Alloc'!F24</f>
        <v>0.50980000000000003</v>
      </c>
      <c r="G24" s="153">
        <f>'BGS PTY18 Cost Alloc'!G24</f>
        <v>0.59240000000000004</v>
      </c>
      <c r="H24" s="153">
        <f>'BGS PTY18 Cost Alloc'!H24</f>
        <v>0.57279999999999998</v>
      </c>
      <c r="I24" s="153">
        <f>'BGS PTY18 Cost Alloc'!I24</f>
        <v>0.31590000000000001</v>
      </c>
      <c r="J24" s="29"/>
      <c r="K24" s="30"/>
      <c r="L24" s="30"/>
      <c r="M24" s="30"/>
      <c r="N24" s="31"/>
      <c r="O24" s="32"/>
      <c r="P24" s="32"/>
      <c r="Q24" s="32">
        <f t="shared" si="0"/>
        <v>0.5091</v>
      </c>
      <c r="R24" s="32">
        <f t="shared" si="0"/>
        <v>0.49019999999999997</v>
      </c>
      <c r="S24" s="32">
        <f t="shared" si="0"/>
        <v>0.40759999999999996</v>
      </c>
      <c r="T24" s="32">
        <f t="shared" si="0"/>
        <v>0.42720000000000002</v>
      </c>
      <c r="U24" s="32">
        <f t="shared" si="0"/>
        <v>0.68409999999999993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153">
        <f>'BGS PTY18 Cost Alloc'!E25</f>
        <v>0.46439999999999998</v>
      </c>
      <c r="F25" s="153">
        <f>'BGS PTY18 Cost Alloc'!F25</f>
        <v>0.4985</v>
      </c>
      <c r="G25" s="153">
        <f>'BGS PTY18 Cost Alloc'!G25</f>
        <v>0.58250000000000002</v>
      </c>
      <c r="H25" s="153">
        <f>'BGS PTY18 Cost Alloc'!H25</f>
        <v>0.55379999999999996</v>
      </c>
      <c r="I25" s="153">
        <f>'BGS PTY18 Cost Alloc'!I25</f>
        <v>0.3281</v>
      </c>
      <c r="J25" s="29"/>
      <c r="K25" s="30"/>
      <c r="L25" s="30"/>
      <c r="M25" s="30"/>
      <c r="N25" s="31"/>
      <c r="O25" s="32"/>
      <c r="P25" s="32"/>
      <c r="Q25" s="32">
        <f t="shared" si="0"/>
        <v>0.53560000000000008</v>
      </c>
      <c r="R25" s="32">
        <f t="shared" si="0"/>
        <v>0.50150000000000006</v>
      </c>
      <c r="S25" s="32">
        <f t="shared" si="0"/>
        <v>0.41749999999999998</v>
      </c>
      <c r="T25" s="32">
        <f t="shared" si="0"/>
        <v>0.44620000000000004</v>
      </c>
      <c r="U25" s="32">
        <f t="shared" si="0"/>
        <v>0.67189999999999994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153">
        <f>'BGS PTY18 Cost Alloc'!E26</f>
        <v>0.44779999999999998</v>
      </c>
      <c r="F26" s="153">
        <f>'BGS PTY18 Cost Alloc'!F26</f>
        <v>0.46920000000000001</v>
      </c>
      <c r="G26" s="153">
        <f>'BGS PTY18 Cost Alloc'!G26</f>
        <v>0.53890000000000005</v>
      </c>
      <c r="H26" s="153">
        <f>'BGS PTY18 Cost Alloc'!H26</f>
        <v>0.5161</v>
      </c>
      <c r="I26" s="153">
        <f>'BGS PTY18 Cost Alloc'!I26</f>
        <v>0.31230000000000002</v>
      </c>
      <c r="J26" s="29"/>
      <c r="K26" s="30"/>
      <c r="L26" s="30"/>
      <c r="M26" s="30"/>
      <c r="N26" s="31"/>
      <c r="O26" s="32"/>
      <c r="P26" s="32"/>
      <c r="Q26" s="32">
        <f t="shared" si="0"/>
        <v>0.55220000000000002</v>
      </c>
      <c r="R26" s="32">
        <f t="shared" si="0"/>
        <v>0.53079999999999994</v>
      </c>
      <c r="S26" s="32">
        <f t="shared" si="0"/>
        <v>0.46109999999999995</v>
      </c>
      <c r="T26" s="32">
        <f t="shared" si="0"/>
        <v>0.4839</v>
      </c>
      <c r="U26" s="32">
        <f t="shared" si="0"/>
        <v>0.68769999999999998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23" t="str">
        <f>'BGS PTY18 Cost Alloc'!$E$30</f>
        <v>2019 Forecasted Calendar Month Sales</v>
      </c>
      <c r="F30" s="23" t="s">
        <v>39</v>
      </c>
      <c r="G30" s="23" t="s">
        <v>39</v>
      </c>
      <c r="H30" s="23" t="str">
        <f>'BGS PTY18 Cost Alloc'!$E$30</f>
        <v>2019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PTY18 Cost Alloc'!Q30</f>
        <v>2019 Forecasted Calendar Month Sales</v>
      </c>
      <c r="R30" s="23" t="s">
        <v>39</v>
      </c>
      <c r="S30" s="23" t="s">
        <v>39</v>
      </c>
      <c r="T30" s="23" t="str">
        <f>'BGS PTY18 Cost Alloc'!T30</f>
        <v>2019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153">
        <f>'BGS PTY18 Cost Alloc'!E33</f>
        <v>0.35580000000000001</v>
      </c>
      <c r="F33" s="156" t="s">
        <v>40</v>
      </c>
      <c r="G33" s="156" t="s">
        <v>40</v>
      </c>
      <c r="H33" s="153">
        <f>'BGS PTY18 Cost Alloc'!H33</f>
        <v>0.4259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1">1-E33</f>
        <v>0.64419999999999999</v>
      </c>
      <c r="R33" s="32"/>
      <c r="S33" s="32"/>
      <c r="T33" s="32">
        <f t="shared" ref="T33:T44" si="2">1-H33</f>
        <v>0.57410000000000005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153">
        <f>'BGS PTY18 Cost Alloc'!E34</f>
        <v>0.3483</v>
      </c>
      <c r="F34" s="156" t="s">
        <v>40</v>
      </c>
      <c r="G34" s="156" t="s">
        <v>40</v>
      </c>
      <c r="H34" s="153">
        <f>'BGS PTY18 Cost Alloc'!H34</f>
        <v>0.43049999999999999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1"/>
        <v>0.65169999999999995</v>
      </c>
      <c r="R34" s="32"/>
      <c r="S34" s="32"/>
      <c r="T34" s="32">
        <f t="shared" si="2"/>
        <v>0.56950000000000001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153">
        <f>'BGS PTY18 Cost Alloc'!E35</f>
        <v>0.34039999999999998</v>
      </c>
      <c r="F35" s="156" t="s">
        <v>40</v>
      </c>
      <c r="G35" s="156" t="s">
        <v>40</v>
      </c>
      <c r="H35" s="153">
        <f>'BGS PTY18 Cost Alloc'!H35</f>
        <v>0.4289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1"/>
        <v>0.65959999999999996</v>
      </c>
      <c r="R35" s="32"/>
      <c r="S35" s="32"/>
      <c r="T35" s="32">
        <f t="shared" si="2"/>
        <v>0.57109999999999994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153">
        <f>'BGS PTY18 Cost Alloc'!E36</f>
        <v>0.34399999999999997</v>
      </c>
      <c r="F36" s="156" t="s">
        <v>40</v>
      </c>
      <c r="G36" s="156" t="s">
        <v>40</v>
      </c>
      <c r="H36" s="153">
        <f>'BGS PTY18 Cost Alloc'!H36</f>
        <v>0.43940000000000001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1"/>
        <v>0.65600000000000003</v>
      </c>
      <c r="R36" s="32"/>
      <c r="S36" s="32"/>
      <c r="T36" s="32">
        <f t="shared" si="2"/>
        <v>0.56059999999999999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153">
        <f>'BGS PTY18 Cost Alloc'!E37</f>
        <v>0.36749999999999999</v>
      </c>
      <c r="F37" s="156" t="s">
        <v>40</v>
      </c>
      <c r="G37" s="156" t="s">
        <v>40</v>
      </c>
      <c r="H37" s="153">
        <f>'BGS PTY18 Cost Alloc'!H37</f>
        <v>0.45469999999999999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1"/>
        <v>0.63250000000000006</v>
      </c>
      <c r="R37" s="32"/>
      <c r="S37" s="32"/>
      <c r="T37" s="32">
        <f t="shared" si="2"/>
        <v>0.54530000000000001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28" t="s">
        <v>6</v>
      </c>
      <c r="C38" s="35"/>
      <c r="D38" s="135"/>
      <c r="E38" s="153">
        <f>'BGS PTY18 Cost Alloc'!E38</f>
        <v>0.3977</v>
      </c>
      <c r="F38" s="156" t="s">
        <v>40</v>
      </c>
      <c r="G38" s="156" t="s">
        <v>40</v>
      </c>
      <c r="H38" s="153">
        <f>'BGS PTY18 Cost Alloc'!H38</f>
        <v>0.46229999999999999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1"/>
        <v>0.60230000000000006</v>
      </c>
      <c r="R38" s="32"/>
      <c r="S38" s="32"/>
      <c r="T38" s="32">
        <f t="shared" si="2"/>
        <v>0.53770000000000007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28" t="s">
        <v>7</v>
      </c>
      <c r="C39" s="35"/>
      <c r="D39" s="135"/>
      <c r="E39" s="153">
        <f>'BGS PTY18 Cost Alloc'!E39</f>
        <v>0.4133</v>
      </c>
      <c r="F39" s="156" t="s">
        <v>40</v>
      </c>
      <c r="G39" s="156" t="s">
        <v>40</v>
      </c>
      <c r="H39" s="153">
        <f>'BGS PTY18 Cost Alloc'!H39</f>
        <v>0.46879999999999999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1"/>
        <v>0.5867</v>
      </c>
      <c r="R39" s="32"/>
      <c r="S39" s="32"/>
      <c r="T39" s="32">
        <f t="shared" si="2"/>
        <v>0.53120000000000001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28" t="s">
        <v>8</v>
      </c>
      <c r="C40" s="35"/>
      <c r="D40" s="135"/>
      <c r="E40" s="153">
        <f>'BGS PTY18 Cost Alloc'!E40</f>
        <v>0.41420000000000001</v>
      </c>
      <c r="F40" s="156" t="s">
        <v>40</v>
      </c>
      <c r="G40" s="156" t="s">
        <v>40</v>
      </c>
      <c r="H40" s="153">
        <f>'BGS PTY18 Cost Alloc'!H40</f>
        <v>0.46610000000000001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1"/>
        <v>0.58579999999999999</v>
      </c>
      <c r="R40" s="32"/>
      <c r="S40" s="32"/>
      <c r="T40" s="32">
        <f t="shared" si="2"/>
        <v>0.53390000000000004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28" t="s">
        <v>9</v>
      </c>
      <c r="C41" s="35"/>
      <c r="D41" s="135"/>
      <c r="E41" s="153">
        <f>'BGS PTY18 Cost Alloc'!E41</f>
        <v>0.40150000000000002</v>
      </c>
      <c r="F41" s="156" t="s">
        <v>40</v>
      </c>
      <c r="G41" s="156" t="s">
        <v>40</v>
      </c>
      <c r="H41" s="153">
        <f>'BGS PTY18 Cost Alloc'!H41</f>
        <v>0.46110000000000001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1"/>
        <v>0.59850000000000003</v>
      </c>
      <c r="R41" s="32"/>
      <c r="S41" s="32"/>
      <c r="T41" s="32">
        <f t="shared" si="2"/>
        <v>0.53889999999999993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153">
        <f>'BGS PTY18 Cost Alloc'!E42</f>
        <v>0.36899999999999999</v>
      </c>
      <c r="F42" s="156" t="s">
        <v>40</v>
      </c>
      <c r="G42" s="156" t="s">
        <v>40</v>
      </c>
      <c r="H42" s="153">
        <f>'BGS PTY18 Cost Alloc'!H42</f>
        <v>0.46479999999999999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1"/>
        <v>0.63100000000000001</v>
      </c>
      <c r="R42" s="32"/>
      <c r="S42" s="32"/>
      <c r="T42" s="32">
        <f t="shared" si="2"/>
        <v>0.53520000000000001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153">
        <f>'BGS PTY18 Cost Alloc'!E43</f>
        <v>0.35199999999999998</v>
      </c>
      <c r="F43" s="156" t="s">
        <v>40</v>
      </c>
      <c r="G43" s="156" t="s">
        <v>40</v>
      </c>
      <c r="H43" s="153">
        <f>'BGS PTY18 Cost Alloc'!H43</f>
        <v>0.4531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1"/>
        <v>0.64800000000000002</v>
      </c>
      <c r="R43" s="32"/>
      <c r="S43" s="32"/>
      <c r="T43" s="32">
        <f t="shared" si="2"/>
        <v>0.54689999999999994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153">
        <f>'BGS PTY18 Cost Alloc'!E44</f>
        <v>0.3548</v>
      </c>
      <c r="F44" s="156" t="s">
        <v>40</v>
      </c>
      <c r="G44" s="156" t="s">
        <v>40</v>
      </c>
      <c r="H44" s="153">
        <f>'BGS PTY18 Cost Alloc'!H44</f>
        <v>0.43330000000000002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1"/>
        <v>0.6452</v>
      </c>
      <c r="R44" s="32"/>
      <c r="S44" s="32"/>
      <c r="T44" s="32">
        <f t="shared" si="2"/>
        <v>0.56669999999999998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75" x14ac:dyDescent="0.25">
      <c r="A52" s="22"/>
      <c r="B52" s="414" t="str">
        <f>$B$1</f>
        <v xml:space="preserve">Jersey Central Power &amp; Light 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75" x14ac:dyDescent="0.25">
      <c r="A53" s="22"/>
      <c r="B53" s="414" t="str">
        <f>$B$2</f>
        <v>Attachment 2</v>
      </c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70" t="str">
        <f>'BGS PTY18 Cost Alloc'!Y55</f>
        <v>Forecast 2019 Delivery MWh</v>
      </c>
      <c r="X55" s="171"/>
      <c r="Y55" s="171"/>
      <c r="Z55" s="31"/>
    </row>
    <row r="56" spans="1:33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8" t="s">
        <v>251</v>
      </c>
    </row>
    <row r="57" spans="1:33" x14ac:dyDescent="0.2">
      <c r="A57" s="22"/>
      <c r="B57" s="39" t="str">
        <f>'BGS PTY18 Cost Alloc'!$B$57</f>
        <v>calendar month sales forecasted for 2019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2">
      <c r="A60" s="22"/>
      <c r="B60" s="28" t="s">
        <v>1</v>
      </c>
      <c r="C60" s="49"/>
      <c r="D60" s="49"/>
      <c r="E60" s="50">
        <f>'BGS PTY18 Cost Alloc'!E60</f>
        <v>23565</v>
      </c>
      <c r="F60" s="50">
        <f>'BGS PTY18 Cost Alloc'!F60</f>
        <v>756063</v>
      </c>
      <c r="G60" s="50">
        <f>'BGS PTY18 Cost Alloc'!G60</f>
        <v>518162</v>
      </c>
      <c r="H60" s="50">
        <f>'BGS PTY18 Cost Alloc'!H60</f>
        <v>12162</v>
      </c>
      <c r="I60" s="50">
        <f>'BGS PTY18 Cost Alloc'!I60</f>
        <v>9590</v>
      </c>
      <c r="J60" s="50">
        <f t="shared" ref="J60:J72" si="3">SUM(E60:I60)</f>
        <v>1319542</v>
      </c>
      <c r="K60" s="49"/>
      <c r="L60" s="49"/>
      <c r="M60" s="50">
        <f t="shared" ref="M60:M71" si="4">E60-ROUND(SUM($W60/1000),0)</f>
        <v>22985</v>
      </c>
      <c r="N60" s="51" t="s">
        <v>28</v>
      </c>
      <c r="O60" s="52"/>
      <c r="P60" s="53"/>
      <c r="Q60" s="53">
        <f>SUM(E60:E64,E69:E71)</f>
        <v>155825</v>
      </c>
      <c r="R60" s="53">
        <f>SUM(F60:F64,F69:F71)</f>
        <v>5410210</v>
      </c>
      <c r="S60" s="53">
        <f>SUM(G60:G64,G69:G71)</f>
        <v>3839355</v>
      </c>
      <c r="T60" s="53">
        <f>SUM(H60:H64,H69:H71)</f>
        <v>86886</v>
      </c>
      <c r="U60" s="54">
        <f>SUM(I60:I64,I69:I71)</f>
        <v>76720</v>
      </c>
      <c r="V60" s="169">
        <f>'BGS PTY18 Cost Alloc'!V60</f>
        <v>43466</v>
      </c>
      <c r="W60" s="50">
        <f>'BGS PTY18 Cost Alloc'!W60</f>
        <v>579968.33333329996</v>
      </c>
      <c r="X60" s="50">
        <f>'BGS PTY18 Cost Alloc'!X60</f>
        <v>11869.833333300001</v>
      </c>
      <c r="Y60" s="55">
        <f t="shared" ref="Y60:Y71" si="5">W60-X60</f>
        <v>568098.5</v>
      </c>
      <c r="Z60" s="50">
        <f>'BGS PTY18 Cost Alloc'!Z60</f>
        <v>1724182.4015641999</v>
      </c>
      <c r="AA60" s="50">
        <f>'BGS PTY18 Cost Alloc'!AA60</f>
        <v>22985.238607846699</v>
      </c>
      <c r="AB60" s="50">
        <f>'BGS PTY18 Cost Alloc'!AB60</f>
        <v>754338.84449058899</v>
      </c>
      <c r="AC60" s="50">
        <f>'BGS PTY18 Cost Alloc'!AC60</f>
        <v>518174.09490754409</v>
      </c>
      <c r="AD60" s="50">
        <f>'BGS PTY18 Cost Alloc'!AD60</f>
        <v>575919.09690754407</v>
      </c>
      <c r="AG60" s="50">
        <f>'BGS PTY18 Cost Alloc'!AG60</f>
        <v>12162.049460863702</v>
      </c>
    </row>
    <row r="61" spans="1:33" x14ac:dyDescent="0.2">
      <c r="A61" s="22"/>
      <c r="B61" s="28" t="s">
        <v>2</v>
      </c>
      <c r="C61" s="49"/>
      <c r="D61" s="49"/>
      <c r="E61" s="50">
        <f>'BGS PTY18 Cost Alloc'!E61</f>
        <v>25830</v>
      </c>
      <c r="F61" s="50">
        <f>'BGS PTY18 Cost Alloc'!F61</f>
        <v>767678</v>
      </c>
      <c r="G61" s="50">
        <f>'BGS PTY18 Cost Alloc'!G61</f>
        <v>518422</v>
      </c>
      <c r="H61" s="50">
        <f>'BGS PTY18 Cost Alloc'!H61</f>
        <v>14327</v>
      </c>
      <c r="I61" s="50">
        <f>'BGS PTY18 Cost Alloc'!I61</f>
        <v>9590</v>
      </c>
      <c r="J61" s="50">
        <f t="shared" si="3"/>
        <v>1335847</v>
      </c>
      <c r="K61" s="49"/>
      <c r="L61" s="49"/>
      <c r="M61" s="50">
        <f t="shared" si="4"/>
        <v>25258</v>
      </c>
      <c r="N61" s="51"/>
      <c r="O61" s="52"/>
      <c r="P61" s="114" t="s">
        <v>193</v>
      </c>
      <c r="Q61" s="53">
        <f>SUMPRODUCT(E33:E37,M60:M64)+SUMPRODUCT(E42:E44,M69:M71)</f>
        <v>53380.747199999998</v>
      </c>
      <c r="R61" s="47"/>
      <c r="S61" s="131" t="s">
        <v>177</v>
      </c>
      <c r="T61" s="53">
        <f>SUMPRODUCT(H33:H37,H60:H64)+SUMPRODUCT(H42:H44,H69:H71)</f>
        <v>38107.132400000002</v>
      </c>
      <c r="U61" s="48">
        <f>T61/T60</f>
        <v>0.43858771723868062</v>
      </c>
      <c r="V61" s="169">
        <f>'BGS PTY18 Cost Alloc'!V61</f>
        <v>43497</v>
      </c>
      <c r="W61" s="50">
        <f>'BGS PTY18 Cost Alloc'!W61</f>
        <v>572070.86111109995</v>
      </c>
      <c r="X61" s="50">
        <f>'BGS PTY18 Cost Alloc'!X61</f>
        <v>11775.236111099999</v>
      </c>
      <c r="Y61" s="55">
        <f t="shared" si="5"/>
        <v>560295.625</v>
      </c>
      <c r="Z61" s="50">
        <f>'BGS PTY18 Cost Alloc'!Z61</f>
        <v>1838681.5364045999</v>
      </c>
      <c r="AA61" s="50">
        <f>'BGS PTY18 Cost Alloc'!AA61</f>
        <v>25257.743785767001</v>
      </c>
      <c r="AB61" s="50">
        <f>'BGS PTY18 Cost Alloc'!AB61</f>
        <v>765839.2530528279</v>
      </c>
      <c r="AC61" s="50">
        <f>'BGS PTY18 Cost Alloc'!AC61</f>
        <v>518433.94475810003</v>
      </c>
      <c r="AD61" s="50">
        <f>'BGS PTY18 Cost Alloc'!AD61</f>
        <v>574486.42875810002</v>
      </c>
      <c r="AG61" s="50">
        <f>'BGS PTY18 Cost Alloc'!AG61</f>
        <v>14327.337866873295</v>
      </c>
    </row>
    <row r="62" spans="1:33" x14ac:dyDescent="0.2">
      <c r="A62" s="22"/>
      <c r="B62" s="28" t="s">
        <v>3</v>
      </c>
      <c r="C62" s="49"/>
      <c r="D62" s="49"/>
      <c r="E62" s="50">
        <f>'BGS PTY18 Cost Alloc'!E62</f>
        <v>23751</v>
      </c>
      <c r="F62" s="50">
        <f>'BGS PTY18 Cost Alloc'!F62</f>
        <v>700839</v>
      </c>
      <c r="G62" s="50">
        <f>'BGS PTY18 Cost Alloc'!G62</f>
        <v>510718</v>
      </c>
      <c r="H62" s="50">
        <f>'BGS PTY18 Cost Alloc'!H62</f>
        <v>14335</v>
      </c>
      <c r="I62" s="50">
        <f>'BGS PTY18 Cost Alloc'!I62</f>
        <v>9590</v>
      </c>
      <c r="J62" s="50">
        <f t="shared" si="3"/>
        <v>1259233</v>
      </c>
      <c r="K62" s="49"/>
      <c r="L62" s="49"/>
      <c r="M62" s="50">
        <f t="shared" si="4"/>
        <v>23186</v>
      </c>
      <c r="N62" s="51"/>
      <c r="O62" s="52"/>
      <c r="P62" s="114" t="s">
        <v>194</v>
      </c>
      <c r="Q62" s="53">
        <f>SUMPRODUCT(Q33:Q37,M60:M64)+SUMPRODUCT(Q42:Q44,M69:M71)</f>
        <v>98111.252800000002</v>
      </c>
      <c r="R62" s="47"/>
      <c r="S62" s="131" t="s">
        <v>178</v>
      </c>
      <c r="T62" s="53">
        <f>+T60-T61</f>
        <v>48778.867599999998</v>
      </c>
      <c r="U62" s="48"/>
      <c r="V62" s="169">
        <f>'BGS PTY18 Cost Alloc'!V62</f>
        <v>43525</v>
      </c>
      <c r="W62" s="50">
        <f>'BGS PTY18 Cost Alloc'!W62</f>
        <v>564939.43287040002</v>
      </c>
      <c r="X62" s="50">
        <f>'BGS PTY18 Cost Alloc'!X62</f>
        <v>11690.422453699999</v>
      </c>
      <c r="Y62" s="55">
        <f t="shared" si="5"/>
        <v>553249.01041670004</v>
      </c>
      <c r="Z62" s="50">
        <f>'BGS PTY18 Cost Alloc'!Z62</f>
        <v>1627068.8108206</v>
      </c>
      <c r="AA62" s="50">
        <f>'BGS PTY18 Cost Alloc'!AA62</f>
        <v>23186.444082912603</v>
      </c>
      <c r="AB62" s="50">
        <f>'BGS PTY18 Cost Alloc'!AB62</f>
        <v>699211.56509585003</v>
      </c>
      <c r="AC62" s="50">
        <f>'BGS PTY18 Cost Alloc'!AC62</f>
        <v>510730.26342078904</v>
      </c>
      <c r="AD62" s="50">
        <f>'BGS PTY18 Cost Alloc'!AD62</f>
        <v>565001.65742078901</v>
      </c>
      <c r="AG62" s="50">
        <f>'BGS PTY18 Cost Alloc'!AG62</f>
        <v>14334.828988410003</v>
      </c>
    </row>
    <row r="63" spans="1:33" x14ac:dyDescent="0.2">
      <c r="A63" s="22"/>
      <c r="B63" s="28" t="s">
        <v>4</v>
      </c>
      <c r="C63" s="49"/>
      <c r="D63" s="49"/>
      <c r="E63" s="50">
        <f>'BGS PTY18 Cost Alloc'!E63</f>
        <v>20338</v>
      </c>
      <c r="F63" s="50">
        <f>'BGS PTY18 Cost Alloc'!F63</f>
        <v>647385</v>
      </c>
      <c r="G63" s="50">
        <f>'BGS PTY18 Cost Alloc'!G63</f>
        <v>464644</v>
      </c>
      <c r="H63" s="50">
        <f>'BGS PTY18 Cost Alloc'!H63</f>
        <v>11761</v>
      </c>
      <c r="I63" s="50">
        <f>'BGS PTY18 Cost Alloc'!I63</f>
        <v>9590</v>
      </c>
      <c r="J63" s="50">
        <f t="shared" si="3"/>
        <v>1153718</v>
      </c>
      <c r="K63" s="49"/>
      <c r="L63" s="49"/>
      <c r="M63" s="50">
        <f t="shared" si="4"/>
        <v>19781</v>
      </c>
      <c r="N63" s="46"/>
      <c r="O63" s="47"/>
      <c r="P63" s="114" t="s">
        <v>195</v>
      </c>
      <c r="Q63" s="53">
        <f>SUM(W60:W64,W69:W71)/1000</f>
        <v>4333.8891105293997</v>
      </c>
      <c r="R63" s="47"/>
      <c r="S63" s="47"/>
      <c r="T63" s="47"/>
      <c r="U63" s="48"/>
      <c r="V63" s="169">
        <f>'BGS PTY18 Cost Alloc'!V63</f>
        <v>43556</v>
      </c>
      <c r="W63" s="50">
        <f>'BGS PTY18 Cost Alloc'!W63</f>
        <v>557073.46894289996</v>
      </c>
      <c r="X63" s="50">
        <f>'BGS PTY18 Cost Alloc'!X63</f>
        <v>11614.374324799999</v>
      </c>
      <c r="Y63" s="55">
        <f t="shared" si="5"/>
        <v>545459.09461809997</v>
      </c>
      <c r="Z63" s="50">
        <f>'BGS PTY18 Cost Alloc'!Z63</f>
        <v>1310564.7060739</v>
      </c>
      <c r="AA63" s="50">
        <f>'BGS PTY18 Cost Alloc'!AA63</f>
        <v>19780.665192779703</v>
      </c>
      <c r="AB63" s="50">
        <f>'BGS PTY18 Cost Alloc'!AB63</f>
        <v>646073.74100652803</v>
      </c>
      <c r="AC63" s="50">
        <f>'BGS PTY18 Cost Alloc'!AC63</f>
        <v>464655.65971247101</v>
      </c>
      <c r="AD63" s="50">
        <f>'BGS PTY18 Cost Alloc'!AD63</f>
        <v>520518.057712471</v>
      </c>
      <c r="AG63" s="50">
        <f>'BGS PTY18 Cost Alloc'!AG63</f>
        <v>11761.227115389496</v>
      </c>
    </row>
    <row r="64" spans="1:33" x14ac:dyDescent="0.2">
      <c r="A64" s="22"/>
      <c r="B64" s="28" t="s">
        <v>5</v>
      </c>
      <c r="C64" s="49"/>
      <c r="D64" s="49"/>
      <c r="E64" s="50">
        <f>'BGS PTY18 Cost Alloc'!E64</f>
        <v>15219</v>
      </c>
      <c r="F64" s="50">
        <f>'BGS PTY18 Cost Alloc'!F64</f>
        <v>593952</v>
      </c>
      <c r="G64" s="50">
        <f>'BGS PTY18 Cost Alloc'!G64</f>
        <v>439233</v>
      </c>
      <c r="H64" s="50">
        <f>'BGS PTY18 Cost Alloc'!H64</f>
        <v>7562</v>
      </c>
      <c r="I64" s="50">
        <f>'BGS PTY18 Cost Alloc'!I64</f>
        <v>9590</v>
      </c>
      <c r="J64" s="50">
        <f t="shared" si="3"/>
        <v>1065556</v>
      </c>
      <c r="K64" s="49"/>
      <c r="L64" s="49"/>
      <c r="M64" s="50">
        <f t="shared" si="4"/>
        <v>14670</v>
      </c>
      <c r="N64" s="51" t="s">
        <v>29</v>
      </c>
      <c r="O64" s="52"/>
      <c r="P64" s="53"/>
      <c r="Q64" s="53">
        <f>+SUM(E65:E68)</f>
        <v>72736</v>
      </c>
      <c r="R64" s="53">
        <f>+SUM(F65:F68)</f>
        <v>3679982</v>
      </c>
      <c r="S64" s="53">
        <f>+SUM(G65:G68)</f>
        <v>2112534</v>
      </c>
      <c r="T64" s="53">
        <f>+SUM(H65:H68)</f>
        <v>32036</v>
      </c>
      <c r="U64" s="54">
        <f>+SUM(I65:I68)</f>
        <v>38360</v>
      </c>
      <c r="V64" s="169">
        <f>'BGS PTY18 Cost Alloc'!V64</f>
        <v>43586</v>
      </c>
      <c r="W64" s="50">
        <f>'BGS PTY18 Cost Alloc'!W64</f>
        <v>549475.00802140008</v>
      </c>
      <c r="X64" s="50">
        <f>'BGS PTY18 Cost Alloc'!X64</f>
        <v>11549.572185200001</v>
      </c>
      <c r="Y64" s="55">
        <f t="shared" si="5"/>
        <v>537925.43583620002</v>
      </c>
      <c r="Z64" s="50">
        <f>'BGS PTY18 Cost Alloc'!Z64</f>
        <v>983244.90342049999</v>
      </c>
      <c r="AA64" s="50">
        <f>'BGS PTY18 Cost Alloc'!AA64</f>
        <v>14670.489150408801</v>
      </c>
      <c r="AB64" s="50">
        <f>'BGS PTY18 Cost Alloc'!AB64</f>
        <v>592968.75351033499</v>
      </c>
      <c r="AC64" s="50">
        <f>'BGS PTY18 Cost Alloc'!AC64</f>
        <v>439244.91301233106</v>
      </c>
      <c r="AD64" s="50">
        <f>'BGS PTY18 Cost Alloc'!AD64</f>
        <v>501711.55101233104</v>
      </c>
      <c r="AG64" s="50">
        <f>'BGS PTY18 Cost Alloc'!AG64</f>
        <v>7561.9923987510947</v>
      </c>
    </row>
    <row r="65" spans="1:33" x14ac:dyDescent="0.2">
      <c r="A65" s="22"/>
      <c r="B65" s="28" t="s">
        <v>6</v>
      </c>
      <c r="C65" s="49"/>
      <c r="D65" s="49"/>
      <c r="E65" s="50">
        <f>'BGS PTY18 Cost Alloc'!E65</f>
        <v>15454</v>
      </c>
      <c r="F65" s="50">
        <f>'BGS PTY18 Cost Alloc'!F65</f>
        <v>700169</v>
      </c>
      <c r="G65" s="50">
        <f>'BGS PTY18 Cost Alloc'!G65</f>
        <v>487689</v>
      </c>
      <c r="H65" s="50">
        <f>'BGS PTY18 Cost Alloc'!H65</f>
        <v>9518</v>
      </c>
      <c r="I65" s="50">
        <f>'BGS PTY18 Cost Alloc'!I65</f>
        <v>9590</v>
      </c>
      <c r="J65" s="50">
        <f t="shared" si="3"/>
        <v>1222420</v>
      </c>
      <c r="K65" s="49"/>
      <c r="L65" s="50"/>
      <c r="M65" s="50">
        <f t="shared" si="4"/>
        <v>14912</v>
      </c>
      <c r="N65" s="51"/>
      <c r="O65" s="52"/>
      <c r="P65" s="157" t="s">
        <v>151</v>
      </c>
      <c r="Q65" s="158">
        <f>SUMPRODUCT(E38:E41,M65:M68)</f>
        <v>28770.069900000002</v>
      </c>
      <c r="R65" s="158">
        <f>'BGS PTY18 Cost Alloc'!R65</f>
        <v>1975322.3391199985</v>
      </c>
      <c r="S65" s="131" t="s">
        <v>177</v>
      </c>
      <c r="T65" s="53">
        <f>+SUMPRODUCT(H38:H41,H65:H68)</f>
        <v>14886.868499999999</v>
      </c>
      <c r="U65" s="56">
        <f>T65/T64</f>
        <v>0.46469186227993503</v>
      </c>
      <c r="V65" s="169">
        <f>'BGS PTY18 Cost Alloc'!V65</f>
        <v>43617</v>
      </c>
      <c r="W65" s="50">
        <f>'BGS PTY18 Cost Alloc'!W65</f>
        <v>541646.67535659997</v>
      </c>
      <c r="X65" s="50">
        <f>'BGS PTY18 Cost Alloc'!X65</f>
        <v>11496.4532007</v>
      </c>
      <c r="Y65" s="55">
        <f t="shared" si="5"/>
        <v>530150.22215589997</v>
      </c>
      <c r="Z65" s="50">
        <f>'BGS PTY18 Cost Alloc'!Z65</f>
        <v>978837.61123079993</v>
      </c>
      <c r="AA65" s="50">
        <f>'BGS PTY18 Cost Alloc'!AA65</f>
        <v>13933.703136709299</v>
      </c>
      <c r="AB65" s="50">
        <f>'BGS PTY18 Cost Alloc'!AB65</f>
        <v>700169.29502990399</v>
      </c>
      <c r="AC65" s="50">
        <f>'BGS PTY18 Cost Alloc'!AC65</f>
        <v>487700.13521430601</v>
      </c>
      <c r="AD65" s="50">
        <f>'BGS PTY18 Cost Alloc'!AD65</f>
        <v>548435.43321430602</v>
      </c>
      <c r="AG65" s="50">
        <f>'BGS PTY18 Cost Alloc'!AG65</f>
        <v>9517.8384443462037</v>
      </c>
    </row>
    <row r="66" spans="1:33" x14ac:dyDescent="0.2">
      <c r="A66" s="22"/>
      <c r="B66" s="28" t="s">
        <v>7</v>
      </c>
      <c r="C66" s="49"/>
      <c r="D66" s="49"/>
      <c r="E66" s="50">
        <f>'BGS PTY18 Cost Alloc'!E66</f>
        <v>18683</v>
      </c>
      <c r="F66" s="50">
        <f>'BGS PTY18 Cost Alloc'!F66</f>
        <v>959624</v>
      </c>
      <c r="G66" s="50">
        <f>'BGS PTY18 Cost Alloc'!G66</f>
        <v>533658</v>
      </c>
      <c r="H66" s="50">
        <f>'BGS PTY18 Cost Alloc'!H66</f>
        <v>7049</v>
      </c>
      <c r="I66" s="50">
        <f>'BGS PTY18 Cost Alloc'!I66</f>
        <v>9590</v>
      </c>
      <c r="J66" s="50">
        <f t="shared" si="3"/>
        <v>1528604</v>
      </c>
      <c r="K66" s="49"/>
      <c r="L66" s="50"/>
      <c r="M66" s="50">
        <f t="shared" si="4"/>
        <v>18149</v>
      </c>
      <c r="N66" s="51"/>
      <c r="O66" s="52"/>
      <c r="P66" s="157" t="s">
        <v>152</v>
      </c>
      <c r="Q66" s="158">
        <f>SUMPRODUCT(Q38:Q41,M65:M68)</f>
        <v>41844.930099999998</v>
      </c>
      <c r="R66" s="158">
        <f>'BGS PTY18 Cost Alloc'!R66</f>
        <v>1704659.6608800013</v>
      </c>
      <c r="S66" s="131" t="s">
        <v>178</v>
      </c>
      <c r="T66" s="53">
        <f>+T64-T65</f>
        <v>17149.131500000003</v>
      </c>
      <c r="U66" s="48"/>
      <c r="V66" s="169">
        <f>'BGS PTY18 Cost Alloc'!V66</f>
        <v>43647</v>
      </c>
      <c r="W66" s="50">
        <f>'BGS PTY18 Cost Alloc'!W66</f>
        <v>534089.06496960006</v>
      </c>
      <c r="X66" s="50">
        <f>'BGS PTY18 Cost Alloc'!X66</f>
        <v>11456.5743007</v>
      </c>
      <c r="Y66" s="55">
        <f t="shared" si="5"/>
        <v>522632.49066890008</v>
      </c>
      <c r="Z66" s="50">
        <f>'BGS PTY18 Cost Alloc'!Z66</f>
        <v>1144842.5825376001</v>
      </c>
      <c r="AA66" s="50">
        <f>'BGS PTY18 Cost Alloc'!AA66</f>
        <v>17003.931940046103</v>
      </c>
      <c r="AB66" s="50">
        <f>'BGS PTY18 Cost Alloc'!AB66</f>
        <v>959624.476986747</v>
      </c>
      <c r="AC66" s="50">
        <f>'BGS PTY18 Cost Alloc'!AC66</f>
        <v>533668.60912104207</v>
      </c>
      <c r="AD66" s="50">
        <f>'BGS PTY18 Cost Alloc'!AD66</f>
        <v>603905.36112104205</v>
      </c>
      <c r="AG66" s="50">
        <f>'BGS PTY18 Cost Alloc'!AG66</f>
        <v>7048.7584066205027</v>
      </c>
    </row>
    <row r="67" spans="1:33" x14ac:dyDescent="0.2">
      <c r="A67" s="22"/>
      <c r="B67" s="28" t="s">
        <v>8</v>
      </c>
      <c r="C67" s="49"/>
      <c r="D67" s="49"/>
      <c r="E67" s="50">
        <f>'BGS PTY18 Cost Alloc'!E67</f>
        <v>21050</v>
      </c>
      <c r="F67" s="50">
        <f>'BGS PTY18 Cost Alloc'!F67</f>
        <v>1116559</v>
      </c>
      <c r="G67" s="50">
        <f>'BGS PTY18 Cost Alloc'!G67</f>
        <v>567778</v>
      </c>
      <c r="H67" s="50">
        <f>'BGS PTY18 Cost Alloc'!H67</f>
        <v>9874</v>
      </c>
      <c r="I67" s="50">
        <f>'BGS PTY18 Cost Alloc'!I67</f>
        <v>9590</v>
      </c>
      <c r="J67" s="50">
        <f t="shared" si="3"/>
        <v>1724851</v>
      </c>
      <c r="K67" s="49"/>
      <c r="L67" s="49"/>
      <c r="M67" s="50">
        <f t="shared" si="4"/>
        <v>20524</v>
      </c>
      <c r="N67" s="57"/>
      <c r="O67" s="58"/>
      <c r="P67" s="114" t="s">
        <v>195</v>
      </c>
      <c r="Q67" s="53">
        <f>SUM(W65:W68)/1000</f>
        <v>2120.5840466813002</v>
      </c>
      <c r="R67" s="66"/>
      <c r="S67" s="58"/>
      <c r="T67" s="58"/>
      <c r="U67" s="59"/>
      <c r="V67" s="169">
        <f>'BGS PTY18 Cost Alloc'!V67</f>
        <v>43678</v>
      </c>
      <c r="W67" s="50">
        <f>'BGS PTY18 Cost Alloc'!W67</f>
        <v>526303.9870504</v>
      </c>
      <c r="X67" s="50">
        <f>'BGS PTY18 Cost Alloc'!X67</f>
        <v>11430.372159099999</v>
      </c>
      <c r="Y67" s="55">
        <f t="shared" si="5"/>
        <v>514873.61489129998</v>
      </c>
      <c r="Z67" s="50">
        <f>'BGS PTY18 Cost Alloc'!Z67</f>
        <v>1270923.8224968</v>
      </c>
      <c r="AA67" s="50">
        <f>'BGS PTY18 Cost Alloc'!AA67</f>
        <v>19252.9194685109</v>
      </c>
      <c r="AB67" s="50">
        <f>'BGS PTY18 Cost Alloc'!AB67</f>
        <v>1116558.9140941</v>
      </c>
      <c r="AC67" s="50">
        <f>'BGS PTY18 Cost Alloc'!AC67</f>
        <v>567789.11063605594</v>
      </c>
      <c r="AD67" s="50">
        <f>'BGS PTY18 Cost Alloc'!AD67</f>
        <v>638731.31963605597</v>
      </c>
      <c r="AG67" s="50">
        <f>'BGS PTY18 Cost Alloc'!AG67</f>
        <v>9873.6945944710969</v>
      </c>
    </row>
    <row r="68" spans="1:33" x14ac:dyDescent="0.2">
      <c r="A68" s="22"/>
      <c r="B68" s="28" t="s">
        <v>9</v>
      </c>
      <c r="C68" s="49"/>
      <c r="D68" s="49"/>
      <c r="E68" s="50">
        <f>'BGS PTY18 Cost Alloc'!E68</f>
        <v>17549</v>
      </c>
      <c r="F68" s="50">
        <f>'BGS PTY18 Cost Alloc'!F68</f>
        <v>903630</v>
      </c>
      <c r="G68" s="50">
        <f>'BGS PTY18 Cost Alloc'!G68</f>
        <v>523409</v>
      </c>
      <c r="H68" s="50">
        <f>'BGS PTY18 Cost Alloc'!H68</f>
        <v>5595</v>
      </c>
      <c r="I68" s="50">
        <f>'BGS PTY18 Cost Alloc'!I68</f>
        <v>9590</v>
      </c>
      <c r="J68" s="50">
        <f t="shared" si="3"/>
        <v>1459773</v>
      </c>
      <c r="K68" s="49"/>
      <c r="L68" s="49"/>
      <c r="M68" s="50">
        <f t="shared" si="4"/>
        <v>17030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9">
        <f>'BGS PTY18 Cost Alloc'!V68</f>
        <v>43709</v>
      </c>
      <c r="W68" s="50">
        <f>'BGS PTY18 Cost Alloc'!W68</f>
        <v>518544.31930469995</v>
      </c>
      <c r="X68" s="50">
        <f>'BGS PTY18 Cost Alloc'!X68</f>
        <v>11419.653172400001</v>
      </c>
      <c r="Y68" s="55">
        <f t="shared" si="5"/>
        <v>507124.66613229993</v>
      </c>
      <c r="Z68" s="50">
        <f>'BGS PTY18 Cost Alloc'!Z68</f>
        <v>1056858.1503125001</v>
      </c>
      <c r="AA68" s="50">
        <f>'BGS PTY18 Cost Alloc'!AA68</f>
        <v>15974.235710306801</v>
      </c>
      <c r="AB68" s="50">
        <f>'BGS PTY18 Cost Alloc'!AB68</f>
        <v>903630.36547324795</v>
      </c>
      <c r="AC68" s="50">
        <f>'BGS PTY18 Cost Alloc'!AC68</f>
        <v>523419.80631970003</v>
      </c>
      <c r="AD68" s="50">
        <f>'BGS PTY18 Cost Alloc'!AD68</f>
        <v>596448.63831970003</v>
      </c>
      <c r="AG68" s="50">
        <f>'BGS PTY18 Cost Alloc'!AG68</f>
        <v>5594.5144500803053</v>
      </c>
    </row>
    <row r="69" spans="1:33" x14ac:dyDescent="0.2">
      <c r="A69" s="22"/>
      <c r="B69" s="28" t="s">
        <v>10</v>
      </c>
      <c r="C69" s="49"/>
      <c r="D69" s="49"/>
      <c r="E69" s="50">
        <f>'BGS PTY18 Cost Alloc'!E69</f>
        <v>12792</v>
      </c>
      <c r="F69" s="50">
        <f>'BGS PTY18 Cost Alloc'!F69</f>
        <v>635700</v>
      </c>
      <c r="G69" s="50">
        <f>'BGS PTY18 Cost Alloc'!G69</f>
        <v>453116</v>
      </c>
      <c r="H69" s="50">
        <f>'BGS PTY18 Cost Alloc'!H69</f>
        <v>7365</v>
      </c>
      <c r="I69" s="50">
        <f>'BGS PTY18 Cost Alloc'!I69</f>
        <v>9590</v>
      </c>
      <c r="J69" s="50">
        <f t="shared" si="3"/>
        <v>1118563</v>
      </c>
      <c r="K69" s="49"/>
      <c r="L69" s="49"/>
      <c r="M69" s="50">
        <f t="shared" si="4"/>
        <v>12281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9">
        <f>'BGS PTY18 Cost Alloc'!V69</f>
        <v>43739</v>
      </c>
      <c r="W69" s="50">
        <f>'BGS PTY18 Cost Alloc'!W69</f>
        <v>511063.01258009998</v>
      </c>
      <c r="X69" s="50">
        <f>'BGS PTY18 Cost Alloc'!X69</f>
        <v>11425.5409368</v>
      </c>
      <c r="Y69" s="55">
        <f t="shared" si="5"/>
        <v>499637.47164329997</v>
      </c>
      <c r="Z69" s="50">
        <f>'BGS PTY18 Cost Alloc'!Z69</f>
        <v>832317.09372740006</v>
      </c>
      <c r="AA69" s="50">
        <f>'BGS PTY18 Cost Alloc'!AA69</f>
        <v>12280.925134660501</v>
      </c>
      <c r="AB69" s="50">
        <f>'BGS PTY18 Cost Alloc'!AB69</f>
        <v>634867.8292999689</v>
      </c>
      <c r="AC69" s="50">
        <f>'BGS PTY18 Cost Alloc'!AC69</f>
        <v>453126.689642212</v>
      </c>
      <c r="AD69" s="50">
        <f>'BGS PTY18 Cost Alloc'!AD69</f>
        <v>516247.69764221198</v>
      </c>
      <c r="AG69" s="50">
        <f>'BGS PTY18 Cost Alloc'!AG69</f>
        <v>7365.3848199874983</v>
      </c>
    </row>
    <row r="70" spans="1:33" x14ac:dyDescent="0.2">
      <c r="A70" s="22"/>
      <c r="B70" s="28" t="s">
        <v>11</v>
      </c>
      <c r="C70" s="49"/>
      <c r="D70" s="49"/>
      <c r="E70" s="50">
        <f>'BGS PTY18 Cost Alloc'!E70</f>
        <v>15006</v>
      </c>
      <c r="F70" s="50">
        <f>'BGS PTY18 Cost Alloc'!F70</f>
        <v>614269</v>
      </c>
      <c r="G70" s="50">
        <f>'BGS PTY18 Cost Alloc'!G70</f>
        <v>452674</v>
      </c>
      <c r="H70" s="50">
        <f>'BGS PTY18 Cost Alloc'!H70</f>
        <v>9447</v>
      </c>
      <c r="I70" s="50">
        <f>'BGS PTY18 Cost Alloc'!I70</f>
        <v>9590</v>
      </c>
      <c r="J70" s="50">
        <f t="shared" si="3"/>
        <v>1100986</v>
      </c>
      <c r="K70" s="49"/>
      <c r="L70" s="49"/>
      <c r="M70" s="50">
        <f t="shared" si="4"/>
        <v>14503</v>
      </c>
      <c r="N70" s="46"/>
      <c r="O70" s="47"/>
      <c r="P70" s="47"/>
      <c r="Q70" s="47"/>
      <c r="R70" s="47"/>
      <c r="S70" s="47"/>
      <c r="T70" s="47"/>
      <c r="U70" s="48"/>
      <c r="V70" s="169">
        <f>'BGS PTY18 Cost Alloc'!V70</f>
        <v>43770</v>
      </c>
      <c r="W70" s="50">
        <f>'BGS PTY18 Cost Alloc'!W70</f>
        <v>503359.59696170001</v>
      </c>
      <c r="X70" s="50">
        <f>'BGS PTY18 Cost Alloc'!X70</f>
        <v>11449.002681499998</v>
      </c>
      <c r="Y70" s="55">
        <f t="shared" si="5"/>
        <v>491910.59428020002</v>
      </c>
      <c r="Z70" s="50">
        <f>'BGS PTY18 Cost Alloc'!Z70</f>
        <v>1071373.3287497</v>
      </c>
      <c r="AA70" s="50">
        <f>'BGS PTY18 Cost Alloc'!AA70</f>
        <v>14502.7721228962</v>
      </c>
      <c r="AB70" s="50">
        <f>'BGS PTY18 Cost Alloc'!AB70</f>
        <v>613197.64695407404</v>
      </c>
      <c r="AC70" s="50">
        <f>'BGS PTY18 Cost Alloc'!AC70</f>
        <v>452684.55748243199</v>
      </c>
      <c r="AD70" s="50">
        <f>'BGS PTY18 Cost Alloc'!AD70</f>
        <v>509264.06348243199</v>
      </c>
      <c r="AG70" s="50">
        <f>'BGS PTY18 Cost Alloc'!AG70</f>
        <v>9446.7690652227029</v>
      </c>
    </row>
    <row r="71" spans="1:33" x14ac:dyDescent="0.2">
      <c r="A71" s="22"/>
      <c r="B71" s="28" t="s">
        <v>12</v>
      </c>
      <c r="C71" s="49"/>
      <c r="D71" s="49"/>
      <c r="E71" s="50">
        <f>'BGS PTY18 Cost Alloc'!E71</f>
        <v>19324</v>
      </c>
      <c r="F71" s="50">
        <f>'BGS PTY18 Cost Alloc'!F71</f>
        <v>694324</v>
      </c>
      <c r="G71" s="50">
        <f>'BGS PTY18 Cost Alloc'!G71</f>
        <v>482386</v>
      </c>
      <c r="H71" s="50">
        <f>'BGS PTY18 Cost Alloc'!H71</f>
        <v>9927</v>
      </c>
      <c r="I71" s="50">
        <f>'BGS PTY18 Cost Alloc'!I71</f>
        <v>9590</v>
      </c>
      <c r="J71" s="50">
        <f t="shared" si="3"/>
        <v>1215551</v>
      </c>
      <c r="K71" s="49"/>
      <c r="L71" s="49"/>
      <c r="M71" s="50">
        <f t="shared" si="4"/>
        <v>18828</v>
      </c>
      <c r="N71" s="51"/>
      <c r="O71" s="52"/>
      <c r="P71" s="115" t="s">
        <v>148</v>
      </c>
      <c r="Q71" s="53">
        <f>SUM(E60:E64,E69:E71)</f>
        <v>155825</v>
      </c>
      <c r="R71" s="53"/>
      <c r="S71" s="115" t="s">
        <v>148</v>
      </c>
      <c r="T71" s="53">
        <f>SUM(H60:H64,H69:H71)</f>
        <v>86886</v>
      </c>
      <c r="U71" s="54"/>
      <c r="V71" s="169">
        <f>'BGS PTY18 Cost Alloc'!V71</f>
        <v>43800</v>
      </c>
      <c r="W71" s="50">
        <f>'BGS PTY18 Cost Alloc'!W71</f>
        <v>495939.39670850005</v>
      </c>
      <c r="X71" s="50">
        <f>'BGS PTY18 Cost Alloc'!X71</f>
        <v>11492.086238299999</v>
      </c>
      <c r="Y71" s="55">
        <f t="shared" si="5"/>
        <v>484447.31047020003</v>
      </c>
      <c r="Z71" s="50">
        <f>'BGS PTY18 Cost Alloc'!Z71</f>
        <v>1435895.9293958</v>
      </c>
      <c r="AA71" s="50">
        <f>'BGS PTY18 Cost Alloc'!AA71</f>
        <v>18828.075899498701</v>
      </c>
      <c r="AB71" s="50">
        <f>'BGS PTY18 Cost Alloc'!AB71</f>
        <v>692887.6998606351</v>
      </c>
      <c r="AC71" s="50">
        <f>'BGS PTY18 Cost Alloc'!AC71</f>
        <v>482396.50031204999</v>
      </c>
      <c r="AD71" s="50">
        <f>'BGS PTY18 Cost Alloc'!AD71</f>
        <v>539163.65431204997</v>
      </c>
      <c r="AG71" s="50">
        <f>'BGS PTY18 Cost Alloc'!AG71</f>
        <v>9926.8312806094</v>
      </c>
    </row>
    <row r="72" spans="1:33" x14ac:dyDescent="0.2">
      <c r="A72" s="22"/>
      <c r="B72" s="60" t="s">
        <v>13</v>
      </c>
      <c r="C72" s="55"/>
      <c r="D72" s="55"/>
      <c r="E72" s="55">
        <f>SUM(E60:E71)</f>
        <v>228561</v>
      </c>
      <c r="F72" s="55">
        <f>SUM(F60:F71)</f>
        <v>9090192</v>
      </c>
      <c r="G72" s="55">
        <f>SUM(G60:G71)</f>
        <v>5951889</v>
      </c>
      <c r="H72" s="55">
        <f>SUM(H60:H71)</f>
        <v>118922</v>
      </c>
      <c r="I72" s="55">
        <f>SUM(I60:I71)</f>
        <v>115080</v>
      </c>
      <c r="J72" s="55">
        <f t="shared" si="3"/>
        <v>15504644</v>
      </c>
      <c r="K72" s="55"/>
      <c r="L72" s="55"/>
      <c r="M72" s="55">
        <f>SUM(M60:M71)</f>
        <v>222107</v>
      </c>
      <c r="N72" s="51"/>
      <c r="O72" s="52"/>
      <c r="P72" s="114" t="s">
        <v>146</v>
      </c>
      <c r="Q72" s="53">
        <f>SUMPRODUCT(E15:E19,E60:E64)+SUMPRODUCT(E24:E26,E69:E71)</f>
        <v>73835.346399999995</v>
      </c>
      <c r="R72" s="47">
        <f>Q72/Q71</f>
        <v>0.47383504829135242</v>
      </c>
      <c r="S72" s="114" t="s">
        <v>177</v>
      </c>
      <c r="T72" s="53">
        <f>SUMPRODUCT(H15:H19,H60:H64)+SUMPRODUCT(H24:H26,H69:H71)</f>
        <v>48031.303799999994</v>
      </c>
      <c r="U72" s="48">
        <f>T72/T71</f>
        <v>0.55280832124853252</v>
      </c>
      <c r="W72" s="55">
        <f t="shared" ref="W72:AD72" si="6">SUM(W60:W71)</f>
        <v>6454473.1572106993</v>
      </c>
      <c r="X72" s="55">
        <f t="shared" si="6"/>
        <v>138669.12109759997</v>
      </c>
      <c r="Y72" s="55">
        <f t="shared" si="6"/>
        <v>6315804.0361131011</v>
      </c>
      <c r="Z72" s="55">
        <f t="shared" si="6"/>
        <v>15274790.8767344</v>
      </c>
      <c r="AA72" s="55">
        <f t="shared" si="6"/>
        <v>217657.1442323433</v>
      </c>
      <c r="AB72" s="55">
        <f t="shared" si="6"/>
        <v>9079368.3848548066</v>
      </c>
      <c r="AC72" s="55">
        <f t="shared" si="6"/>
        <v>5952024.2845390327</v>
      </c>
      <c r="AD72" s="55">
        <f t="shared" si="6"/>
        <v>6689832.9595390325</v>
      </c>
      <c r="AG72" s="55">
        <f>SUM(AG60:AG71)</f>
        <v>118921.22689162529</v>
      </c>
    </row>
    <row r="73" spans="1:33" x14ac:dyDescent="0.2">
      <c r="A73" s="22"/>
      <c r="B73" s="28"/>
      <c r="J73" s="61"/>
      <c r="N73" s="51"/>
      <c r="O73" s="52"/>
      <c r="P73" s="114" t="s">
        <v>145</v>
      </c>
      <c r="Q73" s="53">
        <f>+Q71-Q72</f>
        <v>81989.653600000005</v>
      </c>
      <c r="R73" s="47"/>
      <c r="S73" s="114" t="s">
        <v>178</v>
      </c>
      <c r="T73" s="53">
        <f>+T71-T72</f>
        <v>38854.696200000006</v>
      </c>
      <c r="U73" s="48"/>
    </row>
    <row r="74" spans="1:33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3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72736</v>
      </c>
      <c r="R75" s="44"/>
      <c r="S75" s="116" t="s">
        <v>149</v>
      </c>
      <c r="T75" s="53">
        <f>+SUM(H65:H68)</f>
        <v>32036</v>
      </c>
      <c r="U75" s="45"/>
      <c r="V75" s="55">
        <f t="shared" ref="V75:V86" si="7">W60-W75</f>
        <v>244127.33333329996</v>
      </c>
      <c r="W75" s="55">
        <f t="shared" ref="W75:W86" si="8">SUM(X75:Z75)</f>
        <v>335841</v>
      </c>
      <c r="X75" s="50">
        <f>'BGS PTY18 Cost Alloc'!X75</f>
        <v>9135.5</v>
      </c>
      <c r="Y75" s="50">
        <f>'BGS PTY18 Cost Alloc'!Y75</f>
        <v>324336</v>
      </c>
      <c r="Z75" s="50">
        <f>'BGS PTY18 Cost Alloc'!Z75</f>
        <v>2369.5</v>
      </c>
      <c r="AA75" s="55"/>
      <c r="AB75" s="13">
        <f t="shared" ref="AB75:AB86" si="9">(V75*$AA$94+W75*$AA$95)/1000</f>
        <v>124.59447248931227</v>
      </c>
      <c r="AC75" s="13">
        <f t="shared" ref="AC75:AC86" si="10">(W60/1000)-AB75</f>
        <v>455.3738608439877</v>
      </c>
    </row>
    <row r="76" spans="1:33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37358.7526</v>
      </c>
      <c r="R76" s="47">
        <f>Q76/Q75</f>
        <v>0.51362121370435543</v>
      </c>
      <c r="S76" s="131" t="s">
        <v>177</v>
      </c>
      <c r="T76" s="53">
        <f>+SUMPRODUCT(H20:H23,H65:H68)</f>
        <v>18385.917299999997</v>
      </c>
      <c r="U76" s="48">
        <f>T76/T75</f>
        <v>0.57391426208015972</v>
      </c>
      <c r="V76" s="55">
        <f t="shared" si="7"/>
        <v>241592.02777779993</v>
      </c>
      <c r="W76" s="55">
        <f t="shared" si="8"/>
        <v>330478.83333330002</v>
      </c>
      <c r="X76" s="50">
        <f>'BGS PTY18 Cost Alloc'!X76</f>
        <v>9063.2083332999991</v>
      </c>
      <c r="Y76" s="50">
        <f>'BGS PTY18 Cost Alloc'!Y76</f>
        <v>319107</v>
      </c>
      <c r="Z76" s="50">
        <f>'BGS PTY18 Cost Alloc'!Z76</f>
        <v>2308.625</v>
      </c>
      <c r="AA76" s="55"/>
      <c r="AB76" s="13">
        <f t="shared" si="9"/>
        <v>122.76735459273837</v>
      </c>
      <c r="AC76" s="13">
        <f t="shared" si="10"/>
        <v>449.30350651836159</v>
      </c>
      <c r="AD76" s="13"/>
    </row>
    <row r="77" spans="1:33" x14ac:dyDescent="0.2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35377.2474</v>
      </c>
      <c r="R77" s="58"/>
      <c r="S77" s="132" t="s">
        <v>178</v>
      </c>
      <c r="T77" s="66">
        <f>T75-T76</f>
        <v>13650.082700000003</v>
      </c>
      <c r="U77" s="59"/>
      <c r="V77" s="55">
        <f t="shared" si="7"/>
        <v>239302.03009260003</v>
      </c>
      <c r="W77" s="55">
        <f t="shared" si="8"/>
        <v>325637.40277779999</v>
      </c>
      <c r="X77" s="50">
        <f>'BGS PTY18 Cost Alloc'!X77</f>
        <v>8998.3923610999991</v>
      </c>
      <c r="Y77" s="50">
        <f>'BGS PTY18 Cost Alloc'!Y77</f>
        <v>314385</v>
      </c>
      <c r="Z77" s="50">
        <f>'BGS PTY18 Cost Alloc'!Z77</f>
        <v>2254.0104167</v>
      </c>
      <c r="AA77" s="55"/>
      <c r="AB77" s="13">
        <f t="shared" si="9"/>
        <v>121.11756607132979</v>
      </c>
      <c r="AC77" s="13">
        <f t="shared" si="10"/>
        <v>443.82186679907016</v>
      </c>
      <c r="AD77" s="55">
        <f>SUM(AB65:AB68)</f>
        <v>3679983.0515839988</v>
      </c>
    </row>
    <row r="78" spans="1:33" x14ac:dyDescent="0.2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7"/>
        <v>236772.1159336</v>
      </c>
      <c r="W78" s="55">
        <f t="shared" si="8"/>
        <v>320301.35300929996</v>
      </c>
      <c r="X78" s="50">
        <f>'BGS PTY18 Cost Alloc'!X78</f>
        <v>8940.2583911999991</v>
      </c>
      <c r="Y78" s="50">
        <f>'BGS PTY18 Cost Alloc'!Y78</f>
        <v>309156</v>
      </c>
      <c r="Z78" s="50">
        <f>'BGS PTY18 Cost Alloc'!Z78</f>
        <v>2205.0946180999999</v>
      </c>
      <c r="AA78" s="55"/>
      <c r="AB78" s="13">
        <f t="shared" si="9"/>
        <v>119.29851909329834</v>
      </c>
      <c r="AC78" s="13">
        <f t="shared" si="10"/>
        <v>437.77494984960157</v>
      </c>
    </row>
    <row r="79" spans="1:33" x14ac:dyDescent="0.2">
      <c r="A79" s="22"/>
      <c r="B79" s="28" t="s">
        <v>1</v>
      </c>
      <c r="C79" s="69">
        <v>53.62</v>
      </c>
      <c r="D79" s="162">
        <f>ROUND(C79*$H$308,3)</f>
        <v>61.07</v>
      </c>
      <c r="E79" s="67">
        <v>41.783000000000001</v>
      </c>
      <c r="F79" s="162">
        <f>ROUND(E79*$H$308,3)</f>
        <v>47.588999999999999</v>
      </c>
      <c r="H79" s="33">
        <v>0.89737928961232749</v>
      </c>
      <c r="I79" s="33">
        <v>0.91688492871560512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7"/>
        <v>234324.79226140003</v>
      </c>
      <c r="W79" s="55">
        <f t="shared" si="8"/>
        <v>315150.21576000005</v>
      </c>
      <c r="X79" s="50">
        <f>'BGS PTY18 Cost Alloc'!X79</f>
        <v>8890.7799238000007</v>
      </c>
      <c r="Y79" s="50">
        <f>'BGS PTY18 Cost Alloc'!Y79</f>
        <v>304096</v>
      </c>
      <c r="Z79" s="50">
        <f>'BGS PTY18 Cost Alloc'!Z79</f>
        <v>2163.4358361999998</v>
      </c>
      <c r="AA79" s="55"/>
      <c r="AB79" s="13">
        <f t="shared" si="9"/>
        <v>117.54190363043224</v>
      </c>
      <c r="AC79" s="13">
        <f t="shared" si="10"/>
        <v>431.93310439096786</v>
      </c>
    </row>
    <row r="80" spans="1:33" x14ac:dyDescent="0.2">
      <c r="A80" s="22"/>
      <c r="B80" s="28" t="s">
        <v>2</v>
      </c>
      <c r="C80" s="69">
        <v>50.88</v>
      </c>
      <c r="D80" s="162">
        <f>ROUND(C80*$H$308,3)</f>
        <v>57.95</v>
      </c>
      <c r="E80" s="67">
        <v>39.648000000000003</v>
      </c>
      <c r="F80" s="162">
        <f>ROUND(E80*$H$308,3)</f>
        <v>45.156999999999996</v>
      </c>
      <c r="H80" s="176">
        <f>H79</f>
        <v>0.89737928961232749</v>
      </c>
      <c r="I80" s="176">
        <f>I79</f>
        <v>0.91688492871560512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7"/>
        <v>231800.27494989999</v>
      </c>
      <c r="W80" s="55">
        <f t="shared" si="8"/>
        <v>309846.40040669998</v>
      </c>
      <c r="X80" s="50">
        <f>'BGS PTY18 Cost Alloc'!X80</f>
        <v>8850.1782507999997</v>
      </c>
      <c r="Y80" s="50">
        <f>'BGS PTY18 Cost Alloc'!Y80</f>
        <v>298867</v>
      </c>
      <c r="Z80" s="50">
        <f>'BGS PTY18 Cost Alloc'!Z80</f>
        <v>2129.2221559</v>
      </c>
      <c r="AA80" s="55"/>
      <c r="AB80" s="13">
        <f t="shared" si="9"/>
        <v>115.73266837895437</v>
      </c>
      <c r="AC80" s="13">
        <f t="shared" si="10"/>
        <v>425.91400697764561</v>
      </c>
    </row>
    <row r="81" spans="1:29" x14ac:dyDescent="0.2">
      <c r="A81" s="22"/>
      <c r="B81" s="28" t="s">
        <v>3</v>
      </c>
      <c r="C81" s="69">
        <v>40.380000000000003</v>
      </c>
      <c r="D81" s="162">
        <f>ROUND(C81*$H$308,3)</f>
        <v>45.991</v>
      </c>
      <c r="E81" s="67">
        <v>31.466000000000001</v>
      </c>
      <c r="F81" s="162">
        <f>ROUND(E81*$H$308,3)</f>
        <v>35.838000000000001</v>
      </c>
      <c r="H81" s="176">
        <f>H79</f>
        <v>0.89737928961232749</v>
      </c>
      <c r="I81" s="176">
        <f>I79</f>
        <v>0.91688492871560512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7"/>
        <v>229358.88119570003</v>
      </c>
      <c r="W81" s="55">
        <f t="shared" si="8"/>
        <v>304730.18377390003</v>
      </c>
      <c r="X81" s="50">
        <f>'BGS PTY18 Cost Alloc'!X81</f>
        <v>8819.6931050000003</v>
      </c>
      <c r="Y81" s="50">
        <f>'BGS PTY18 Cost Alloc'!Y81</f>
        <v>293807</v>
      </c>
      <c r="Z81" s="50">
        <f>'BGS PTY18 Cost Alloc'!Z81</f>
        <v>2103.4906688999999</v>
      </c>
      <c r="AA81" s="55"/>
      <c r="AB81" s="13">
        <f t="shared" si="9"/>
        <v>113.98669220715081</v>
      </c>
      <c r="AC81" s="13">
        <f t="shared" si="10"/>
        <v>420.10237276244925</v>
      </c>
    </row>
    <row r="82" spans="1:29" x14ac:dyDescent="0.2">
      <c r="A82" s="22"/>
      <c r="B82" s="28" t="s">
        <v>4</v>
      </c>
      <c r="C82" s="69">
        <v>35.29</v>
      </c>
      <c r="D82" s="162">
        <f>ROUND(C82*$H$308,3)</f>
        <v>40.192999999999998</v>
      </c>
      <c r="E82" s="67">
        <v>27.498999999999999</v>
      </c>
      <c r="F82" s="162">
        <f>ROUND(E82*$H$308,3)</f>
        <v>31.32</v>
      </c>
      <c r="H82" s="176">
        <f>H79</f>
        <v>0.89737928961232749</v>
      </c>
      <c r="I82" s="176">
        <f>I79</f>
        <v>0.91688492871560512</v>
      </c>
      <c r="L82" s="139"/>
      <c r="N82" s="51"/>
      <c r="O82" s="52"/>
      <c r="P82" s="114" t="s">
        <v>147</v>
      </c>
      <c r="Q82" s="53">
        <f>Q72-Q61</f>
        <v>20454.599199999997</v>
      </c>
      <c r="R82" s="47"/>
      <c r="S82" s="114" t="s">
        <v>147</v>
      </c>
      <c r="T82" s="53">
        <f>T72-T61</f>
        <v>9924.171399999992</v>
      </c>
      <c r="U82" s="48"/>
      <c r="V82" s="55">
        <f t="shared" si="7"/>
        <v>226839.70462870004</v>
      </c>
      <c r="W82" s="55">
        <f t="shared" si="8"/>
        <v>299464.28242169996</v>
      </c>
      <c r="X82" s="50">
        <f>'BGS PTY18 Cost Alloc'!X82</f>
        <v>8799.6675304</v>
      </c>
      <c r="Y82" s="50">
        <f>'BGS PTY18 Cost Alloc'!Y82</f>
        <v>288578</v>
      </c>
      <c r="Z82" s="50">
        <f>'BGS PTY18 Cost Alloc'!Z82</f>
        <v>2086.6148913000002</v>
      </c>
      <c r="AA82" s="55"/>
      <c r="AB82" s="13">
        <f t="shared" si="9"/>
        <v>112.18887759063328</v>
      </c>
      <c r="AC82" s="13">
        <f t="shared" si="10"/>
        <v>414.1151094597667</v>
      </c>
    </row>
    <row r="83" spans="1:29" x14ac:dyDescent="0.2">
      <c r="A83" s="22"/>
      <c r="B83" s="28" t="s">
        <v>5</v>
      </c>
      <c r="C83" s="69">
        <v>35.19</v>
      </c>
      <c r="D83" s="162">
        <f>ROUND(C83*$H$308,3)</f>
        <v>40.08</v>
      </c>
      <c r="E83" s="67">
        <v>27.420999999999999</v>
      </c>
      <c r="F83" s="162">
        <f>ROUND(E83*$H$308,3)</f>
        <v>31.231000000000002</v>
      </c>
      <c r="H83" s="176">
        <f>H79</f>
        <v>0.89737928961232749</v>
      </c>
      <c r="I83" s="176">
        <f>I79</f>
        <v>0.91688492871560512</v>
      </c>
      <c r="L83" s="139"/>
      <c r="N83" s="51"/>
      <c r="O83" s="52"/>
      <c r="P83" s="114" t="s">
        <v>150</v>
      </c>
      <c r="Q83" s="140">
        <f>Q82*(E117-E118)</f>
        <v>196727.23710935219</v>
      </c>
      <c r="R83" s="47"/>
      <c r="S83" s="114" t="s">
        <v>150</v>
      </c>
      <c r="T83" s="140">
        <f>T82*(H117-H118)</f>
        <v>94125.010063770955</v>
      </c>
      <c r="U83" s="48"/>
      <c r="V83" s="55">
        <f t="shared" si="7"/>
        <v>224324.18001439999</v>
      </c>
      <c r="W83" s="55">
        <f t="shared" si="8"/>
        <v>294220.13929029997</v>
      </c>
      <c r="X83" s="50">
        <f>'BGS PTY18 Cost Alloc'!X83</f>
        <v>8791.4731580000007</v>
      </c>
      <c r="Y83" s="50">
        <f>'BGS PTY18 Cost Alloc'!Y83</f>
        <v>283349</v>
      </c>
      <c r="Z83" s="50">
        <f>'BGS PTY18 Cost Alloc'!Z83</f>
        <v>2079.6661322999998</v>
      </c>
      <c r="AA83" s="55"/>
      <c r="AB83" s="13">
        <f t="shared" si="9"/>
        <v>110.39768696787677</v>
      </c>
      <c r="AC83" s="13">
        <f t="shared" si="10"/>
        <v>408.14663233682313</v>
      </c>
    </row>
    <row r="84" spans="1:29" x14ac:dyDescent="0.2">
      <c r="A84" s="22"/>
      <c r="B84" s="185" t="s">
        <v>6</v>
      </c>
      <c r="C84" s="378">
        <v>35.76</v>
      </c>
      <c r="D84" s="223">
        <f>ROUND(C84*$H$307,3)</f>
        <v>49.58</v>
      </c>
      <c r="E84" s="222">
        <v>23.273</v>
      </c>
      <c r="F84" s="224">
        <f>ROUND(E84*$H$307,3)</f>
        <v>32.267000000000003</v>
      </c>
      <c r="H84" s="128">
        <v>0.93682383966970639</v>
      </c>
      <c r="I84" s="129">
        <v>0.88157773942706075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7"/>
        <v>221894.52834899997</v>
      </c>
      <c r="W84" s="55">
        <f t="shared" si="8"/>
        <v>289168.48423110001</v>
      </c>
      <c r="X84" s="50">
        <f>'BGS PTY18 Cost Alloc'!X84</f>
        <v>8796.0125877999999</v>
      </c>
      <c r="Y84" s="50">
        <f>'BGS PTY18 Cost Alloc'!Y84</f>
        <v>278289</v>
      </c>
      <c r="Z84" s="50">
        <f>'BGS PTY18 Cost Alloc'!Z84</f>
        <v>2083.4716432999999</v>
      </c>
      <c r="AA84" s="55"/>
      <c r="AB84" s="13">
        <f t="shared" si="9"/>
        <v>108.671473534483</v>
      </c>
      <c r="AC84" s="13">
        <f t="shared" si="10"/>
        <v>402.39153904561704</v>
      </c>
    </row>
    <row r="85" spans="1:29" x14ac:dyDescent="0.2">
      <c r="A85" s="22"/>
      <c r="B85" s="189" t="s">
        <v>7</v>
      </c>
      <c r="C85" s="379">
        <v>40.450000000000003</v>
      </c>
      <c r="D85" s="226">
        <f>ROUND(C85*$H$307,3)</f>
        <v>56.082999999999998</v>
      </c>
      <c r="E85" s="225">
        <v>26.326000000000001</v>
      </c>
      <c r="F85" s="227">
        <f>ROUND(E85*$H$307,3)</f>
        <v>36.5</v>
      </c>
      <c r="H85" s="174">
        <f>H84</f>
        <v>0.93682383966970639</v>
      </c>
      <c r="I85" s="267">
        <f>I84</f>
        <v>0.88157773942706075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7"/>
        <v>219387.07237800001</v>
      </c>
      <c r="W85" s="55">
        <f t="shared" si="8"/>
        <v>283972.5245837</v>
      </c>
      <c r="X85" s="50">
        <f>'BGS PTY18 Cost Alloc'!X85</f>
        <v>8813.9303034999994</v>
      </c>
      <c r="Y85" s="50">
        <f>'BGS PTY18 Cost Alloc'!Y85</f>
        <v>273060</v>
      </c>
      <c r="Z85" s="50">
        <f>'BGS PTY18 Cost Alloc'!Z85</f>
        <v>2098.5942802</v>
      </c>
      <c r="AA85" s="55"/>
      <c r="AB85" s="13">
        <f t="shared" si="9"/>
        <v>106.89494950361888</v>
      </c>
      <c r="AC85" s="13">
        <f t="shared" si="10"/>
        <v>396.46464745808112</v>
      </c>
    </row>
    <row r="86" spans="1:29" x14ac:dyDescent="0.2">
      <c r="A86" s="22"/>
      <c r="B86" s="189" t="s">
        <v>8</v>
      </c>
      <c r="C86" s="379">
        <v>37.700000000000003</v>
      </c>
      <c r="D86" s="226">
        <f>ROUND(C86*$H$307,3)</f>
        <v>52.27</v>
      </c>
      <c r="E86" s="225">
        <v>24.536000000000001</v>
      </c>
      <c r="F86" s="227">
        <f>ROUND(E86*$H$307,3)</f>
        <v>34.018000000000001</v>
      </c>
      <c r="H86" s="174">
        <f>H84</f>
        <v>0.93682383966970639</v>
      </c>
      <c r="I86" s="267">
        <f>I84</f>
        <v>0.88157773942706075</v>
      </c>
      <c r="L86" s="139"/>
      <c r="N86" s="51"/>
      <c r="O86" s="52"/>
      <c r="P86" s="114" t="s">
        <v>147</v>
      </c>
      <c r="Q86" s="53">
        <f>Q76-Q65</f>
        <v>8588.6826999999976</v>
      </c>
      <c r="R86" s="47"/>
      <c r="S86" s="114" t="s">
        <v>147</v>
      </c>
      <c r="T86" s="53">
        <f>T76-T65</f>
        <v>3499.0487999999987</v>
      </c>
      <c r="U86" s="48"/>
      <c r="V86" s="55">
        <f t="shared" si="7"/>
        <v>216966.24507619999</v>
      </c>
      <c r="W86" s="55">
        <f t="shared" si="8"/>
        <v>278973.15163230005</v>
      </c>
      <c r="X86" s="50">
        <f>'BGS PTY18 Cost Alloc'!X86</f>
        <v>8846.8411620999996</v>
      </c>
      <c r="Y86" s="50">
        <f>'BGS PTY18 Cost Alloc'!Y86</f>
        <v>268000</v>
      </c>
      <c r="Z86" s="50">
        <f>'BGS PTY18 Cost Alloc'!Z86</f>
        <v>2126.3104702000001</v>
      </c>
      <c r="AA86" s="55"/>
      <c r="AB86" s="13">
        <f t="shared" si="9"/>
        <v>105.18465850337839</v>
      </c>
      <c r="AC86" s="13">
        <f t="shared" si="10"/>
        <v>390.75473820512167</v>
      </c>
    </row>
    <row r="87" spans="1:29" x14ac:dyDescent="0.2">
      <c r="A87" s="22"/>
      <c r="B87" s="192" t="s">
        <v>9</v>
      </c>
      <c r="C87" s="380">
        <v>36.58</v>
      </c>
      <c r="D87" s="229">
        <f>ROUND(C87*$H$307,3)</f>
        <v>50.716999999999999</v>
      </c>
      <c r="E87" s="228">
        <v>23.806999999999999</v>
      </c>
      <c r="F87" s="230">
        <f>ROUND(E87*$H$307,3)</f>
        <v>33.008000000000003</v>
      </c>
      <c r="H87" s="175">
        <f>H84</f>
        <v>0.93682383966970639</v>
      </c>
      <c r="I87" s="268">
        <f>I84</f>
        <v>0.88157773942706075</v>
      </c>
      <c r="L87" s="139"/>
      <c r="N87" s="64"/>
      <c r="O87" s="65"/>
      <c r="P87" s="117" t="s">
        <v>150</v>
      </c>
      <c r="Q87" s="141">
        <f>Q86*(E113-E114)</f>
        <v>182188.90521100408</v>
      </c>
      <c r="R87" s="58"/>
      <c r="S87" s="117" t="s">
        <v>150</v>
      </c>
      <c r="T87" s="141">
        <f>T86*(H113-H114)</f>
        <v>73549.100979590294</v>
      </c>
      <c r="U87" s="59"/>
      <c r="AA87" s="55"/>
    </row>
    <row r="88" spans="1:29" x14ac:dyDescent="0.2">
      <c r="A88" s="22"/>
      <c r="B88" s="28" t="s">
        <v>10</v>
      </c>
      <c r="C88" s="69">
        <v>34.380000000000003</v>
      </c>
      <c r="D88" s="162">
        <f>ROUND(C88*$H$308,3)</f>
        <v>39.156999999999996</v>
      </c>
      <c r="E88" s="67">
        <v>26.79</v>
      </c>
      <c r="F88" s="162">
        <f>ROUND(E88*$H$308,3)</f>
        <v>30.512</v>
      </c>
      <c r="H88" s="176">
        <f>H79</f>
        <v>0.89737928961232749</v>
      </c>
      <c r="I88" s="176">
        <f>I79</f>
        <v>0.91688492871560512</v>
      </c>
      <c r="L88" s="139"/>
    </row>
    <row r="89" spans="1:29" x14ac:dyDescent="0.2">
      <c r="A89" s="22"/>
      <c r="B89" s="28" t="s">
        <v>11</v>
      </c>
      <c r="C89" s="69">
        <v>34.450000000000003</v>
      </c>
      <c r="D89" s="162">
        <f>ROUND(C89*$H$308,3)</f>
        <v>39.237000000000002</v>
      </c>
      <c r="E89" s="67">
        <v>26.844999999999999</v>
      </c>
      <c r="F89" s="162">
        <f>ROUND(E89*$H$308,3)</f>
        <v>30.574999999999999</v>
      </c>
      <c r="H89" s="176">
        <f>H79</f>
        <v>0.89737928961232749</v>
      </c>
      <c r="I89" s="176">
        <f>I79</f>
        <v>0.91688492871560512</v>
      </c>
      <c r="L89" s="139"/>
    </row>
    <row r="90" spans="1:29" x14ac:dyDescent="0.2">
      <c r="A90" s="22"/>
      <c r="B90" s="28" t="s">
        <v>12</v>
      </c>
      <c r="C90" s="69">
        <v>38</v>
      </c>
      <c r="D90" s="162">
        <f>ROUND(C90*$H$308,3)</f>
        <v>43.28</v>
      </c>
      <c r="E90" s="67">
        <v>29.611000000000001</v>
      </c>
      <c r="F90" s="162">
        <f>ROUND(E90*$H$308,3)</f>
        <v>33.725000000000001</v>
      </c>
      <c r="G90" s="70"/>
      <c r="H90" s="176">
        <f>H79</f>
        <v>0.89737928961232749</v>
      </c>
      <c r="I90" s="176">
        <f>I79</f>
        <v>0.91688492871560512</v>
      </c>
      <c r="L90" s="139"/>
    </row>
    <row r="91" spans="1:29" x14ac:dyDescent="0.2">
      <c r="A91" s="22"/>
      <c r="B91" s="28"/>
      <c r="C91" s="69"/>
      <c r="D91" s="69"/>
      <c r="G91" s="70"/>
      <c r="K91" s="70"/>
      <c r="X91" s="13" t="s">
        <v>210</v>
      </c>
    </row>
    <row r="92" spans="1:29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x14ac:dyDescent="0.2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x14ac:dyDescent="0.2">
      <c r="A94" s="22"/>
      <c r="B94" s="28" t="s">
        <v>23</v>
      </c>
      <c r="C94" s="72"/>
      <c r="D94" s="72"/>
      <c r="E94" s="154">
        <f>'BGS PTY18 Cost Alloc'!E94</f>
        <v>0.105545</v>
      </c>
      <c r="F94" s="154">
        <f>'BGS PTY18 Cost Alloc'!F94</f>
        <v>0.105545</v>
      </c>
      <c r="G94" s="154">
        <f>'BGS PTY18 Cost Alloc'!G94</f>
        <v>0.105545</v>
      </c>
      <c r="H94" s="154">
        <f>'BGS PTY18 Cost Alloc'!H94</f>
        <v>0.105545</v>
      </c>
      <c r="I94" s="154">
        <f>'BGS PTY18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x14ac:dyDescent="0.2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x14ac:dyDescent="0.2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x14ac:dyDescent="0.2">
      <c r="A97" s="22"/>
      <c r="B97" s="236" t="s">
        <v>267</v>
      </c>
      <c r="C97" s="241"/>
      <c r="D97" s="241"/>
      <c r="E97" s="245">
        <f>ROUND(1-1/E98,6)</f>
        <v>9.8737000000000005E-2</v>
      </c>
      <c r="F97" s="245">
        <f t="shared" ref="F97:I97" si="11">ROUND(1-1/F98,6)</f>
        <v>9.8737000000000005E-2</v>
      </c>
      <c r="G97" s="245">
        <f t="shared" si="11"/>
        <v>9.8737000000000005E-2</v>
      </c>
      <c r="H97" s="245">
        <f t="shared" si="11"/>
        <v>9.8737000000000005E-2</v>
      </c>
      <c r="I97" s="245">
        <f t="shared" si="11"/>
        <v>9.8737000000000005E-2</v>
      </c>
      <c r="J97" s="73"/>
      <c r="K97" s="73"/>
      <c r="L97" s="73"/>
      <c r="M97" s="73"/>
    </row>
    <row r="98" spans="1:13" x14ac:dyDescent="0.2">
      <c r="A98" s="22"/>
      <c r="B98" s="236" t="s">
        <v>266</v>
      </c>
      <c r="C98" s="241"/>
      <c r="D98" s="241"/>
      <c r="E98" s="412">
        <v>1.1095543166709658</v>
      </c>
      <c r="F98" s="412">
        <v>1.1095543166709658</v>
      </c>
      <c r="G98" s="412">
        <v>1.1095543166709658</v>
      </c>
      <c r="H98" s="412">
        <v>1.1095543166709658</v>
      </c>
      <c r="I98" s="412">
        <v>1.1095543166709658</v>
      </c>
      <c r="J98" s="73"/>
      <c r="K98" s="73"/>
      <c r="L98" s="73"/>
    </row>
    <row r="99" spans="1:13" x14ac:dyDescent="0.2">
      <c r="A99" s="22"/>
      <c r="C99" s="73"/>
      <c r="D99" s="73"/>
      <c r="E99" s="73" t="s">
        <v>255</v>
      </c>
      <c r="F99" s="73"/>
      <c r="G99" s="73"/>
      <c r="H99" s="73"/>
      <c r="I99" s="73"/>
      <c r="J99" s="73"/>
      <c r="K99" s="73"/>
      <c r="L99" s="73"/>
    </row>
    <row r="100" spans="1:13" x14ac:dyDescent="0.2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13" x14ac:dyDescent="0.2">
      <c r="A101" s="22"/>
      <c r="B101" s="36" t="s">
        <v>288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1:13" x14ac:dyDescent="0.2">
      <c r="A102" s="22"/>
      <c r="B102" s="36" t="str">
        <f>'BGS PTY18 Cost Alloc'!$B$102</f>
        <v xml:space="preserve"> </v>
      </c>
    </row>
    <row r="103" spans="1:13" ht="15.75" x14ac:dyDescent="0.25">
      <c r="A103" s="22"/>
      <c r="B103" s="414" t="str">
        <f>$B$1</f>
        <v xml:space="preserve">Jersey Central Power &amp; Light </v>
      </c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</row>
    <row r="104" spans="1:13" ht="15.75" x14ac:dyDescent="0.25">
      <c r="A104" s="22"/>
      <c r="B104" s="414" t="str">
        <f>$B$2</f>
        <v>Attachment 2</v>
      </c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</row>
    <row r="105" spans="1:13" x14ac:dyDescent="0.2">
      <c r="A105" s="22"/>
    </row>
    <row r="106" spans="1:13" x14ac:dyDescent="0.2">
      <c r="A106" s="22"/>
    </row>
    <row r="107" spans="1:13" x14ac:dyDescent="0.2">
      <c r="A107" s="18" t="s">
        <v>34</v>
      </c>
      <c r="B107" s="16" t="s">
        <v>51</v>
      </c>
    </row>
    <row r="108" spans="1:13" x14ac:dyDescent="0.2">
      <c r="A108" s="22"/>
      <c r="B108" s="17" t="s">
        <v>171</v>
      </c>
    </row>
    <row r="109" spans="1:13" x14ac:dyDescent="0.2">
      <c r="A109" s="22"/>
      <c r="B109" s="17" t="s">
        <v>21</v>
      </c>
    </row>
    <row r="110" spans="1:13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</row>
    <row r="111" spans="1:13" x14ac:dyDescent="0.2">
      <c r="A111" s="22"/>
    </row>
    <row r="112" spans="1:13" x14ac:dyDescent="0.2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44.452218955831981</v>
      </c>
      <c r="F112" s="75">
        <f>(SUMPRODUCT(F20:F23,F65:F68,$D84:$D87,$H84:$H87)*F95+SUMPRODUCT(R20:R23,F65:F68,$F84:$F87,$I84:$I87)*F95)/SUM(F65:F68)</f>
        <v>44.55146291615123</v>
      </c>
      <c r="G112" s="75">
        <f>(SUMPRODUCT(G20:G23,G65:G68,$D84:$D87,$H84:$H87)*G95+SUMPRODUCT(S20:S23,G65:G68,$F84:$F87,$I84:$I87)*G95)/SUM(G65:G68)</f>
        <v>45.846694258382037</v>
      </c>
      <c r="H112" s="75">
        <f>(SUMPRODUCT(H20:H23,H65:H68,$D84:$D87,$H84:$H87)*H95+SUMPRODUCT(T20:T23,H65:H68,$F84:$F87,$I84:$I87)*H95)/SUM(H65:H68)</f>
        <v>45.490410402177886</v>
      </c>
      <c r="I112" s="75">
        <f>(SUMPRODUCT(I20:I23,I65:I68,$D84:$D87,$H84:$H87)*I95+SUMPRODUCT(U20:U23,I65:I68,$F84:$F87,$I84:$I87)*I95)/SUM(I65:I68)</f>
        <v>39.244183612609504</v>
      </c>
      <c r="J112" s="76"/>
      <c r="K112" s="74"/>
      <c r="L112" s="74"/>
    </row>
    <row r="113" spans="1:12" x14ac:dyDescent="0.2">
      <c r="A113" s="22"/>
      <c r="B113" s="77" t="s">
        <v>41</v>
      </c>
      <c r="C113" s="74"/>
      <c r="D113" s="74"/>
      <c r="E113" s="75">
        <f>(SUMPRODUCT(E20:E23,E65:E68,$D84:$D87,$H84:$H87)*E95)/SUMPRODUCT(E20:E23,E65:E68)</f>
        <v>54.769612401169113</v>
      </c>
      <c r="F113" s="75">
        <f>(SUMPRODUCT(F20:F23,F65:F68,$D84:$D87,$H84:$H87)*F95)/SUMPRODUCT(F20:F23,F65:F68)</f>
        <v>54.833355387569682</v>
      </c>
      <c r="G113" s="75">
        <f>(SUMPRODUCT(G20:G23,G65:G68,$D84:$D87,$H84:$H87)*G95)/SUMPRODUCT(G20:G23,G65:G68)</f>
        <v>54.648711305519221</v>
      </c>
      <c r="H113" s="75">
        <f>(SUMPRODUCT(H20:H23,H65:H68,$D84:$D87,$H84:$H87)*H95)/SUMPRODUCT(H20:H23,H65:H68)</f>
        <v>54.446622434496383</v>
      </c>
      <c r="I113" s="75">
        <f>(SUMPRODUCT(I20:I23,I65:I68,$D84:$D87,$H84:$H87)*I95)/SUMPRODUCT(I20:I23,I65:I68)</f>
        <v>54.528395342853663</v>
      </c>
      <c r="J113" s="76"/>
      <c r="K113" s="74"/>
      <c r="L113" s="74"/>
    </row>
    <row r="114" spans="1:12" x14ac:dyDescent="0.2">
      <c r="A114" s="22"/>
      <c r="B114" s="77" t="s">
        <v>42</v>
      </c>
      <c r="C114" s="74"/>
      <c r="D114" s="74"/>
      <c r="E114" s="75">
        <f>(SUMPRODUCT(Q20:Q23,E65:E68,$F84:$F87,$I84:$I87)*E95)/SUMPRODUCT(Q20:Q23,E65:E68)</f>
        <v>33.556940845494559</v>
      </c>
      <c r="F114" s="75">
        <f>(SUMPRODUCT(R20:R23,F65:F68,$F84:$F87,$I84:$I87)*F95)/SUMPRODUCT(R20:R23,F65:F68)</f>
        <v>33.605472315330033</v>
      </c>
      <c r="G114" s="75">
        <f>(SUMPRODUCT(S20:S23,G65:G68,$F84:$F87,$I84:$I87)*G95)/SUMPRODUCT(S20:S23,G65:G68)</f>
        <v>33.546252684089438</v>
      </c>
      <c r="H114" s="75">
        <f>(SUMPRODUCT(T20:T23,H65:H68,$F84:$F87,$I84:$I87)*H95)/SUMPRODUCT(T20:T23,H65:H68)</f>
        <v>33.426881018031906</v>
      </c>
      <c r="I114" s="75">
        <f>(SUMPRODUCT(U20:U23,I65:I68,$F84:$F87,$I84:$I87)*I95)/SUMPRODUCT(U20:U23,I65:I68)</f>
        <v>33.483733568396111</v>
      </c>
      <c r="J114" s="76"/>
      <c r="K114" s="74"/>
      <c r="L114" s="74"/>
    </row>
    <row r="115" spans="1:12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</row>
    <row r="116" spans="1:12" x14ac:dyDescent="0.2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42.425981924305596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41.914290049351628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42.456310053731485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42.98442954793844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39.513556095854561</v>
      </c>
      <c r="J116" s="76"/>
      <c r="K116" s="74"/>
      <c r="L116" s="74"/>
    </row>
    <row r="117" spans="1:12" x14ac:dyDescent="0.2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47.486505291266404</v>
      </c>
      <c r="F117" s="75">
        <f>(SUMPRODUCT(F15:F19,F60:F64,$D79:$D83,$H79:$H83)*F95+SUMPRODUCT(F24:F26,F69:F71,$D88:$D90,$H88:$H90)*F95)/(SUMPRODUCT(F15:F19,F60:F64)+SUMPRODUCT(F24:F26,F69:F71))</f>
        <v>46.658493269588142</v>
      </c>
      <c r="G117" s="75">
        <f>(SUMPRODUCT(G15:G19,G60:G64,$D79:$D83,$H79:$H83)*G95+SUMPRODUCT(G24:G26,G69:G71,$D88:$D90,$H88:$H90)*G95)/(SUMPRODUCT(G15:G19,G60:G64)+SUMPRODUCT(G24:G26,G69:G71))</f>
        <v>46.341904918384749</v>
      </c>
      <c r="H117" s="75">
        <f>(SUMPRODUCT(H15:H19,H60:H64,$D79:$D83,$H79:$H83)*H95+SUMPRODUCT(H24:H26,H69:H71,$D88:$D90,$H88:$H90)*H95)/(SUMPRODUCT(H15:H19,H60:H64)+SUMPRODUCT(H24:H26,H69:H71))</f>
        <v>47.225783265682225</v>
      </c>
      <c r="I117" s="75">
        <f>(SUMPRODUCT(I15:I19,I60:I64,$D79:$D83,$H79:$H83)*I95+SUMPRODUCT(I24:I26,I69:I71,$D88:$D90,$H88:$H90)*I95)/(SUMPRODUCT(I15:I19,I60:I64)+SUMPRODUCT(I24:I26,I69:I71))</f>
        <v>46.148679097500235</v>
      </c>
      <c r="J117" s="76"/>
      <c r="K117" s="74"/>
      <c r="L117" s="74"/>
    </row>
    <row r="118" spans="1:12" x14ac:dyDescent="0.2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37.86875452598364</v>
      </c>
      <c r="F118" s="75">
        <f>(SUMPRODUCT(R15:R19,F60:F64,$F79:$F83,$I79:$I83)*F95+SUMPRODUCT(R24:R26,F69:F71,$F88:$F90,$I88:$I90)*F95)/(SUMPRODUCT(R15:R19,F60:F64)+SUMPRODUCT(R24:R26,F69:F71))</f>
        <v>37.193328079924065</v>
      </c>
      <c r="G118" s="75">
        <f>(SUMPRODUCT(S15:S19,G60:G64,$F79:$F83,$I79:$I83)*G95+SUMPRODUCT(S24:S26,G69:G71,$F88:$F90,$I88:$I90)*G95)/(SUMPRODUCT(S15:S19,G60:G64)+SUMPRODUCT(S24:S26,G69:G71))</f>
        <v>37.139519293503689</v>
      </c>
      <c r="H118" s="75">
        <f>(SUMPRODUCT(T15:T19,H60:H64,$F79:$F83,$I79:$I83)*H95+SUMPRODUCT(T24:T26,H69:H71,$F88:$F90,$I88:$I90)*H95)/(SUMPRODUCT(T15:T19,H60:H64)+SUMPRODUCT(T24:T26,H69:H71))</f>
        <v>37.741363229993297</v>
      </c>
      <c r="I118" s="75">
        <f>(SUMPRODUCT(U15:U19,I60:I64,$F79:$F83,$I79:$I83)*I95+SUMPRODUCT(U24:U26,I69:I71,$F88:$F90,$I88:$I90)*I95)/(SUMPRODUCT(U15:U19,I60:I64)+SUMPRODUCT(U24:U26,I69:I71))</f>
        <v>36.594522358027007</v>
      </c>
      <c r="J118" s="76"/>
      <c r="K118" s="74"/>
      <c r="L118" s="74"/>
    </row>
    <row r="119" spans="1:12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</row>
    <row r="120" spans="1:12" x14ac:dyDescent="0.2">
      <c r="A120" s="22"/>
      <c r="B120" s="13" t="s">
        <v>16</v>
      </c>
      <c r="C120" s="74"/>
      <c r="D120" s="78"/>
      <c r="E120" s="79">
        <f>(E112*SUM(E65:E68)+E116*SUM(E60:E64,E69:E71))/E72</f>
        <v>43.070800492325084</v>
      </c>
      <c r="F120" s="79">
        <f>(F112*SUM(F65:F68)+F116*SUM(F60:F64,F69:F71))/F72</f>
        <v>42.981896617035886</v>
      </c>
      <c r="G120" s="79">
        <f>(G112*SUM(G65:G68)+G116*SUM(G60:G64,G69:G71))/G72</f>
        <v>43.659676229644255</v>
      </c>
      <c r="H120" s="79">
        <f>(H112*SUM(H65:H68)+H116*SUM(H60:H64,H69:H71))/H72</f>
        <v>43.659507352267454</v>
      </c>
      <c r="I120" s="79">
        <f>(I112*SUM(I65:I68)+I116*SUM(I60:I64,I69:I71))/I72</f>
        <v>39.423765268106209</v>
      </c>
      <c r="J120" s="76"/>
      <c r="K120" s="78"/>
      <c r="L120" s="78"/>
    </row>
    <row r="121" spans="1:12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x14ac:dyDescent="0.2">
      <c r="A122" s="22"/>
      <c r="B122" s="13" t="s">
        <v>44</v>
      </c>
      <c r="C122" s="80">
        <f>SUMPRODUCT(C120:I120,C72:I72)/SUM(C72:I72)</f>
        <v>43.222179595965841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2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1:12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1:12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1:12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</row>
    <row r="129" spans="1:12" x14ac:dyDescent="0.2">
      <c r="A129" s="22"/>
      <c r="C129" s="81"/>
    </row>
    <row r="130" spans="1:12" x14ac:dyDescent="0.2">
      <c r="A130" s="22"/>
      <c r="B130" s="28" t="s">
        <v>17</v>
      </c>
      <c r="C130" s="76"/>
      <c r="D130" s="76"/>
      <c r="E130" s="76">
        <f>SUM(E65:E68)*E112/1000</f>
        <v>3233.2765979713949</v>
      </c>
      <c r="F130" s="76">
        <f>SUM(F65:F68)*F112/1000</f>
        <v>163948.58160510403</v>
      </c>
      <c r="G130" s="76">
        <f>SUM(G65:G68)*G112/1000</f>
        <v>96852.700408436838</v>
      </c>
      <c r="H130" s="76">
        <f>SUM(H65:H68)*H112/1000</f>
        <v>1457.3307876441706</v>
      </c>
      <c r="I130" s="76">
        <f>SUM(I65:I68)*I112/1000</f>
        <v>1505.4068833797005</v>
      </c>
      <c r="J130" s="76">
        <f>SUM(E130:I130)</f>
        <v>266997.29628253612</v>
      </c>
      <c r="K130" s="76"/>
      <c r="L130" s="76"/>
    </row>
    <row r="131" spans="1:12" x14ac:dyDescent="0.2">
      <c r="A131" s="22"/>
      <c r="B131" s="77" t="s">
        <v>41</v>
      </c>
      <c r="C131" s="76"/>
      <c r="D131" s="76"/>
      <c r="E131" s="76">
        <f>SUMPRODUCT(E65:E68,E20:E23)*E113/1000</f>
        <v>2046.1243996931687</v>
      </c>
      <c r="F131" s="76">
        <f>SUMPRODUCT(F65:F68,F20:F23)*F113/1000</f>
        <v>104049.23721611479</v>
      </c>
      <c r="G131" s="76">
        <f>SUMPRODUCT(G65:G68,G20:G23)*G113/1000</f>
        <v>67293.214998950149</v>
      </c>
      <c r="H131" s="76">
        <f>SUMPRODUCT(H65:H68,H20:H23)*H113/1000</f>
        <v>1001.051097344975</v>
      </c>
      <c r="I131" s="76">
        <f>SUMPRODUCT(I65:I68,I20:I23)*I113/1000</f>
        <v>572.55311318393967</v>
      </c>
      <c r="J131" s="76">
        <f>SUM(E131:I131)</f>
        <v>174962.18082528704</v>
      </c>
      <c r="K131" s="76"/>
      <c r="L131" s="76"/>
    </row>
    <row r="132" spans="1:12" x14ac:dyDescent="0.2">
      <c r="A132" s="22"/>
      <c r="B132" s="77" t="s">
        <v>42</v>
      </c>
      <c r="C132" s="76"/>
      <c r="D132" s="76"/>
      <c r="E132" s="76">
        <f>SUMPRODUCT(E65:E68,Q20:Q23)*E114/1000</f>
        <v>1187.1521982782263</v>
      </c>
      <c r="F132" s="76">
        <f>SUMPRODUCT(F65:F68,R20:R23)*F114/1000</f>
        <v>59899.344388989237</v>
      </c>
      <c r="G132" s="76">
        <f>SUMPRODUCT(G65:G68,S20:S23)*G114/1000</f>
        <v>29559.485409486675</v>
      </c>
      <c r="H132" s="76">
        <f>SUMPRODUCT(H65:H68,T20:T23)*H114/1000</f>
        <v>456.27969029919581</v>
      </c>
      <c r="I132" s="76">
        <f>SUMPRODUCT(I65:I68,U20:U23)*I114/1000</f>
        <v>932.85377019576083</v>
      </c>
      <c r="J132" s="76">
        <f>SUM(E132:I132)</f>
        <v>92035.115457249092</v>
      </c>
      <c r="K132" s="76"/>
      <c r="L132" s="76"/>
    </row>
    <row r="133" spans="1:12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</row>
    <row r="134" spans="1:12" x14ac:dyDescent="0.2">
      <c r="A134" s="22"/>
      <c r="B134" s="28" t="s">
        <v>18</v>
      </c>
      <c r="C134" s="82"/>
      <c r="D134" s="82"/>
      <c r="E134" s="82">
        <f>SUM(E60:E64,E69:E71)*E116/1000</f>
        <v>6611.0286333549193</v>
      </c>
      <c r="F134" s="82">
        <f>SUM(F60:F64,F69:F71)*F116/1000</f>
        <v>226765.11116790268</v>
      </c>
      <c r="G134" s="82">
        <f>SUM(G60:G64,G69:G71)*G116/1000</f>
        <v>163004.84628634425</v>
      </c>
      <c r="H134" s="82">
        <f>SUM(H60:H64,H69:H71)*H116/1000</f>
        <v>3734.7451457021793</v>
      </c>
      <c r="I134" s="82">
        <f>SUM(I60:I64,I69:I71)*I116/1000</f>
        <v>3031.480023673962</v>
      </c>
      <c r="J134" s="76">
        <f>SUM(E134:I134)</f>
        <v>403147.21125697799</v>
      </c>
      <c r="K134" s="82"/>
      <c r="L134" s="82"/>
    </row>
    <row r="135" spans="1:12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3506.1825675060873</v>
      </c>
      <c r="F135" s="76">
        <f>(SUMPRODUCT(F60:F64,F15:F19)+SUMPRODUCT(F69:F71,F24:F26))*F117/1000</f>
        <v>125906.20590980214</v>
      </c>
      <c r="G135" s="76">
        <f>(SUMPRODUCT(G60:G64,G15:G19)+SUMPRODUCT(G69:G71,G24:G26))*G117/1000</f>
        <v>102797.20177997087</v>
      </c>
      <c r="H135" s="76">
        <f>(SUMPRODUCT(H60:H64,H15:H19)+SUMPRODUCT(H69:H71,H24:H26))*H117/1000</f>
        <v>2268.3159432269385</v>
      </c>
      <c r="I135" s="76">
        <f>(SUMPRODUCT(I60:I64,I15:I19)+SUMPRODUCT(I69:I71,I24:I26))*I117/1000</f>
        <v>1081.7194079065555</v>
      </c>
      <c r="J135" s="76">
        <f>SUM(E135:I135)</f>
        <v>235559.62560841261</v>
      </c>
      <c r="K135" s="76"/>
      <c r="L135" s="76"/>
    </row>
    <row r="136" spans="1:12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3104.8460658488311</v>
      </c>
      <c r="F136" s="76">
        <f>+(SUMPRODUCT(F60:F64,R15:R19)+SUMPRODUCT(F69:F71,R24:R26))*F118/1000</f>
        <v>100858.90525810049</v>
      </c>
      <c r="G136" s="76">
        <f>+(SUMPRODUCT(G60:G64,S15:S19)+SUMPRODUCT(G69:G71,S24:S26))*G118/1000</f>
        <v>60207.64450637337</v>
      </c>
      <c r="H136" s="76">
        <f>+(SUMPRODUCT(H60:H64,T15:T19)+SUMPRODUCT(H69:H71,T24:T26))*H118/1000</f>
        <v>1466.4292024752403</v>
      </c>
      <c r="I136" s="76">
        <f>+(SUMPRODUCT(I60:I64,U15:U19)+SUMPRODUCT(I69:I71,U24:U26))*I118/1000</f>
        <v>1949.7606157674065</v>
      </c>
      <c r="J136" s="76">
        <f>SUM(E136:I136)</f>
        <v>167587.58564856535</v>
      </c>
      <c r="K136" s="76"/>
      <c r="L136" s="76"/>
    </row>
    <row r="137" spans="1:12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</row>
    <row r="138" spans="1:12" x14ac:dyDescent="0.2">
      <c r="A138" s="22"/>
      <c r="B138" s="13" t="s">
        <v>16</v>
      </c>
      <c r="C138" s="82"/>
      <c r="D138" s="82"/>
      <c r="E138" s="82">
        <f>+E130+E134</f>
        <v>9844.3052313263142</v>
      </c>
      <c r="F138" s="82">
        <f>+F130+F134</f>
        <v>390713.69277300674</v>
      </c>
      <c r="G138" s="82">
        <f>+G130+G134</f>
        <v>259857.54669478111</v>
      </c>
      <c r="H138" s="82">
        <f>+H130+H134</f>
        <v>5192.0759333463502</v>
      </c>
      <c r="I138" s="82">
        <f>+I130+I134</f>
        <v>4536.8869070536621</v>
      </c>
      <c r="J138" s="76">
        <f>SUM(E138:I138)</f>
        <v>670144.50753951422</v>
      </c>
      <c r="K138" s="82"/>
      <c r="L138" s="82"/>
    </row>
    <row r="139" spans="1:12" x14ac:dyDescent="0.2">
      <c r="A139" s="22"/>
    </row>
    <row r="140" spans="1:12" x14ac:dyDescent="0.2">
      <c r="A140" s="22"/>
      <c r="B140" s="13" t="s">
        <v>44</v>
      </c>
      <c r="C140" s="76">
        <f>SUM(C138:I138)</f>
        <v>670144.50753951422</v>
      </c>
      <c r="E140" s="83"/>
      <c r="F140" s="74"/>
    </row>
    <row r="141" spans="1:12" x14ac:dyDescent="0.2">
      <c r="A141" s="22"/>
    </row>
    <row r="142" spans="1:12" x14ac:dyDescent="0.2">
      <c r="A142" s="22"/>
    </row>
    <row r="143" spans="1:12" ht="15.75" x14ac:dyDescent="0.25">
      <c r="A143" s="22"/>
      <c r="B143" s="414" t="str">
        <f>$B$1</f>
        <v xml:space="preserve">Jersey Central Power &amp; Light </v>
      </c>
      <c r="C143" s="414"/>
      <c r="D143" s="414"/>
      <c r="E143" s="414"/>
      <c r="F143" s="414"/>
      <c r="G143" s="414"/>
      <c r="H143" s="414"/>
      <c r="I143" s="414"/>
      <c r="J143" s="414"/>
      <c r="K143" s="414"/>
      <c r="L143" s="414"/>
    </row>
    <row r="144" spans="1:12" ht="15.75" x14ac:dyDescent="0.25">
      <c r="A144" s="22"/>
      <c r="B144" s="414" t="str">
        <f>$B$2</f>
        <v>Attachment 2</v>
      </c>
      <c r="C144" s="414"/>
      <c r="D144" s="414"/>
      <c r="E144" s="414"/>
      <c r="F144" s="414"/>
      <c r="G144" s="414"/>
      <c r="H144" s="414"/>
      <c r="I144" s="414"/>
      <c r="J144" s="414"/>
      <c r="K144" s="414"/>
      <c r="L144" s="414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44.452218955831981</v>
      </c>
      <c r="F152" s="75">
        <f>+F130/SUM(F65:F68)*1000</f>
        <v>44.55146291615123</v>
      </c>
      <c r="G152" s="75">
        <f>+G130/SUM(G65:G68)*1000</f>
        <v>45.846694258382037</v>
      </c>
      <c r="H152" s="75">
        <f>+H130/SUM(H65:H68)*1000</f>
        <v>45.490410402177886</v>
      </c>
      <c r="I152" s="75">
        <f>+I130/SUM(I65:I68)*1000</f>
        <v>39.244183612609497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57.537218687976008</v>
      </c>
      <c r="F153" s="75"/>
      <c r="G153" s="75"/>
      <c r="H153" s="75">
        <f>+(H131*1000-W153*AVERAGE(H$113,H$114))/Q153</f>
        <v>56.916890139876806</v>
      </c>
      <c r="I153" s="75"/>
      <c r="J153" s="76"/>
      <c r="K153" s="76"/>
      <c r="L153" s="80"/>
      <c r="M153" s="80"/>
      <c r="P153" s="13" t="s">
        <v>14</v>
      </c>
      <c r="Q153" s="55">
        <f>T65</f>
        <v>14886.868499999999</v>
      </c>
      <c r="R153" s="55"/>
      <c r="T153" s="55">
        <f>T76</f>
        <v>18385.917299999997</v>
      </c>
      <c r="U153" s="55"/>
      <c r="W153" s="55">
        <f>+T153-Q153</f>
        <v>3499.0487999999987</v>
      </c>
      <c r="X153" s="55"/>
      <c r="Z153" s="144">
        <f>+H153*Q153/1000</f>
        <v>847.31425894129256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35.456168965527851</v>
      </c>
      <c r="F154" s="75"/>
      <c r="G154" s="75"/>
      <c r="H154" s="75">
        <f>+(H132*1000-W154*AVERAGE(H$113,H$114))/Q154</f>
        <v>35.571278271606829</v>
      </c>
      <c r="I154" s="75"/>
      <c r="J154" s="76"/>
      <c r="K154" s="76"/>
      <c r="L154" s="80"/>
      <c r="M154" s="80"/>
      <c r="P154" s="13" t="s">
        <v>15</v>
      </c>
      <c r="Q154" s="55">
        <f>T66</f>
        <v>17149.131500000003</v>
      </c>
      <c r="R154" s="55"/>
      <c r="T154" s="55">
        <f>T77</f>
        <v>13650.082700000003</v>
      </c>
      <c r="U154" s="55"/>
      <c r="W154" s="55">
        <f>+T154-Q154</f>
        <v>-3499.0488000000005</v>
      </c>
      <c r="X154" s="55"/>
      <c r="Z154" s="85">
        <f>+H154*Q154/1000</f>
        <v>610.01652870287842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1457.3307876441709</v>
      </c>
      <c r="AA155" s="144"/>
      <c r="AC155" s="81">
        <f>+H130</f>
        <v>1457.3307876441706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42.425981924305589</v>
      </c>
      <c r="F156" s="79">
        <f>+F134/SUM(F60:F64,F69:F71)*1000</f>
        <v>41.914290049351628</v>
      </c>
      <c r="G156" s="79">
        <f>+G134/SUM(G60:G64,G69:G71)*1000</f>
        <v>42.456310053731485</v>
      </c>
      <c r="H156" s="79">
        <f>+H134/SUM(H60:H64,H69:H71)*1000</f>
        <v>42.98442954793844</v>
      </c>
      <c r="I156" s="79">
        <f>+I134/SUM(I60:I64,I69:I71)*1000</f>
        <v>39.513556095854568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48.62696551197309</v>
      </c>
      <c r="F157" s="75"/>
      <c r="G157" s="75"/>
      <c r="H157" s="75">
        <f>+(H135*1000-W157*AVERAGE(H$117,H$118))/Q157</f>
        <v>48.460788422666575</v>
      </c>
      <c r="I157" s="75"/>
      <c r="J157" s="76"/>
      <c r="K157" s="76"/>
      <c r="L157" s="80"/>
      <c r="M157" s="80"/>
      <c r="P157" s="13" t="s">
        <v>14</v>
      </c>
      <c r="Q157" s="55">
        <f>T61</f>
        <v>38107.132400000002</v>
      </c>
      <c r="R157" s="55"/>
      <c r="T157" s="55">
        <f>T72</f>
        <v>48031.303799999994</v>
      </c>
      <c r="U157" s="55"/>
      <c r="W157" s="55">
        <f>+T157-Q157</f>
        <v>9924.171399999992</v>
      </c>
      <c r="X157" s="55"/>
      <c r="Z157" s="144">
        <f>+H157*Q157/1000</f>
        <v>1846.7016806309423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39.051939782251765</v>
      </c>
      <c r="F158" s="75"/>
      <c r="G158" s="75"/>
      <c r="H158" s="75">
        <f>+(H136*1000-W158*AVERAGE(H$117,H$118))/Q158</f>
        <v>38.70617662865213</v>
      </c>
      <c r="I158" s="75"/>
      <c r="J158" s="76"/>
      <c r="K158" s="76"/>
      <c r="L158" s="80"/>
      <c r="M158" s="80"/>
      <c r="P158" s="13" t="s">
        <v>15</v>
      </c>
      <c r="Q158" s="55">
        <f>T62</f>
        <v>48778.867599999998</v>
      </c>
      <c r="R158" s="55"/>
      <c r="T158" s="55">
        <f>T73</f>
        <v>38854.696200000006</v>
      </c>
      <c r="U158" s="55"/>
      <c r="W158" s="55">
        <f>+T158-Q158</f>
        <v>-9924.171399999992</v>
      </c>
      <c r="X158" s="55"/>
      <c r="Z158" s="85">
        <f>+H158*Q158/1000</f>
        <v>1888.0434650712364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3734.7451457021789</v>
      </c>
      <c r="AA159" s="144"/>
      <c r="AC159" s="81">
        <f>+H134</f>
        <v>3734.7451457021793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43.070800492325084</v>
      </c>
      <c r="F160" s="75">
        <f>(F152*SUM(F65:F68)+F156*SUM(F60:F64,F69:F71))/F72</f>
        <v>42.981896617035886</v>
      </c>
      <c r="G160" s="75">
        <f>(G152*SUM(G65:G68)+G156*SUM(G60:G64,G69:G71))/G72</f>
        <v>43.659676229644255</v>
      </c>
      <c r="H160" s="75">
        <f>(H152*SUM(H65:H68)+H156*SUM(H60:H64,H69:H71))/H72</f>
        <v>43.659507352267454</v>
      </c>
      <c r="I160" s="75">
        <f>(I152*SUM(I65:I68)+I156*SUM(I60:I64,I69:I71))/I72</f>
        <v>39.423765268106209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43.222179595965848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tr">
        <f>'BGS PTY18 Cost Alloc'!$B$165</f>
        <v>obligations - annual average forecasted for 2019; costs are market estimates</v>
      </c>
      <c r="J165" s="26" t="s">
        <v>294</v>
      </c>
      <c r="P165" s="13" t="s">
        <v>14</v>
      </c>
      <c r="Q165" s="55">
        <f>SUMPRODUCT(E38:E41,M65:M68)</f>
        <v>28770.069900000002</v>
      </c>
      <c r="R165" s="55">
        <f>SUMPRODUCT(E38:E41,E65:E68)</f>
        <v>29632.573200000003</v>
      </c>
      <c r="T165" s="55">
        <f>Q76</f>
        <v>37358.7526</v>
      </c>
      <c r="U165" s="55">
        <f>T165-($Q$167*$Q165/($Q$165+$Q$166))</f>
        <v>36494.781046479562</v>
      </c>
      <c r="W165" s="55">
        <f>+T165-Q165</f>
        <v>8588.6826999999976</v>
      </c>
      <c r="X165" s="55">
        <f>-Q165+U165</f>
        <v>7724.7111464795598</v>
      </c>
      <c r="Z165" s="144">
        <f>+E153*Q165/1000</f>
        <v>1655.3498035046562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41844.930099999998</v>
      </c>
      <c r="R166" s="55">
        <f>SUMPRODUCT(Q38:Q41,E65:E68)</f>
        <v>43103.426800000001</v>
      </c>
      <c r="T166" s="55">
        <f>Q77</f>
        <v>35377.2474</v>
      </c>
      <c r="U166" s="55">
        <f>T166-($Q$167*$Q166/($Q$165+$Q$166))</f>
        <v>34120.634906839143</v>
      </c>
      <c r="W166" s="55">
        <f>+T166-Q166</f>
        <v>-6467.6826999999976</v>
      </c>
      <c r="X166" s="55">
        <f>-Q166+U166</f>
        <v>-7724.295193160855</v>
      </c>
      <c r="Z166" s="144">
        <f>+E154*Q166/1000</f>
        <v>1483.6609119763023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55">
        <f>SUM(W65:W68)/1000</f>
        <v>2120.5840466813002</v>
      </c>
      <c r="R167" s="55"/>
      <c r="T167" s="55">
        <v>0</v>
      </c>
      <c r="U167" s="55">
        <v>0</v>
      </c>
      <c r="W167" s="55">
        <f>+T167-Q167</f>
        <v>-2120.5840466813002</v>
      </c>
      <c r="X167" s="55"/>
      <c r="Z167" s="85">
        <f>+E152*Q167/1000</f>
        <v>94.264666357321374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87">
        <f>'BGS PTY18 Cost Alloc'!E168</f>
        <v>82.07</v>
      </c>
      <c r="F168" s="87">
        <f>'BGS PTY18 Cost Alloc'!F168</f>
        <v>2616.1</v>
      </c>
      <c r="G168" s="87">
        <f>'BGS PTY18 Cost Alloc'!G168</f>
        <v>1747.84</v>
      </c>
      <c r="H168" s="87">
        <f>'BGS PTY18 Cost Alloc'!H168</f>
        <v>43.1</v>
      </c>
      <c r="I168" s="87">
        <f>'BGS PTY18 Cost Alloc'!I168</f>
        <v>0.02</v>
      </c>
      <c r="J168" s="87">
        <f>SUM(E168:I168)</f>
        <v>4489.130000000001</v>
      </c>
      <c r="K168" s="87"/>
      <c r="L168" s="87"/>
      <c r="M168" s="87"/>
      <c r="Z168" s="144">
        <f>SUM(Z165:Z167)</f>
        <v>3233.2753818382798</v>
      </c>
      <c r="AA168" s="144"/>
      <c r="AC168" s="81">
        <f>+E130</f>
        <v>3233.2765979713949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53380.747199999998</v>
      </c>
      <c r="R170" s="55">
        <f>SUMPRODUCT(E33:E37,E60:E64)+SUMPRODUCT(E42:E44,E69:E71)</f>
        <v>54913.626099999994</v>
      </c>
      <c r="T170" s="55">
        <f>Q72</f>
        <v>73835.346399999995</v>
      </c>
      <c r="U170" s="55">
        <f>T170-($Q$172*$Q170/($Q$170+$Q$171))</f>
        <v>72308.227878876743</v>
      </c>
      <c r="W170" s="55">
        <f>+T170-Q170</f>
        <v>20454.599199999997</v>
      </c>
      <c r="X170" s="55">
        <f>-Q170+U170</f>
        <v>18927.480678876746</v>
      </c>
      <c r="Z170" s="144">
        <f>+E157*Q170/1000</f>
        <v>2595.7437530977541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98111.252800000002</v>
      </c>
      <c r="R171" s="55">
        <f>SUMPRODUCT(Q33:Q37,E60:E64)+SUMPRODUCT(Q42:Q44,E69:E71)</f>
        <v>100911.37390000001</v>
      </c>
      <c r="T171" s="55">
        <f>Q73</f>
        <v>81989.653600000005</v>
      </c>
      <c r="U171" s="55">
        <f>T171-($Q$172*$Q171/($Q$170+$Q$171))</f>
        <v>79182.883010593854</v>
      </c>
      <c r="W171" s="55">
        <f>+T171-Q171</f>
        <v>-16121.599199999997</v>
      </c>
      <c r="X171" s="55">
        <f>-Q171+U171</f>
        <v>-18928.369789406148</v>
      </c>
      <c r="Z171" s="144">
        <f>+E158*Q171/1000</f>
        <v>3831.43473630688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4333.8891105293997</v>
      </c>
      <c r="T172" s="13">
        <v>0</v>
      </c>
      <c r="U172" s="55">
        <v>0</v>
      </c>
      <c r="W172" s="55">
        <f>+T172-Q172</f>
        <v>-4333.8891105293997</v>
      </c>
      <c r="X172" s="55"/>
      <c r="Z172" s="85">
        <f>+E156*Q172/1000</f>
        <v>183.86950106526513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6611.0479904698996</v>
      </c>
      <c r="AA173" s="144"/>
      <c r="AC173" s="81">
        <f>+E134</f>
        <v>6611.0286333549193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v>243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9844.3052313263142</v>
      </c>
    </row>
    <row r="176" spans="1:51" x14ac:dyDescent="0.2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21"/>
      <c r="C177" s="92"/>
      <c r="D177" s="93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115.68</v>
      </c>
      <c r="E179" s="162">
        <f>ROUND(D179*$H$308,3)</f>
        <v>131.75399999999999</v>
      </c>
      <c r="F179" s="93" t="s">
        <v>88</v>
      </c>
      <c r="G179" s="89" t="s">
        <v>162</v>
      </c>
      <c r="H179" s="81">
        <f>ROUND(E179*E173*J$168,0)</f>
        <v>72158222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11">
        <v>115.68</v>
      </c>
      <c r="E180" s="162">
        <f>ROUND(D180*$H$308,3)</f>
        <v>131.75399999999999</v>
      </c>
      <c r="F180" s="93" t="s">
        <v>88</v>
      </c>
      <c r="G180" s="121" t="s">
        <v>163</v>
      </c>
      <c r="H180" s="122">
        <f>ROUND(E180*E174*J$168,0)</f>
        <v>143724983</v>
      </c>
      <c r="I180" s="89"/>
      <c r="J180" s="89"/>
      <c r="K180" s="142"/>
      <c r="Z180" s="144"/>
      <c r="AA180" s="144"/>
      <c r="AC180" s="81"/>
    </row>
    <row r="181" spans="1:50" x14ac:dyDescent="0.2">
      <c r="A181" s="22"/>
      <c r="B181" s="21"/>
      <c r="D181" s="11"/>
      <c r="E181" s="93"/>
      <c r="G181" s="89" t="s">
        <v>164</v>
      </c>
      <c r="H181" s="81">
        <f>SUM(H179:H180)</f>
        <v>215883205</v>
      </c>
      <c r="I181" s="89"/>
      <c r="J181" s="89"/>
      <c r="K181" s="142"/>
    </row>
    <row r="182" spans="1:50" x14ac:dyDescent="0.2">
      <c r="A182" s="22"/>
      <c r="B182" s="13" t="s">
        <v>153</v>
      </c>
      <c r="I182" s="89"/>
      <c r="J182" s="89"/>
      <c r="K182" s="142"/>
    </row>
    <row r="183" spans="1:50" x14ac:dyDescent="0.2">
      <c r="A183" s="22"/>
      <c r="B183" s="17" t="s">
        <v>154</v>
      </c>
      <c r="I183" s="89"/>
      <c r="J183" s="89"/>
      <c r="K183" s="142"/>
    </row>
    <row r="184" spans="1:50" x14ac:dyDescent="0.2">
      <c r="A184" s="22"/>
      <c r="B184" s="17"/>
      <c r="C184" s="105" t="str">
        <f>" ---------- Rate "&amp;C30&amp;" ----------"</f>
        <v xml:space="preserve"> ---------- Rate  ----------</v>
      </c>
      <c r="D184" s="106"/>
      <c r="E184" s="106"/>
      <c r="I184" s="89"/>
      <c r="J184" s="89"/>
      <c r="K184" s="142"/>
    </row>
    <row r="185" spans="1:50" x14ac:dyDescent="0.2">
      <c r="A185" s="22"/>
      <c r="C185" s="38" t="s">
        <v>140</v>
      </c>
      <c r="E185" s="38" t="s">
        <v>141</v>
      </c>
      <c r="I185" s="89"/>
      <c r="J185" s="89"/>
      <c r="K185" s="142"/>
    </row>
    <row r="186" spans="1:50" x14ac:dyDescent="0.2">
      <c r="A186" s="22"/>
      <c r="B186" s="89" t="s">
        <v>142</v>
      </c>
      <c r="C186" s="107"/>
      <c r="E186" s="118">
        <f>SUM(R65/(R65+R66))</f>
        <v>0.53677500029076186</v>
      </c>
      <c r="F186" s="112"/>
      <c r="I186" s="89"/>
      <c r="J186" s="89"/>
      <c r="K186" s="142"/>
      <c r="AX186" s="118"/>
    </row>
    <row r="187" spans="1:50" x14ac:dyDescent="0.2">
      <c r="A187" s="22"/>
      <c r="B187" s="89" t="s">
        <v>144</v>
      </c>
      <c r="C187" s="108"/>
      <c r="E187" s="109">
        <f>1-E186</f>
        <v>0.46322499970923814</v>
      </c>
      <c r="G187" s="53"/>
      <c r="I187" s="89"/>
      <c r="J187" s="89"/>
      <c r="K187" s="142"/>
    </row>
    <row r="188" spans="1:50" x14ac:dyDescent="0.2">
      <c r="A188" s="22"/>
      <c r="B188" s="110" t="s">
        <v>155</v>
      </c>
      <c r="C188" s="111">
        <v>0.86519999999999997</v>
      </c>
      <c r="D188" s="13" t="s">
        <v>143</v>
      </c>
      <c r="J188" s="89"/>
      <c r="K188" s="142"/>
    </row>
    <row r="189" spans="1:50" x14ac:dyDescent="0.2">
      <c r="A189" s="13"/>
      <c r="J189" s="89"/>
      <c r="K189" s="142"/>
    </row>
    <row r="190" spans="1:50" x14ac:dyDescent="0.2">
      <c r="A190" s="18" t="s">
        <v>89</v>
      </c>
      <c r="B190" s="16" t="s">
        <v>90</v>
      </c>
      <c r="D190" s="38" t="s">
        <v>222</v>
      </c>
      <c r="E190" s="38" t="s">
        <v>218</v>
      </c>
    </row>
    <row r="191" spans="1:50" x14ac:dyDescent="0.2">
      <c r="A191" s="18"/>
      <c r="B191" s="17" t="s">
        <v>298</v>
      </c>
      <c r="D191" s="382">
        <v>2</v>
      </c>
      <c r="F191" s="13" t="s">
        <v>92</v>
      </c>
    </row>
    <row r="192" spans="1:50" x14ac:dyDescent="0.2">
      <c r="A192" s="18"/>
      <c r="B192" s="17" t="s">
        <v>301</v>
      </c>
      <c r="D192" s="383">
        <v>15.04</v>
      </c>
      <c r="F192" s="13" t="s">
        <v>92</v>
      </c>
    </row>
    <row r="193" spans="1:13" x14ac:dyDescent="0.2">
      <c r="A193" s="22"/>
      <c r="B193" s="17" t="s">
        <v>91</v>
      </c>
      <c r="D193" s="384">
        <f>D191+D192</f>
        <v>17.04</v>
      </c>
      <c r="E193" s="381">
        <f>ROUND(D193*$H$308,3)</f>
        <v>19.408000000000001</v>
      </c>
      <c r="F193" s="13" t="s">
        <v>92</v>
      </c>
    </row>
    <row r="194" spans="1:13" x14ac:dyDescent="0.2">
      <c r="A194" s="22"/>
      <c r="B194" s="17"/>
      <c r="F194" s="93"/>
    </row>
    <row r="195" spans="1:13" x14ac:dyDescent="0.2">
      <c r="A195" s="22"/>
      <c r="B195" s="16"/>
      <c r="E195" s="92"/>
      <c r="F195" s="93"/>
    </row>
    <row r="196" spans="1:13" x14ac:dyDescent="0.2">
      <c r="A196" s="18" t="s">
        <v>93</v>
      </c>
      <c r="B196" s="16" t="s">
        <v>167</v>
      </c>
    </row>
    <row r="197" spans="1:13" x14ac:dyDescent="0.2">
      <c r="A197" s="18"/>
      <c r="B197" s="16"/>
    </row>
    <row r="198" spans="1:13" x14ac:dyDescent="0.2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x14ac:dyDescent="0.2">
      <c r="A199" s="18"/>
      <c r="B199" s="16"/>
    </row>
    <row r="200" spans="1:13" x14ac:dyDescent="0.2">
      <c r="A200" s="22"/>
      <c r="B200" s="89" t="s">
        <v>94</v>
      </c>
      <c r="C200" s="145"/>
      <c r="D200" s="145"/>
      <c r="E200" s="146">
        <v>7.4649999999999999</v>
      </c>
      <c r="F200" s="146">
        <v>7.4649999999999999</v>
      </c>
      <c r="G200" s="146">
        <v>7.4649999999999999</v>
      </c>
      <c r="H200" s="146">
        <v>7.4649999999999999</v>
      </c>
      <c r="I200" s="146">
        <v>0</v>
      </c>
      <c r="J200" s="145"/>
      <c r="K200" s="145"/>
      <c r="L200" s="145"/>
      <c r="M200" s="145"/>
    </row>
    <row r="201" spans="1:13" x14ac:dyDescent="0.2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</row>
    <row r="202" spans="1:13" x14ac:dyDescent="0.2">
      <c r="A202" s="22"/>
      <c r="B202" s="89" t="s">
        <v>131</v>
      </c>
      <c r="C202" s="145"/>
      <c r="D202" s="145"/>
      <c r="E202" s="146">
        <f>$H$181*(E$168/$J$168)/E$72</f>
        <v>17.267878357868945</v>
      </c>
      <c r="F202" s="146">
        <f>$H$181*(F$168/$J$168)/F$72</f>
        <v>13.840059563161715</v>
      </c>
      <c r="G202" s="146">
        <f>$H$181*(G$168/$J$168)/G$72</f>
        <v>14.122237977434368</v>
      </c>
      <c r="H202" s="146">
        <f>$H$181*(H$168/$J$168)/H$72</f>
        <v>17.42897072530301</v>
      </c>
      <c r="I202" s="146">
        <f>$H$181*(I$168/$J$168)/I$72</f>
        <v>8.3577007524856493E-3</v>
      </c>
      <c r="J202" s="145"/>
      <c r="K202" s="145"/>
      <c r="L202" s="145"/>
      <c r="M202" s="145"/>
    </row>
    <row r="203" spans="1:13" x14ac:dyDescent="0.2">
      <c r="A203" s="22"/>
      <c r="B203" s="89" t="s">
        <v>198</v>
      </c>
      <c r="C203" s="145"/>
      <c r="D203" s="145"/>
      <c r="E203" s="146">
        <f>$H$179*(E$168/$J$168)/SUM(E65:E68)</f>
        <v>18.136716340222726</v>
      </c>
      <c r="F203" s="146">
        <f>$H$179*(F$168/$J$168)/SUM(F65:F68)</f>
        <v>11.427001586484494</v>
      </c>
      <c r="G203" s="146">
        <f>$H$179*(G$168/$J$168)/SUM(G65:G68)</f>
        <v>13.299080290819473</v>
      </c>
      <c r="H203" s="146"/>
      <c r="I203" s="146">
        <f>$H$179*(I$168/$J$168)/SUM(I65:I68)</f>
        <v>8.380598569130376E-3</v>
      </c>
      <c r="J203" s="145"/>
      <c r="K203" s="145"/>
      <c r="L203" s="145"/>
      <c r="M203" s="145"/>
    </row>
    <row r="204" spans="1:13" x14ac:dyDescent="0.2">
      <c r="A204" s="22"/>
      <c r="B204" s="89" t="s">
        <v>199</v>
      </c>
      <c r="C204" s="145"/>
      <c r="D204" s="145"/>
      <c r="E204" s="146">
        <f>$H$179*(E$168/$J$168)/R165</f>
        <v>44.518314046464248</v>
      </c>
      <c r="F204" s="146"/>
      <c r="G204" s="146"/>
      <c r="H204" s="146">
        <f>$H$179*(H$168/$J$168)/Q153</f>
        <v>46.536911721630233</v>
      </c>
      <c r="I204" s="146"/>
      <c r="J204" s="145"/>
      <c r="K204" s="145"/>
      <c r="L204" s="145"/>
      <c r="M204" s="145"/>
    </row>
    <row r="205" spans="1:13" x14ac:dyDescent="0.2">
      <c r="A205" s="22"/>
      <c r="B205" s="89" t="s">
        <v>201</v>
      </c>
      <c r="C205" s="145"/>
      <c r="D205" s="145"/>
      <c r="E205" s="146">
        <f>$H$180*(E$168/$J$168)/(E72-SUM(E65:E68))</f>
        <v>16.86232212822361</v>
      </c>
      <c r="F205" s="146">
        <f>$H$180*(F$168/$J$168)/(F72-SUM(F65:F68))</f>
        <v>15.481402490539502</v>
      </c>
      <c r="G205" s="146">
        <f>$H$180*(G$168/$J$168)/(G72-SUM(G65:G68))</f>
        <v>14.575165253066684</v>
      </c>
      <c r="H205" s="146"/>
      <c r="I205" s="146">
        <f>$H$180*(I$168/$J$168)/(I72-SUM(I65:I68))</f>
        <v>8.3462518441632869E-3</v>
      </c>
      <c r="J205" s="145"/>
      <c r="K205" s="145"/>
      <c r="L205" s="145"/>
      <c r="M205" s="145"/>
    </row>
    <row r="206" spans="1:13" x14ac:dyDescent="0.2">
      <c r="A206" s="22"/>
      <c r="B206" s="89" t="s">
        <v>200</v>
      </c>
      <c r="C206" s="145"/>
      <c r="D206" s="145"/>
      <c r="E206" s="146">
        <f>$H$180*(E$168/$J$168)/R170</f>
        <v>47.849168453118132</v>
      </c>
      <c r="F206" s="147"/>
      <c r="G206" s="147"/>
      <c r="H206" s="146">
        <f>$H$180*(H$168/$J$168)/Q157</f>
        <v>36.211047236880688</v>
      </c>
      <c r="I206" s="146"/>
      <c r="J206" s="145"/>
      <c r="K206" s="145"/>
      <c r="L206" s="145"/>
      <c r="M206" s="145"/>
    </row>
    <row r="207" spans="1:13" x14ac:dyDescent="0.2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75" x14ac:dyDescent="0.25">
      <c r="A208" s="22"/>
      <c r="B208" s="414" t="str">
        <f>$B$1</f>
        <v xml:space="preserve">Jersey Central Power &amp; Light </v>
      </c>
      <c r="C208" s="414"/>
      <c r="D208" s="414"/>
      <c r="E208" s="414"/>
      <c r="F208" s="414"/>
      <c r="G208" s="414"/>
      <c r="H208" s="414"/>
      <c r="I208" s="414"/>
      <c r="J208" s="414"/>
      <c r="K208" s="414"/>
      <c r="L208" s="414"/>
      <c r="M208" s="145"/>
    </row>
    <row r="209" spans="1:18" ht="15.75" x14ac:dyDescent="0.25">
      <c r="A209" s="22"/>
      <c r="B209" s="414" t="str">
        <f>$B$2</f>
        <v>Attachment 2</v>
      </c>
      <c r="C209" s="414"/>
      <c r="D209" s="414"/>
      <c r="E209" s="414"/>
      <c r="F209" s="414"/>
      <c r="G209" s="414"/>
      <c r="H209" s="414"/>
      <c r="I209" s="414"/>
      <c r="J209" s="414"/>
      <c r="K209" s="414"/>
      <c r="L209" s="414"/>
      <c r="M209" s="145"/>
      <c r="N209" s="145"/>
      <c r="O209" s="145"/>
      <c r="P209" s="145"/>
      <c r="Q209" s="145"/>
      <c r="R209" s="145"/>
    </row>
    <row r="210" spans="1:18" x14ac:dyDescent="0.2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">
      <c r="A211" s="22"/>
      <c r="M211" s="145"/>
      <c r="N211" s="145"/>
      <c r="O211" s="145"/>
      <c r="P211" s="145"/>
      <c r="Q211" s="145"/>
      <c r="R211" s="145"/>
    </row>
    <row r="212" spans="1:18" x14ac:dyDescent="0.2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x14ac:dyDescent="0.2">
      <c r="A213" s="22"/>
      <c r="B213" s="16"/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B219" s="28" t="s">
        <v>17</v>
      </c>
      <c r="C219" s="74"/>
      <c r="D219" s="74"/>
      <c r="E219" s="74">
        <f>+E152+(E$95*$E$193)+E$200+E203</f>
        <v>91.752064324345696</v>
      </c>
      <c r="F219" s="74">
        <f>+F152+(F$95*$E$193)+F$200+F203</f>
        <v>85.141593530926698</v>
      </c>
      <c r="G219" s="74">
        <f>+G152+(G$95*$E$193)+G$200+G203</f>
        <v>88.308903577492487</v>
      </c>
      <c r="H219" s="74"/>
      <c r="I219" s="74">
        <f>+I152+(I$95*$E$193)+I$200+I203</f>
        <v>60.950693239469601</v>
      </c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77" t="s">
        <v>72</v>
      </c>
      <c r="C220" s="74"/>
      <c r="D220" s="74"/>
      <c r="E220" s="74">
        <f>+E153+(E$95*$E$193)+E$200+E$204</f>
        <v>131.21866176273122</v>
      </c>
      <c r="F220" s="74"/>
      <c r="G220" s="74"/>
      <c r="H220" s="74">
        <f>+H153+(H$95*$E$193)+H$200+H$204</f>
        <v>132.61693088979803</v>
      </c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73</v>
      </c>
      <c r="C221" s="74"/>
      <c r="D221" s="74"/>
      <c r="E221" s="74">
        <f>+E154+(E$95*$E$193)+E$200</f>
        <v>64.619297993818819</v>
      </c>
      <c r="F221" s="74"/>
      <c r="G221" s="74"/>
      <c r="H221" s="74">
        <f>+H154+(H$95*$E$193)+H$200</f>
        <v>64.734407299897796</v>
      </c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89" t="s">
        <v>142</v>
      </c>
      <c r="C222" s="74"/>
      <c r="D222" s="74"/>
      <c r="E222" s="74"/>
      <c r="F222" s="74">
        <f>(F219*SUM(F65:F68)-C188*10*E187*SUM(F65:F68))/SUM(F65:F68)</f>
        <v>81.13377083344237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144</v>
      </c>
      <c r="C223" s="74"/>
      <c r="D223" s="74"/>
      <c r="E223" s="74"/>
      <c r="F223" s="74">
        <f>+F222+C188*10</f>
        <v>89.785770833442371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B225" s="28" t="s">
        <v>18</v>
      </c>
      <c r="C225" s="74"/>
      <c r="D225" s="74"/>
      <c r="E225" s="74">
        <f>+E156+(E$95*$E$193)+E$200+E205</f>
        <v>88.451433080820181</v>
      </c>
      <c r="F225" s="74">
        <f>+F156+(F$95*$E$193)+F$200+F205</f>
        <v>86.558821568182111</v>
      </c>
      <c r="G225" s="74">
        <f>+G156+(G$95*$E$193)+G$200+G205</f>
        <v>86.194604335089153</v>
      </c>
      <c r="H225" s="74"/>
      <c r="I225" s="74">
        <f>+I156+(I$95*$E$193)+I$200+I205</f>
        <v>61.220031375989706</v>
      </c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77" t="s">
        <v>72</v>
      </c>
      <c r="C226" s="74"/>
      <c r="D226" s="74"/>
      <c r="E226" s="74">
        <f>+E157+(E$95*$E$193)+E$200+E$206</f>
        <v>125.6392629933822</v>
      </c>
      <c r="F226" s="74"/>
      <c r="G226" s="74"/>
      <c r="H226" s="74">
        <f>+H157+(H$95*$E$193)+H$200+H$206</f>
        <v>113.83496468783824</v>
      </c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73</v>
      </c>
      <c r="C227" s="74"/>
      <c r="D227" s="74"/>
      <c r="E227" s="74">
        <f>+E158+(E$95*$E$193)+E$200</f>
        <v>68.215068810542732</v>
      </c>
      <c r="F227" s="74"/>
      <c r="G227" s="74"/>
      <c r="H227" s="74">
        <f>+H158+(H$95*$E$193)+H$200</f>
        <v>67.869305656943098</v>
      </c>
      <c r="I227" s="74"/>
      <c r="J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B229" s="13" t="s">
        <v>98</v>
      </c>
      <c r="C229" s="74"/>
      <c r="D229" s="74"/>
      <c r="E229" s="74">
        <f>+E160+(E$95*$E$193)+E$200+E202</f>
        <v>89.50180787848501</v>
      </c>
      <c r="F229" s="74">
        <f>+F160+(F$95*$E$193)+F$200+F202</f>
        <v>85.98508520848857</v>
      </c>
      <c r="G229" s="74">
        <f>+G160+(G$95*$E$193)+G$200+G202</f>
        <v>86.945043235369596</v>
      </c>
      <c r="H229" s="74">
        <f>((H220*SUMPRODUCT(H38:H41,H65:H68)+H221*SUMPRODUCT(T38:T41,H65:H68))+(H226*(SUMPRODUCT(H33:H37,H60:H64)+SUMPRODUCT(H42:H44,H69:H71))+H227*(SUMPRODUCT(T33:T37,H60:H64)+SUMPRODUCT(T42:T44,H69:H71))))/H72</f>
        <v>90.251607105861453</v>
      </c>
      <c r="I229" s="74">
        <f>+I160+(I$95*$E$193)+I$200+I202</f>
        <v>61.130251997149664</v>
      </c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77"/>
      <c r="C234" s="74"/>
      <c r="D234" s="74"/>
      <c r="I234" s="89"/>
      <c r="J234" s="80"/>
      <c r="K234" s="93"/>
    </row>
    <row r="235" spans="1:18" x14ac:dyDescent="0.2">
      <c r="A235" s="22"/>
      <c r="C235" s="74"/>
      <c r="D235" s="74"/>
    </row>
    <row r="236" spans="1:18" x14ac:dyDescent="0.2">
      <c r="A236" s="22"/>
      <c r="B236" s="37" t="s">
        <v>101</v>
      </c>
      <c r="C236" s="74"/>
      <c r="D236" s="74"/>
      <c r="I236" s="96"/>
      <c r="K236" s="93"/>
    </row>
    <row r="237" spans="1:18" x14ac:dyDescent="0.2">
      <c r="A237" s="22"/>
      <c r="B237" s="77"/>
      <c r="C237" s="74"/>
      <c r="D237" s="74"/>
      <c r="I237" s="89"/>
      <c r="J237" s="97"/>
      <c r="K237" s="93"/>
    </row>
    <row r="238" spans="1:18" ht="15.75" x14ac:dyDescent="0.25">
      <c r="A238" s="22"/>
      <c r="B238" s="414" t="str">
        <f>$B$1</f>
        <v xml:space="preserve">Jersey Central Power &amp; Light </v>
      </c>
      <c r="C238" s="414"/>
      <c r="D238" s="414"/>
      <c r="E238" s="414"/>
      <c r="F238" s="414"/>
      <c r="G238" s="414"/>
      <c r="H238" s="414"/>
      <c r="I238" s="414"/>
      <c r="J238" s="414"/>
      <c r="K238" s="414"/>
      <c r="L238" s="414"/>
    </row>
    <row r="239" spans="1:18" ht="15.75" x14ac:dyDescent="0.25">
      <c r="A239" s="22"/>
      <c r="B239" s="414" t="str">
        <f>$B$2</f>
        <v>Attachment 2</v>
      </c>
      <c r="C239" s="414"/>
      <c r="D239" s="414"/>
      <c r="E239" s="414"/>
      <c r="F239" s="414"/>
      <c r="G239" s="414"/>
      <c r="H239" s="414"/>
      <c r="I239" s="414"/>
      <c r="J239" s="414"/>
      <c r="K239" s="414"/>
      <c r="L239" s="414"/>
    </row>
    <row r="240" spans="1:18" ht="15.75" x14ac:dyDescent="0.25">
      <c r="A240" s="22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</row>
    <row r="241" spans="1:12" ht="15.75" x14ac:dyDescent="0.25">
      <c r="A241" s="18" t="s">
        <v>106</v>
      </c>
      <c r="B241" s="163" t="s">
        <v>240</v>
      </c>
      <c r="C241" s="20"/>
      <c r="E241" s="165"/>
      <c r="F241" s="38"/>
      <c r="K241" s="166"/>
      <c r="L241" s="166"/>
    </row>
    <row r="242" spans="1:12" ht="15.75" x14ac:dyDescent="0.25">
      <c r="B242" s="13" t="s">
        <v>241</v>
      </c>
      <c r="K242" s="166"/>
      <c r="L242" s="166"/>
    </row>
    <row r="243" spans="1:12" ht="15.75" x14ac:dyDescent="0.25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6"/>
      <c r="L243" s="166"/>
    </row>
    <row r="244" spans="1:12" ht="15.75" x14ac:dyDescent="0.25">
      <c r="K244" s="166"/>
      <c r="L244" s="166"/>
    </row>
    <row r="245" spans="1:12" ht="15.75" x14ac:dyDescent="0.25">
      <c r="B245" s="28" t="s">
        <v>17</v>
      </c>
      <c r="E245" s="55">
        <f>'Composite Cost Allocation'!E107</f>
        <v>2120584.0466813003</v>
      </c>
      <c r="G245" s="55">
        <f>'Composite Cost Allocation'!G107</f>
        <v>2112534000</v>
      </c>
      <c r="I245" s="55">
        <f>'Composite Cost Allocation'!I107</f>
        <v>38360000</v>
      </c>
      <c r="K245" s="166"/>
      <c r="L245" s="166"/>
    </row>
    <row r="246" spans="1:12" ht="15.75" x14ac:dyDescent="0.25">
      <c r="B246" s="77" t="s">
        <v>72</v>
      </c>
      <c r="E246" s="55">
        <f>'Composite Cost Allocation'!E108</f>
        <v>28770185</v>
      </c>
      <c r="H246" s="55">
        <f>'Composite Cost Allocation'!H108</f>
        <v>14886868.499999998</v>
      </c>
      <c r="K246" s="166"/>
      <c r="L246" s="166"/>
    </row>
    <row r="247" spans="1:12" ht="15.75" x14ac:dyDescent="0.25">
      <c r="B247" s="77" t="s">
        <v>73</v>
      </c>
      <c r="E247" s="55">
        <f>'Composite Cost Allocation'!E109</f>
        <v>41845230.9533187</v>
      </c>
      <c r="H247" s="55">
        <f>'Composite Cost Allocation'!H109</f>
        <v>17149131.5</v>
      </c>
      <c r="K247" s="166"/>
      <c r="L247" s="166"/>
    </row>
    <row r="248" spans="1:12" ht="15.75" x14ac:dyDescent="0.25">
      <c r="B248" s="89" t="s">
        <v>142</v>
      </c>
      <c r="F248" s="55">
        <f>'Composite Cost Allocation'!F110</f>
        <v>1975322000</v>
      </c>
      <c r="K248" s="166"/>
      <c r="L248" s="166"/>
    </row>
    <row r="249" spans="1:12" ht="15.75" x14ac:dyDescent="0.25">
      <c r="B249" s="89" t="s">
        <v>144</v>
      </c>
      <c r="F249" s="55">
        <f>'Composite Cost Allocation'!F111</f>
        <v>1704660000</v>
      </c>
      <c r="K249" s="166"/>
      <c r="L249" s="166"/>
    </row>
    <row r="250" spans="1:12" ht="15.75" x14ac:dyDescent="0.25">
      <c r="K250" s="166"/>
      <c r="L250" s="166"/>
    </row>
    <row r="251" spans="1:12" ht="15.75" x14ac:dyDescent="0.25">
      <c r="B251" s="28" t="s">
        <v>18</v>
      </c>
      <c r="E251" s="55">
        <f>'Composite Cost Allocation'!E113</f>
        <v>4333889.1105293985</v>
      </c>
      <c r="F251" s="55">
        <f>'Composite Cost Allocation'!F113</f>
        <v>5410210000</v>
      </c>
      <c r="G251" s="55">
        <f>'Composite Cost Allocation'!G113</f>
        <v>3839355000</v>
      </c>
      <c r="I251" s="55">
        <f>'Composite Cost Allocation'!I113</f>
        <v>76720000</v>
      </c>
      <c r="K251" s="166"/>
      <c r="L251" s="166"/>
    </row>
    <row r="252" spans="1:12" ht="15.75" x14ac:dyDescent="0.25">
      <c r="B252" s="77" t="s">
        <v>72</v>
      </c>
      <c r="E252" s="55">
        <f>'Composite Cost Allocation'!E114</f>
        <v>53380471.887658589</v>
      </c>
      <c r="H252" s="55">
        <f>'Composite Cost Allocation'!H114</f>
        <v>38107132.399999999</v>
      </c>
      <c r="K252" s="166"/>
      <c r="L252" s="166"/>
    </row>
    <row r="253" spans="1:12" ht="15.75" x14ac:dyDescent="0.25">
      <c r="B253" s="77" t="s">
        <v>73</v>
      </c>
      <c r="E253" s="55">
        <f>'Composite Cost Allocation'!E115</f>
        <v>98110639.001812011</v>
      </c>
      <c r="H253" s="55">
        <f>'Composite Cost Allocation'!H115</f>
        <v>48778867.600000001</v>
      </c>
      <c r="K253" s="166"/>
      <c r="L253" s="166"/>
    </row>
    <row r="254" spans="1:12" ht="15.75" x14ac:dyDescent="0.25">
      <c r="J254" s="26" t="s">
        <v>13</v>
      </c>
      <c r="K254" s="166"/>
      <c r="L254" s="166"/>
    </row>
    <row r="255" spans="1:12" ht="15.75" x14ac:dyDescent="0.25">
      <c r="B255" s="89" t="s">
        <v>162</v>
      </c>
      <c r="E255" s="55">
        <f>SUM(E245:E249)</f>
        <v>72736000</v>
      </c>
      <c r="F255" s="55">
        <f>SUM(F245:F249)</f>
        <v>3679982000</v>
      </c>
      <c r="G255" s="55">
        <f>SUM(G245:G249)</f>
        <v>2112534000</v>
      </c>
      <c r="H255" s="55">
        <f>SUM(H245:H249)</f>
        <v>32036000</v>
      </c>
      <c r="I255" s="55">
        <f>SUM(I245:I249)</f>
        <v>38360000</v>
      </c>
      <c r="J255" s="55">
        <f>SUM(E255:I255)</f>
        <v>5935648000</v>
      </c>
      <c r="K255" s="166"/>
      <c r="L255" s="166"/>
    </row>
    <row r="256" spans="1:12" ht="15.75" x14ac:dyDescent="0.25">
      <c r="B256" s="89" t="s">
        <v>163</v>
      </c>
      <c r="E256" s="138">
        <f>SUM(E251:E253)</f>
        <v>155825000</v>
      </c>
      <c r="F256" s="138">
        <f>SUM(F251:F253)</f>
        <v>5410210000</v>
      </c>
      <c r="G256" s="133">
        <f>SUM(G251:G253)</f>
        <v>3839355000</v>
      </c>
      <c r="H256" s="133">
        <f>SUM(H251:H253)</f>
        <v>86886000</v>
      </c>
      <c r="I256" s="133">
        <f>SUM(I251:I253)</f>
        <v>76720000</v>
      </c>
      <c r="J256" s="138">
        <f>SUM(E256:I256)</f>
        <v>9568996000</v>
      </c>
      <c r="K256" s="166"/>
      <c r="L256" s="166"/>
    </row>
    <row r="257" spans="1:15" ht="15.75" x14ac:dyDescent="0.25">
      <c r="B257" s="89" t="s">
        <v>164</v>
      </c>
      <c r="E257" s="55">
        <f>SUM(E255:E256)</f>
        <v>228561000</v>
      </c>
      <c r="F257" s="55">
        <f>SUM(F255:F256)</f>
        <v>9090192000</v>
      </c>
      <c r="G257" s="55">
        <f>SUM(G255:G256)</f>
        <v>5951889000</v>
      </c>
      <c r="H257" s="55">
        <f>SUM(H255:H256)</f>
        <v>118922000</v>
      </c>
      <c r="I257" s="55">
        <f>SUM(I255:I256)</f>
        <v>115080000</v>
      </c>
      <c r="J257" s="55">
        <f>SUM(E257:I257)</f>
        <v>15504644000</v>
      </c>
      <c r="K257" s="166"/>
      <c r="L257" s="166"/>
    </row>
    <row r="258" spans="1:15" ht="15.75" x14ac:dyDescent="0.25">
      <c r="A258" s="22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</row>
    <row r="261" spans="1:15" x14ac:dyDescent="0.2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x14ac:dyDescent="0.2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x14ac:dyDescent="0.2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x14ac:dyDescent="0.2">
      <c r="A265" s="7"/>
      <c r="B265" s="28" t="s">
        <v>17</v>
      </c>
      <c r="C265" s="149"/>
      <c r="D265" s="149"/>
      <c r="E265" s="149">
        <f>+E219*E245/1000000</f>
        <v>194.56796385628397</v>
      </c>
      <c r="F265" s="149"/>
      <c r="G265" s="149">
        <f>+G219*G245/1000000</f>
        <v>186555.5613101745</v>
      </c>
      <c r="H265" s="144"/>
      <c r="I265" s="149">
        <f>+I219*I245/1000000</f>
        <v>2338.068592666054</v>
      </c>
      <c r="J265" s="149"/>
      <c r="K265" s="149"/>
      <c r="L265" s="149"/>
    </row>
    <row r="266" spans="1:15" x14ac:dyDescent="0.2">
      <c r="A266" s="7"/>
      <c r="B266" s="77" t="s">
        <v>72</v>
      </c>
      <c r="C266" s="149"/>
      <c r="D266" s="149"/>
      <c r="E266" s="149">
        <f>+E220*E246/1000000</f>
        <v>3775.1851743662032</v>
      </c>
      <c r="F266" s="149"/>
      <c r="G266" s="149"/>
      <c r="H266" s="149">
        <f>+H220*H246/1000000</f>
        <v>1974.2508110300109</v>
      </c>
      <c r="I266" s="149"/>
      <c r="J266" s="149"/>
      <c r="K266" s="149"/>
      <c r="L266" s="149"/>
    </row>
    <row r="267" spans="1:15" x14ac:dyDescent="0.2">
      <c r="A267" s="7"/>
      <c r="B267" s="77" t="s">
        <v>73</v>
      </c>
      <c r="C267" s="149"/>
      <c r="D267" s="149"/>
      <c r="E267" s="149">
        <f>+E221*E247/1000000</f>
        <v>2704.0094485926725</v>
      </c>
      <c r="F267" s="149"/>
      <c r="G267" s="149"/>
      <c r="H267" s="149">
        <f>+H221*H247/1000000</f>
        <v>1110.1388633605072</v>
      </c>
      <c r="I267" s="149"/>
      <c r="J267" s="149"/>
      <c r="K267" s="81"/>
      <c r="L267" s="81"/>
      <c r="M267" s="81"/>
      <c r="N267" s="81"/>
      <c r="O267" s="81"/>
    </row>
    <row r="268" spans="1:15" x14ac:dyDescent="0.2">
      <c r="A268" s="7"/>
      <c r="B268" s="89" t="s">
        <v>142</v>
      </c>
      <c r="C268" s="149"/>
      <c r="D268" s="149"/>
      <c r="E268" s="149"/>
      <c r="F268" s="149">
        <f>+F222*F248/1000000</f>
        <v>160265.32247025706</v>
      </c>
      <c r="G268" s="149"/>
      <c r="H268" s="144"/>
      <c r="I268" s="149"/>
      <c r="J268" s="149"/>
      <c r="K268" s="149"/>
      <c r="L268" s="149"/>
    </row>
    <row r="269" spans="1:15" x14ac:dyDescent="0.2">
      <c r="A269" s="7"/>
      <c r="B269" s="89" t="s">
        <v>144</v>
      </c>
      <c r="C269" s="149"/>
      <c r="D269" s="149"/>
      <c r="E269" s="149"/>
      <c r="F269" s="149">
        <f>+F223*F249/1000000</f>
        <v>153054.21210893587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x14ac:dyDescent="0.2">
      <c r="A271" s="7"/>
      <c r="B271" s="28" t="s">
        <v>18</v>
      </c>
      <c r="C271" s="149"/>
      <c r="D271" s="149"/>
      <c r="E271" s="149">
        <f>+E225*E251/1000000</f>
        <v>383.3387026396864</v>
      </c>
      <c r="F271" s="149">
        <f>+F225*F251/1000000</f>
        <v>468301.40203639452</v>
      </c>
      <c r="G271" s="149">
        <f>+G225*G251/1000000</f>
        <v>330931.68512694625</v>
      </c>
      <c r="I271" s="149">
        <f>+I225*I251/1000000</f>
        <v>4696.8008071659297</v>
      </c>
      <c r="J271" s="149"/>
      <c r="K271" s="149"/>
      <c r="L271" s="149"/>
    </row>
    <row r="272" spans="1:15" x14ac:dyDescent="0.2">
      <c r="A272" s="7"/>
      <c r="B272" s="77" t="s">
        <v>72</v>
      </c>
      <c r="C272" s="149"/>
      <c r="D272" s="149"/>
      <c r="E272" s="149">
        <f>+E226*E252/1000000</f>
        <v>6706.6831462043829</v>
      </c>
      <c r="F272" s="3"/>
      <c r="G272" s="3"/>
      <c r="H272" s="149">
        <f>+H226*H252/1000000</f>
        <v>4337.9240711087759</v>
      </c>
      <c r="I272" s="3"/>
      <c r="J272" s="149"/>
      <c r="K272" s="149"/>
      <c r="L272" s="149"/>
    </row>
    <row r="273" spans="1:12" x14ac:dyDescent="0.2">
      <c r="A273" s="7"/>
      <c r="B273" s="77" t="s">
        <v>73</v>
      </c>
      <c r="C273" s="3"/>
      <c r="D273" s="3"/>
      <c r="E273" s="149">
        <f>+E227*E253/1000000</f>
        <v>6692.6239905549237</v>
      </c>
      <c r="H273" s="149">
        <f>+H227*H253/1000000</f>
        <v>3310.5878747439583</v>
      </c>
      <c r="J273" s="149"/>
      <c r="K273" s="149"/>
      <c r="L273" s="149"/>
    </row>
    <row r="274" spans="1:12" x14ac:dyDescent="0.2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x14ac:dyDescent="0.2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s="5" t="s">
        <v>25</v>
      </c>
      <c r="D276"/>
      <c r="E276" s="3">
        <f>SUM(E265:E269)</f>
        <v>6673.762586815159</v>
      </c>
      <c r="F276" s="3">
        <f>SUM(F265:F269)</f>
        <v>313319.53457919293</v>
      </c>
      <c r="G276" s="3">
        <f>SUM(G265:G269)</f>
        <v>186555.5613101745</v>
      </c>
      <c r="H276" s="3">
        <f>SUM(H265:H269)</f>
        <v>3084.3896743905179</v>
      </c>
      <c r="I276" s="3">
        <f>SUM(I265:I269)</f>
        <v>2338.068592666054</v>
      </c>
      <c r="J276" s="151">
        <f>SUM(E276:I276)</f>
        <v>511971.31674323912</v>
      </c>
      <c r="K276"/>
      <c r="L276"/>
    </row>
    <row r="277" spans="1:12" x14ac:dyDescent="0.2">
      <c r="A277" s="7"/>
      <c r="B277" s="5" t="s">
        <v>26</v>
      </c>
      <c r="D277"/>
      <c r="E277" s="3">
        <f>SUM(E271:E273)</f>
        <v>13782.645839398992</v>
      </c>
      <c r="F277" s="3">
        <f>SUM(F271:F273)</f>
        <v>468301.40203639452</v>
      </c>
      <c r="G277" s="3">
        <f>SUM(G271:G273)</f>
        <v>330931.68512694625</v>
      </c>
      <c r="H277" s="3">
        <f>SUM(H271:H273)</f>
        <v>7648.5119458527342</v>
      </c>
      <c r="I277" s="3">
        <f>SUM(I271:I273)</f>
        <v>4696.8008071659297</v>
      </c>
      <c r="J277" s="151">
        <f>SUM(E277:I277)</f>
        <v>825361.04575575842</v>
      </c>
      <c r="K277"/>
      <c r="L277"/>
    </row>
    <row r="278" spans="1:12" x14ac:dyDescent="0.2">
      <c r="A278" s="7"/>
      <c r="B278" s="5" t="s">
        <v>13</v>
      </c>
      <c r="D278"/>
      <c r="E278" s="3">
        <f>SUM(E276:E277)</f>
        <v>20456.408426214151</v>
      </c>
      <c r="F278" s="3">
        <f>SUM(F276:F277)</f>
        <v>781620.93661558744</v>
      </c>
      <c r="G278" s="3">
        <f>SUM(G276:G277)</f>
        <v>517487.24643712072</v>
      </c>
      <c r="H278" s="3">
        <f>SUM(H276:H277)</f>
        <v>10732.901620243252</v>
      </c>
      <c r="I278" s="3">
        <f>SUM(I276:I277)</f>
        <v>7034.8693998319832</v>
      </c>
      <c r="J278" s="3">
        <f>SUM(E278:I278)</f>
        <v>1337332.3624989977</v>
      </c>
      <c r="L278"/>
    </row>
    <row r="279" spans="1:12" x14ac:dyDescent="0.2">
      <c r="A279" s="7"/>
      <c r="B279"/>
      <c r="C279"/>
      <c r="D279"/>
      <c r="E279"/>
      <c r="F279"/>
      <c r="G279"/>
      <c r="H279"/>
      <c r="J279"/>
      <c r="L279"/>
    </row>
    <row r="280" spans="1:12" x14ac:dyDescent="0.2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x14ac:dyDescent="0.2">
      <c r="A281" s="7"/>
      <c r="B281" s="5" t="s">
        <v>25</v>
      </c>
      <c r="C281"/>
      <c r="D281"/>
      <c r="E281" s="150">
        <f t="shared" ref="E281:J281" si="12">+E276/E278</f>
        <v>0.32624312380578852</v>
      </c>
      <c r="F281" s="150">
        <f t="shared" si="12"/>
        <v>0.40085867701531136</v>
      </c>
      <c r="G281" s="150">
        <f t="shared" si="12"/>
        <v>0.36050272271365563</v>
      </c>
      <c r="H281" s="150">
        <f t="shared" si="12"/>
        <v>0.2873770564125056</v>
      </c>
      <c r="I281" s="150">
        <f t="shared" si="12"/>
        <v>0.33235422859760483</v>
      </c>
      <c r="J281" s="150">
        <f t="shared" si="12"/>
        <v>0.38283027547957271</v>
      </c>
      <c r="L281"/>
    </row>
    <row r="282" spans="1:12" x14ac:dyDescent="0.2">
      <c r="A282" s="7"/>
      <c r="B282" s="5" t="s">
        <v>26</v>
      </c>
      <c r="C282"/>
      <c r="D282"/>
      <c r="E282" s="150">
        <f t="shared" ref="E282:J282" si="13">+E277/E278</f>
        <v>0.67375687619421143</v>
      </c>
      <c r="F282" s="150">
        <f t="shared" si="13"/>
        <v>0.59914132298468858</v>
      </c>
      <c r="G282" s="150">
        <f t="shared" si="13"/>
        <v>0.63949727728634442</v>
      </c>
      <c r="H282" s="150">
        <f t="shared" si="13"/>
        <v>0.71262294358749434</v>
      </c>
      <c r="I282" s="150">
        <f t="shared" si="13"/>
        <v>0.66764577140239523</v>
      </c>
      <c r="J282" s="150">
        <f t="shared" si="13"/>
        <v>0.61716972452042718</v>
      </c>
      <c r="L282"/>
    </row>
    <row r="283" spans="1:12" x14ac:dyDescent="0.2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75" x14ac:dyDescent="0.25">
      <c r="A285" s="22"/>
      <c r="B285" s="414" t="str">
        <f>$B$1</f>
        <v xml:space="preserve">Jersey Central Power &amp; Light </v>
      </c>
      <c r="C285" s="414"/>
      <c r="D285" s="414"/>
      <c r="E285" s="414"/>
      <c r="F285" s="414"/>
      <c r="G285" s="414"/>
      <c r="H285" s="414"/>
      <c r="I285" s="414"/>
      <c r="J285" s="414"/>
      <c r="K285" s="414"/>
      <c r="L285" s="414"/>
    </row>
    <row r="286" spans="1:12" ht="15.75" x14ac:dyDescent="0.25">
      <c r="A286" s="22"/>
      <c r="B286" s="414" t="str">
        <f>$B$2</f>
        <v>Attachment 2</v>
      </c>
      <c r="C286" s="414"/>
      <c r="D286" s="414"/>
      <c r="E286" s="414"/>
      <c r="F286" s="414"/>
      <c r="G286" s="414"/>
      <c r="H286" s="414"/>
      <c r="I286" s="414"/>
      <c r="J286" s="414"/>
      <c r="K286" s="414"/>
      <c r="L286" s="414"/>
    </row>
    <row r="287" spans="1:12" x14ac:dyDescent="0.2">
      <c r="A287" s="7"/>
      <c r="B287" s="5"/>
      <c r="C287"/>
      <c r="D287"/>
      <c r="E287" s="150"/>
      <c r="F287" s="150"/>
      <c r="G287" s="150"/>
      <c r="H287" s="150"/>
      <c r="I287" s="150"/>
      <c r="J287" s="150"/>
      <c r="L287"/>
    </row>
    <row r="288" spans="1:12" x14ac:dyDescent="0.2">
      <c r="A288" s="6" t="s">
        <v>138</v>
      </c>
      <c r="B288" s="1" t="s">
        <v>247</v>
      </c>
      <c r="C288"/>
      <c r="D288"/>
      <c r="E288"/>
      <c r="G288" s="81"/>
      <c r="J288"/>
      <c r="L288"/>
    </row>
    <row r="289" spans="1:12" x14ac:dyDescent="0.2">
      <c r="A289" s="7"/>
      <c r="C289" s="74"/>
      <c r="D289" s="74"/>
      <c r="J289"/>
      <c r="L289"/>
    </row>
    <row r="290" spans="1:12" x14ac:dyDescent="0.2">
      <c r="A290" s="7"/>
      <c r="B290" s="16" t="s">
        <v>232</v>
      </c>
      <c r="C290" s="74"/>
      <c r="D290" s="74"/>
      <c r="J290"/>
      <c r="L290"/>
    </row>
    <row r="291" spans="1:12" x14ac:dyDescent="0.2">
      <c r="A291" s="7"/>
      <c r="B291" s="89" t="s">
        <v>103</v>
      </c>
      <c r="C291" s="144">
        <f>J278</f>
        <v>1337332.3624989977</v>
      </c>
      <c r="J291"/>
      <c r="L291"/>
    </row>
    <row r="292" spans="1:12" x14ac:dyDescent="0.2">
      <c r="A292" s="7"/>
      <c r="B292" s="16"/>
      <c r="C292" s="144"/>
      <c r="J292"/>
      <c r="L292"/>
    </row>
    <row r="293" spans="1:12" x14ac:dyDescent="0.2">
      <c r="A293" s="7"/>
      <c r="B293" s="16" t="s">
        <v>230</v>
      </c>
      <c r="C293" s="144"/>
      <c r="E293" s="26" t="str">
        <f>+E$13</f>
        <v>RT{1}</v>
      </c>
      <c r="F293" s="26" t="str">
        <f>+F$13</f>
        <v>RS{2}</v>
      </c>
      <c r="G293" s="26" t="str">
        <f>+G$13</f>
        <v>GS{3}</v>
      </c>
      <c r="H293" s="155" t="str">
        <f>+H$58</f>
        <v>GST {4}</v>
      </c>
      <c r="I293" s="26" t="str">
        <f>+I$13</f>
        <v>OL/SL</v>
      </c>
      <c r="J293" s="2" t="s">
        <v>13</v>
      </c>
      <c r="L293"/>
    </row>
    <row r="294" spans="1:12" x14ac:dyDescent="0.2">
      <c r="A294" s="7"/>
      <c r="B294" s="21" t="s">
        <v>25</v>
      </c>
      <c r="C294" s="144"/>
      <c r="E294" s="161">
        <f>ROUND(SUM(E65:E68)*E95,0)</f>
        <v>81319</v>
      </c>
      <c r="F294" s="161">
        <f>ROUND(SUM(F65:F68)*F95,0)</f>
        <v>4114217</v>
      </c>
      <c r="G294" s="161">
        <f>ROUND(SUM(G65:G68)*G95,0)</f>
        <v>2361811</v>
      </c>
      <c r="H294" s="161">
        <f>ROUND(SUM(H65:H68)*H95,0)</f>
        <v>35816</v>
      </c>
      <c r="I294" s="161">
        <f>ROUND(SUM(I65:I68)*I95,0)</f>
        <v>42886</v>
      </c>
      <c r="J294" s="161">
        <f>SUM(E294:I294)</f>
        <v>6636049</v>
      </c>
      <c r="L294"/>
    </row>
    <row r="295" spans="1:12" x14ac:dyDescent="0.2">
      <c r="A295" s="7"/>
      <c r="B295" s="12" t="s">
        <v>26</v>
      </c>
      <c r="C295" s="144"/>
      <c r="E295" s="161">
        <f>ROUND((E72-SUM(E65:E68))*E95,0)</f>
        <v>174212</v>
      </c>
      <c r="F295" s="161">
        <f>ROUND((F72-SUM(F65:F68))*F95,0)</f>
        <v>6048611</v>
      </c>
      <c r="G295" s="161">
        <f>ROUND((G72-SUM(G65:G68))*G95,0)</f>
        <v>4292396</v>
      </c>
      <c r="H295" s="161">
        <f>ROUND((H72-SUM(H65:H68))*H95,0)</f>
        <v>97138</v>
      </c>
      <c r="I295" s="161">
        <f>ROUND((I72-SUM(I65:I68))*I95,0)</f>
        <v>85773</v>
      </c>
      <c r="J295" s="161">
        <f>SUM(E295:I295)</f>
        <v>10698130</v>
      </c>
      <c r="L295"/>
    </row>
    <row r="296" spans="1:12" x14ac:dyDescent="0.2">
      <c r="A296" s="7"/>
      <c r="C296" s="89"/>
      <c r="D296" s="145"/>
      <c r="J296" s="4"/>
      <c r="L296"/>
    </row>
    <row r="297" spans="1:12" x14ac:dyDescent="0.2">
      <c r="A297" s="7"/>
      <c r="B297" s="16" t="s">
        <v>233</v>
      </c>
      <c r="C297" s="89"/>
      <c r="D297" s="160" t="s">
        <v>221</v>
      </c>
      <c r="E297" s="133" t="s">
        <v>227</v>
      </c>
      <c r="J297"/>
      <c r="L297"/>
    </row>
    <row r="298" spans="1:12" x14ac:dyDescent="0.2">
      <c r="A298" s="7"/>
      <c r="B298" s="279" t="s">
        <v>319</v>
      </c>
      <c r="D298" s="38" t="s">
        <v>224</v>
      </c>
      <c r="E298" s="406">
        <v>77.150000000000006</v>
      </c>
      <c r="F298" s="38" t="s">
        <v>229</v>
      </c>
      <c r="G298" s="38" t="s">
        <v>231</v>
      </c>
      <c r="J298"/>
      <c r="L298"/>
    </row>
    <row r="299" spans="1:12" x14ac:dyDescent="0.2">
      <c r="A299" s="7"/>
      <c r="B299" s="13" t="s">
        <v>226</v>
      </c>
      <c r="C299" s="89"/>
      <c r="D299" s="167">
        <v>1</v>
      </c>
      <c r="E299" s="301">
        <f>ROUND($E$298*D299,3)</f>
        <v>77.150000000000006</v>
      </c>
      <c r="F299" s="55">
        <f>J294</f>
        <v>6636049</v>
      </c>
      <c r="G299" s="144">
        <f>ROUND(F299*E299/1000,0)</f>
        <v>511971</v>
      </c>
      <c r="J299"/>
      <c r="L299"/>
    </row>
    <row r="300" spans="1:12" ht="15" x14ac:dyDescent="0.35">
      <c r="A300" s="7"/>
      <c r="B300" s="13" t="s">
        <v>228</v>
      </c>
      <c r="C300" s="89"/>
      <c r="D300" s="167">
        <v>1</v>
      </c>
      <c r="E300" s="301">
        <f>ROUND($E$298*D300,3)</f>
        <v>77.150000000000006</v>
      </c>
      <c r="F300" s="55">
        <f>J295</f>
        <v>10698130</v>
      </c>
      <c r="G300" s="85">
        <f>ROUND(F300*E300/1000,0)</f>
        <v>825361</v>
      </c>
      <c r="J300"/>
      <c r="L300"/>
    </row>
    <row r="301" spans="1:12" x14ac:dyDescent="0.2">
      <c r="A301" s="7"/>
      <c r="B301" s="13" t="s">
        <v>234</v>
      </c>
      <c r="C301" s="89"/>
      <c r="D301" s="145"/>
      <c r="G301" s="81">
        <f>SUM(G299:G300)</f>
        <v>1337332</v>
      </c>
      <c r="J301"/>
      <c r="L301"/>
    </row>
    <row r="302" spans="1:12" x14ac:dyDescent="0.2">
      <c r="A302" s="7"/>
      <c r="C302" s="89"/>
      <c r="D302" s="145"/>
      <c r="J302"/>
      <c r="L302"/>
    </row>
    <row r="303" spans="1:12" x14ac:dyDescent="0.2">
      <c r="A303" s="7"/>
      <c r="C303" s="89"/>
      <c r="D303" s="145"/>
      <c r="J303"/>
      <c r="L303"/>
    </row>
    <row r="304" spans="1:12" x14ac:dyDescent="0.2">
      <c r="A304" s="6" t="s">
        <v>242</v>
      </c>
      <c r="B304" s="1" t="s">
        <v>235</v>
      </c>
      <c r="C304" s="89"/>
      <c r="D304" s="145"/>
      <c r="F304" s="5" t="s">
        <v>221</v>
      </c>
      <c r="G304" s="5" t="s">
        <v>223</v>
      </c>
      <c r="H304" s="71"/>
      <c r="I304"/>
    </row>
    <row r="305" spans="1:15" x14ac:dyDescent="0.2">
      <c r="A305" s="7"/>
      <c r="B305"/>
      <c r="C305"/>
      <c r="D305"/>
      <c r="E305"/>
      <c r="F305" s="5" t="s">
        <v>237</v>
      </c>
      <c r="G305" s="5" t="s">
        <v>224</v>
      </c>
      <c r="H305" s="5" t="s">
        <v>223</v>
      </c>
      <c r="I305"/>
    </row>
    <row r="306" spans="1:15" x14ac:dyDescent="0.2">
      <c r="A306" s="7"/>
      <c r="B306" t="s">
        <v>236</v>
      </c>
      <c r="C306"/>
      <c r="D306"/>
      <c r="E306"/>
      <c r="F306" s="8" t="s">
        <v>231</v>
      </c>
      <c r="G306" s="8" t="s">
        <v>225</v>
      </c>
      <c r="H306" s="8" t="s">
        <v>224</v>
      </c>
      <c r="I306" s="10"/>
    </row>
    <row r="307" spans="1:15" x14ac:dyDescent="0.2">
      <c r="A307" s="7"/>
      <c r="B307" s="5" t="s">
        <v>25</v>
      </c>
      <c r="C307" s="302">
        <f>J276*1000/J294</f>
        <v>77.150020553380344</v>
      </c>
      <c r="D307" t="s">
        <v>137</v>
      </c>
      <c r="E307"/>
      <c r="F307" s="274">
        <f>E299</f>
        <v>77.150000000000006</v>
      </c>
      <c r="G307" s="159">
        <f>E299/C307</f>
        <v>0.99999973359203032</v>
      </c>
      <c r="H307" s="297">
        <v>1.386468</v>
      </c>
      <c r="M307" s="173"/>
    </row>
    <row r="308" spans="1:15" x14ac:dyDescent="0.2">
      <c r="A308" s="7"/>
      <c r="B308" s="5" t="s">
        <v>26</v>
      </c>
      <c r="C308" s="302">
        <f>J277*1000/J295</f>
        <v>77.150029561779334</v>
      </c>
      <c r="D308" t="s">
        <v>137</v>
      </c>
      <c r="E308"/>
      <c r="F308" s="274">
        <f>E300</f>
        <v>77.150000000000006</v>
      </c>
      <c r="G308" s="159">
        <f>E300/C308</f>
        <v>0.99999961682737526</v>
      </c>
      <c r="H308" s="297">
        <v>1.1389480000000001</v>
      </c>
      <c r="M308" s="173"/>
    </row>
    <row r="309" spans="1:15" x14ac:dyDescent="0.2">
      <c r="A309" s="7"/>
      <c r="B309" s="5"/>
      <c r="C309" s="152"/>
      <c r="D309"/>
      <c r="E309"/>
      <c r="F309"/>
      <c r="G309"/>
      <c r="H309" s="2"/>
      <c r="I309" s="104"/>
      <c r="M309" s="16"/>
      <c r="N309" s="104"/>
      <c r="O309" s="104"/>
    </row>
    <row r="310" spans="1:15" x14ac:dyDescent="0.2">
      <c r="A310" s="7"/>
      <c r="B310"/>
      <c r="C310"/>
      <c r="D310"/>
      <c r="E310" s="137"/>
      <c r="F310" s="4"/>
      <c r="G310"/>
      <c r="H310"/>
      <c r="I310"/>
      <c r="J310"/>
      <c r="K310"/>
      <c r="L310"/>
    </row>
    <row r="311" spans="1:15" x14ac:dyDescent="0.2">
      <c r="A311" s="16" t="s">
        <v>108</v>
      </c>
      <c r="E311" s="98"/>
      <c r="F311" s="101"/>
      <c r="I311"/>
      <c r="J311"/>
      <c r="K311"/>
      <c r="L311"/>
    </row>
    <row r="312" spans="1:15" x14ac:dyDescent="0.2">
      <c r="A312" s="22"/>
      <c r="B312" s="89" t="s">
        <v>132</v>
      </c>
      <c r="C312" s="102">
        <f>E179</f>
        <v>131.75399999999999</v>
      </c>
      <c r="D312" s="93" t="s">
        <v>160</v>
      </c>
      <c r="E312" s="98"/>
      <c r="F312" s="101"/>
      <c r="I312"/>
      <c r="J312"/>
      <c r="K312"/>
      <c r="L312"/>
    </row>
    <row r="313" spans="1:15" x14ac:dyDescent="0.2">
      <c r="A313" s="22"/>
      <c r="B313" s="89"/>
      <c r="C313" s="102">
        <f>E180</f>
        <v>131.75399999999999</v>
      </c>
      <c r="D313" s="93" t="s">
        <v>161</v>
      </c>
      <c r="E313" s="98"/>
      <c r="F313" s="101"/>
      <c r="I313"/>
      <c r="J313"/>
      <c r="K313"/>
      <c r="L313"/>
    </row>
    <row r="314" spans="1:15" x14ac:dyDescent="0.2">
      <c r="A314" s="22"/>
      <c r="B314" s="89" t="s">
        <v>159</v>
      </c>
      <c r="C314" s="81" t="s">
        <v>158</v>
      </c>
      <c r="D314" s="93"/>
      <c r="E314" s="98"/>
      <c r="F314" s="101"/>
      <c r="I314"/>
      <c r="J314"/>
      <c r="K314"/>
      <c r="L314"/>
    </row>
    <row r="315" spans="1:15" x14ac:dyDescent="0.2">
      <c r="A315" s="22"/>
      <c r="B315" s="89" t="s">
        <v>109</v>
      </c>
      <c r="C315" s="148">
        <f>+H173</f>
        <v>4</v>
      </c>
      <c r="D315" s="13" t="s">
        <v>110</v>
      </c>
      <c r="E315" s="98"/>
      <c r="F315" s="101"/>
      <c r="I315"/>
      <c r="J315"/>
      <c r="K315"/>
      <c r="L315"/>
    </row>
    <row r="316" spans="1:15" x14ac:dyDescent="0.2">
      <c r="A316" s="22"/>
      <c r="B316" s="89"/>
      <c r="C316" s="148">
        <f>+H174</f>
        <v>8</v>
      </c>
      <c r="D316" s="13" t="s">
        <v>111</v>
      </c>
      <c r="E316" s="98"/>
      <c r="F316" s="101"/>
      <c r="I316"/>
      <c r="J316"/>
      <c r="K316"/>
      <c r="L316"/>
    </row>
    <row r="317" spans="1:15" x14ac:dyDescent="0.2">
      <c r="A317" s="22"/>
      <c r="B317" s="89" t="s">
        <v>112</v>
      </c>
      <c r="C317" s="102">
        <f>+E193</f>
        <v>19.408000000000001</v>
      </c>
      <c r="D317" s="13" t="s">
        <v>113</v>
      </c>
      <c r="E317" s="98"/>
      <c r="F317" s="101"/>
      <c r="I317"/>
      <c r="J317"/>
      <c r="K317"/>
      <c r="L317"/>
    </row>
    <row r="318" spans="1:15" x14ac:dyDescent="0.2">
      <c r="A318" s="22"/>
      <c r="B318" s="89" t="s">
        <v>114</v>
      </c>
      <c r="C318" s="21" t="s">
        <v>250</v>
      </c>
      <c r="E318" s="98"/>
      <c r="F318" s="101"/>
      <c r="I318"/>
      <c r="J318"/>
      <c r="K318"/>
      <c r="L318"/>
    </row>
    <row r="319" spans="1:15" x14ac:dyDescent="0.2">
      <c r="A319" s="22"/>
      <c r="B319" s="89"/>
      <c r="C319" s="319" t="s">
        <v>327</v>
      </c>
      <c r="E319" s="98"/>
      <c r="F319" s="101"/>
      <c r="I319"/>
      <c r="J319"/>
      <c r="K319"/>
      <c r="L319"/>
    </row>
    <row r="320" spans="1:15" x14ac:dyDescent="0.2">
      <c r="A320" s="22"/>
      <c r="B320" s="89" t="s">
        <v>115</v>
      </c>
      <c r="C320" s="12" t="str">
        <f>'BGS PTY18 Cost Alloc'!C$316</f>
        <v xml:space="preserve"> forecasted 2019 energy use by class based upon PJM on/off % from 2016 through 2018 class load profiles</v>
      </c>
      <c r="E320" s="98"/>
      <c r="F320" s="101"/>
      <c r="I320"/>
      <c r="J320"/>
      <c r="K320"/>
      <c r="L320"/>
    </row>
    <row r="321" spans="1:12" x14ac:dyDescent="0.2">
      <c r="A321" s="22"/>
      <c r="B321" s="89"/>
      <c r="C321" s="12" t="str">
        <f>'BGS PTY18 Cost Alloc'!C$317</f>
        <v xml:space="preserve">   JCP&amp;L billing on/off % from 2019 forecasted billing determinants</v>
      </c>
      <c r="E321" s="98"/>
      <c r="F321" s="101"/>
      <c r="I321"/>
      <c r="J321"/>
      <c r="K321"/>
      <c r="L321"/>
    </row>
    <row r="322" spans="1:12" x14ac:dyDescent="0.2">
      <c r="A322" s="22"/>
      <c r="B322" s="89" t="s">
        <v>116</v>
      </c>
      <c r="C322" s="12" t="str">
        <f>'BGS PTY18 Cost Alloc'!C$318</f>
        <v xml:space="preserve"> class totals for 2019 excluding accounts required to take service under BGS-CIEP as of June 1, 2020</v>
      </c>
      <c r="E322" s="98"/>
      <c r="F322" s="101"/>
      <c r="I322"/>
      <c r="J322"/>
      <c r="K322"/>
      <c r="L322"/>
    </row>
    <row r="323" spans="1:12" x14ac:dyDescent="0.2">
      <c r="A323" s="22"/>
      <c r="B323" s="89" t="s">
        <v>117</v>
      </c>
      <c r="C323" s="13" t="s">
        <v>166</v>
      </c>
      <c r="E323" s="98"/>
      <c r="F323" s="101"/>
      <c r="I323"/>
      <c r="J323"/>
      <c r="K323"/>
      <c r="L323"/>
    </row>
    <row r="324" spans="1:12" x14ac:dyDescent="0.2">
      <c r="A324" s="22"/>
      <c r="B324" s="89" t="s">
        <v>118</v>
      </c>
      <c r="C324" s="13" t="s">
        <v>214</v>
      </c>
      <c r="E324" s="100"/>
      <c r="F324" s="101"/>
      <c r="I324"/>
      <c r="J324"/>
      <c r="K324"/>
      <c r="L324"/>
    </row>
    <row r="325" spans="1:12" x14ac:dyDescent="0.2">
      <c r="C325" s="13" t="s">
        <v>119</v>
      </c>
      <c r="E325" s="98"/>
      <c r="F325" s="101"/>
      <c r="I325"/>
      <c r="J325"/>
      <c r="K325"/>
      <c r="L325"/>
    </row>
    <row r="326" spans="1:12" x14ac:dyDescent="0.2">
      <c r="B326" s="89" t="s">
        <v>120</v>
      </c>
      <c r="C326" s="103" t="s">
        <v>189</v>
      </c>
      <c r="E326" s="98"/>
      <c r="F326" s="101"/>
      <c r="I326"/>
      <c r="J326"/>
      <c r="K326"/>
      <c r="L326"/>
    </row>
    <row r="327" spans="1:12" x14ac:dyDescent="0.2">
      <c r="A327" s="22"/>
      <c r="C327" s="103" t="s">
        <v>121</v>
      </c>
      <c r="E327" s="99"/>
      <c r="I327"/>
      <c r="J327"/>
      <c r="K327"/>
      <c r="L327"/>
    </row>
    <row r="328" spans="1:12" x14ac:dyDescent="0.2">
      <c r="C328" s="103" t="s">
        <v>188</v>
      </c>
      <c r="I328"/>
      <c r="J328"/>
      <c r="K328"/>
      <c r="L328"/>
    </row>
    <row r="329" spans="1:12" x14ac:dyDescent="0.2">
      <c r="A329" s="7"/>
      <c r="B329" s="368" t="s">
        <v>302</v>
      </c>
      <c r="C329" s="369" t="s">
        <v>303</v>
      </c>
      <c r="D329"/>
      <c r="E329" s="137"/>
      <c r="F329" s="4"/>
      <c r="G329"/>
      <c r="H329"/>
      <c r="I329"/>
      <c r="J329"/>
      <c r="K329"/>
      <c r="L329"/>
    </row>
    <row r="330" spans="1:12" x14ac:dyDescent="0.2">
      <c r="A330" s="7"/>
      <c r="B330" t="str">
        <f>'BGS PTY18 Cost Alloc'!B327</f>
        <v xml:space="preserve"> </v>
      </c>
      <c r="C330" s="9"/>
      <c r="D330"/>
      <c r="E330" s="137"/>
      <c r="F330" s="137"/>
      <c r="G330"/>
      <c r="H330"/>
      <c r="I330"/>
      <c r="J330"/>
      <c r="K330"/>
      <c r="L330"/>
    </row>
    <row r="335" spans="1:12" x14ac:dyDescent="0.2">
      <c r="L335" s="144"/>
    </row>
    <row r="344" spans="12:12" x14ac:dyDescent="0.2">
      <c r="L344" s="144"/>
    </row>
    <row r="345" spans="12:12" x14ac:dyDescent="0.2">
      <c r="L345" s="144"/>
    </row>
    <row r="346" spans="12:12" x14ac:dyDescent="0.2">
      <c r="L346" s="144"/>
    </row>
    <row r="347" spans="12:12" x14ac:dyDescent="0.2">
      <c r="L347" s="139"/>
    </row>
    <row r="348" spans="12:12" x14ac:dyDescent="0.2">
      <c r="L348" s="139"/>
    </row>
    <row r="349" spans="12:12" x14ac:dyDescent="0.2">
      <c r="L349" s="139"/>
    </row>
  </sheetData>
  <sheetProtection password="E165" sheet="1" objects="1" scenarios="1"/>
  <mergeCells count="16"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  <mergeCell ref="B144:L144"/>
    <mergeCell ref="B285:L285"/>
    <mergeCell ref="B286:L286"/>
    <mergeCell ref="B238:L238"/>
    <mergeCell ref="B239:L239"/>
    <mergeCell ref="B208:L208"/>
    <mergeCell ref="B209:L209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 &amp;A&amp;CPage &amp;P of &amp;N</oddFooter>
  </headerFooter>
  <rowBreaks count="6" manualBreakCount="6">
    <brk id="51" max="9" man="1"/>
    <brk id="102" max="9" man="1"/>
    <brk id="142" max="9" man="1"/>
    <brk id="207" max="9" man="1"/>
    <brk id="237" max="9" man="1"/>
    <brk id="284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Y327"/>
  <sheetViews>
    <sheetView view="pageBreakPreview" zoomScale="80" zoomScaleNormal="60" zoomScaleSheetLayoutView="8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4.5703125" style="13" customWidth="1"/>
    <col min="4" max="4" width="12.5703125" style="13" customWidth="1"/>
    <col min="5" max="5" width="14.42578125" style="13" customWidth="1"/>
    <col min="6" max="7" width="16.140625" style="13" customWidth="1"/>
    <col min="8" max="8" width="15.140625" style="13" customWidth="1"/>
    <col min="9" max="9" width="14.5703125" style="13" customWidth="1"/>
    <col min="10" max="10" width="15.42578125" style="13" customWidth="1"/>
    <col min="11" max="11" width="4.85546875" style="13" hidden="1" customWidth="1"/>
    <col min="12" max="12" width="6.5703125" style="13" hidden="1" customWidth="1"/>
    <col min="13" max="13" width="15.85546875" style="13" hidden="1" customWidth="1"/>
    <col min="14" max="14" width="18" style="13" hidden="1" customWidth="1"/>
    <col min="15" max="16" width="12.42578125" style="13" hidden="1" customWidth="1"/>
    <col min="17" max="17" width="15.5703125" style="13" hidden="1" customWidth="1"/>
    <col min="18" max="18" width="14.42578125" style="13" hidden="1" customWidth="1"/>
    <col min="19" max="19" width="14.85546875" style="13" hidden="1" customWidth="1"/>
    <col min="20" max="20" width="15.140625" style="13" hidden="1" customWidth="1"/>
    <col min="21" max="21" width="14.140625" style="13" hidden="1" customWidth="1"/>
    <col min="22" max="22" width="12.42578125" style="13" hidden="1" customWidth="1"/>
    <col min="23" max="23" width="13.42578125" style="13" hidden="1" customWidth="1"/>
    <col min="24" max="24" width="15.42578125" style="13" hidden="1" customWidth="1"/>
    <col min="25" max="25" width="12.85546875" style="13" hidden="1" customWidth="1"/>
    <col min="26" max="26" width="11.5703125" style="13" hidden="1" customWidth="1"/>
    <col min="27" max="27" width="12.5703125" style="13" hidden="1" customWidth="1"/>
    <col min="28" max="28" width="16.85546875" style="13" hidden="1" customWidth="1"/>
    <col min="29" max="29" width="15.5703125" style="13" hidden="1" customWidth="1"/>
    <col min="30" max="30" width="14.140625" style="13" hidden="1" customWidth="1"/>
    <col min="31" max="31" width="16.42578125" style="13" hidden="1" customWidth="1"/>
    <col min="32" max="32" width="9.140625" style="13" hidden="1" customWidth="1"/>
    <col min="33" max="33" width="12" style="13" hidden="1" customWidth="1"/>
    <col min="34" max="34" width="13.42578125" style="13" hidden="1" customWidth="1"/>
    <col min="35" max="35" width="9.140625" style="13" hidden="1" customWidth="1"/>
    <col min="36" max="36" width="11" style="13" hidden="1" customWidth="1"/>
    <col min="37" max="37" width="14.5703125" style="13" hidden="1" customWidth="1"/>
    <col min="38" max="38" width="12.42578125" style="13" customWidth="1"/>
    <col min="39" max="46" width="9.140625" style="13" customWidth="1"/>
    <col min="47" max="48" width="10.85546875" style="13" customWidth="1"/>
    <col min="49" max="49" width="12.42578125" style="13" customWidth="1"/>
    <col min="50" max="50" width="10.85546875" style="13" customWidth="1"/>
    <col min="51" max="51" width="11.42578125" style="13" customWidth="1"/>
    <col min="52" max="16384" width="9.140625" style="13"/>
  </cols>
  <sheetData>
    <row r="1" spans="1:26" ht="15.75" x14ac:dyDescent="0.25">
      <c r="B1" s="414" t="s">
        <v>69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26" ht="15.75" x14ac:dyDescent="0.25">
      <c r="B2" s="414" t="s">
        <v>187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26" ht="15.75" x14ac:dyDescent="0.25">
      <c r="B3" s="415" t="s">
        <v>311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2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26" ht="15.75" x14ac:dyDescent="0.25">
      <c r="B5" s="415" t="s">
        <v>312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8" spans="1:26" ht="15.75" x14ac:dyDescent="0.25">
      <c r="B8" s="14" t="s">
        <v>50</v>
      </c>
    </row>
    <row r="9" spans="1:26" x14ac:dyDescent="0.2">
      <c r="A9" s="15"/>
      <c r="B9" s="16" t="s">
        <v>45</v>
      </c>
    </row>
    <row r="10" spans="1:26" x14ac:dyDescent="0.2">
      <c r="E10" s="17" t="s">
        <v>315</v>
      </c>
      <c r="F10" s="90"/>
      <c r="G10" s="90"/>
      <c r="H10" s="90"/>
    </row>
    <row r="11" spans="1:26" x14ac:dyDescent="0.2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5.5" x14ac:dyDescent="0.2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22"/>
      <c r="B15" s="28" t="s">
        <v>1</v>
      </c>
      <c r="C15" s="29"/>
      <c r="D15" s="29"/>
      <c r="E15" s="312">
        <v>0.45929999999999999</v>
      </c>
      <c r="F15" s="312">
        <v>0.48399999999999999</v>
      </c>
      <c r="G15" s="312">
        <v>0.5494</v>
      </c>
      <c r="H15" s="312">
        <v>0.53139999999999998</v>
      </c>
      <c r="I15" s="312">
        <v>0.31530000000000002</v>
      </c>
      <c r="J15" s="29"/>
      <c r="K15" s="29"/>
      <c r="L15" s="30"/>
      <c r="M15" s="30"/>
      <c r="N15" s="31"/>
      <c r="O15" s="32"/>
      <c r="P15" s="32"/>
      <c r="Q15" s="32">
        <f t="shared" ref="Q15:Q26" si="0">1-E15</f>
        <v>0.54069999999999996</v>
      </c>
      <c r="R15" s="32">
        <f t="shared" ref="R15:R26" si="1">1-F15</f>
        <v>0.51600000000000001</v>
      </c>
      <c r="S15" s="32">
        <f t="shared" ref="S15:S26" si="2">1-G15</f>
        <v>0.4506</v>
      </c>
      <c r="T15" s="32">
        <f t="shared" ref="T15:T26" si="3">1-H15</f>
        <v>0.46860000000000002</v>
      </c>
      <c r="U15" s="32">
        <f t="shared" ref="U15:U26" si="4">1-I15</f>
        <v>0.68469999999999998</v>
      </c>
      <c r="V15" s="32"/>
      <c r="W15" s="32"/>
      <c r="X15" s="32"/>
      <c r="Y15" s="32"/>
      <c r="Z15" s="32"/>
    </row>
    <row r="16" spans="1:26" x14ac:dyDescent="0.2">
      <c r="A16" s="22"/>
      <c r="B16" s="28" t="s">
        <v>2</v>
      </c>
      <c r="C16" s="29"/>
      <c r="D16" s="29"/>
      <c r="E16" s="312">
        <v>0.48209999999999997</v>
      </c>
      <c r="F16" s="312">
        <v>0.5091</v>
      </c>
      <c r="G16" s="312">
        <v>0.57879999999999998</v>
      </c>
      <c r="H16" s="312">
        <v>0.55940000000000001</v>
      </c>
      <c r="I16" s="312">
        <v>0.31190000000000001</v>
      </c>
      <c r="J16" s="29"/>
      <c r="K16" s="29"/>
      <c r="L16" s="30"/>
      <c r="M16" s="30"/>
      <c r="N16" s="31"/>
      <c r="O16" s="32"/>
      <c r="P16" s="32"/>
      <c r="Q16" s="32">
        <f t="shared" si="0"/>
        <v>0.51790000000000003</v>
      </c>
      <c r="R16" s="32">
        <f t="shared" si="1"/>
        <v>0.4909</v>
      </c>
      <c r="S16" s="32">
        <f t="shared" si="2"/>
        <v>0.42120000000000002</v>
      </c>
      <c r="T16" s="32">
        <f t="shared" si="3"/>
        <v>0.44059999999999999</v>
      </c>
      <c r="U16" s="32">
        <f t="shared" si="4"/>
        <v>0.68809999999999993</v>
      </c>
      <c r="V16" s="32"/>
      <c r="W16" s="32"/>
      <c r="X16" s="32"/>
      <c r="Y16" s="32"/>
      <c r="Z16" s="32"/>
    </row>
    <row r="17" spans="1:26" x14ac:dyDescent="0.2">
      <c r="A17" s="22"/>
      <c r="B17" s="28" t="s">
        <v>3</v>
      </c>
      <c r="C17" s="29"/>
      <c r="D17" s="29"/>
      <c r="E17" s="312">
        <v>0.48880000000000001</v>
      </c>
      <c r="F17" s="312">
        <v>0.52029999999999998</v>
      </c>
      <c r="G17" s="312">
        <v>0.60470000000000002</v>
      </c>
      <c r="H17" s="312">
        <v>0.56799999999999995</v>
      </c>
      <c r="I17" s="312">
        <v>0.30640000000000001</v>
      </c>
      <c r="J17" s="29"/>
      <c r="K17" s="29"/>
      <c r="L17" s="30"/>
      <c r="M17" s="30"/>
      <c r="N17" s="31"/>
      <c r="O17" s="32"/>
      <c r="P17" s="32"/>
      <c r="Q17" s="32">
        <f t="shared" si="0"/>
        <v>0.51119999999999999</v>
      </c>
      <c r="R17" s="32">
        <f t="shared" si="1"/>
        <v>0.47970000000000002</v>
      </c>
      <c r="S17" s="32">
        <f t="shared" si="2"/>
        <v>0.39529999999999998</v>
      </c>
      <c r="T17" s="32">
        <f t="shared" si="3"/>
        <v>0.43200000000000005</v>
      </c>
      <c r="U17" s="32">
        <f t="shared" si="4"/>
        <v>0.69359999999999999</v>
      </c>
      <c r="V17" s="32"/>
      <c r="W17" s="32"/>
      <c r="X17" s="32"/>
      <c r="Y17" s="32"/>
      <c r="Z17" s="32"/>
    </row>
    <row r="18" spans="1:26" x14ac:dyDescent="0.2">
      <c r="A18" s="22"/>
      <c r="B18" s="28" t="s">
        <v>4</v>
      </c>
      <c r="C18" s="29"/>
      <c r="D18" s="29"/>
      <c r="E18" s="312">
        <v>0.4703</v>
      </c>
      <c r="F18" s="312">
        <v>0.4904</v>
      </c>
      <c r="G18" s="312">
        <v>0.58179999999999998</v>
      </c>
      <c r="H18" s="312">
        <v>0.55269999999999997</v>
      </c>
      <c r="I18" s="312">
        <v>0.27760000000000001</v>
      </c>
      <c r="J18" s="29"/>
      <c r="K18" s="29"/>
      <c r="L18" s="30"/>
      <c r="M18" s="30"/>
      <c r="N18" s="31"/>
      <c r="O18" s="32"/>
      <c r="P18" s="32"/>
      <c r="Q18" s="32">
        <f t="shared" si="0"/>
        <v>0.52970000000000006</v>
      </c>
      <c r="R18" s="32">
        <f t="shared" si="1"/>
        <v>0.50960000000000005</v>
      </c>
      <c r="S18" s="32">
        <f t="shared" si="2"/>
        <v>0.41820000000000002</v>
      </c>
      <c r="T18" s="32">
        <f t="shared" si="3"/>
        <v>0.44730000000000003</v>
      </c>
      <c r="U18" s="32">
        <f t="shared" si="4"/>
        <v>0.72239999999999993</v>
      </c>
      <c r="V18" s="32"/>
      <c r="W18" s="32"/>
      <c r="X18" s="32"/>
      <c r="Y18" s="32"/>
      <c r="Z18" s="32"/>
    </row>
    <row r="19" spans="1:26" x14ac:dyDescent="0.2">
      <c r="A19" s="22"/>
      <c r="B19" s="28" t="s">
        <v>5</v>
      </c>
      <c r="C19" s="29"/>
      <c r="D19" s="29"/>
      <c r="E19" s="312">
        <v>0.49170000000000003</v>
      </c>
      <c r="F19" s="312">
        <v>0.51100000000000001</v>
      </c>
      <c r="G19" s="312">
        <v>0.59709999999999996</v>
      </c>
      <c r="H19" s="312">
        <v>0.5736</v>
      </c>
      <c r="I19" s="312">
        <v>0.2767</v>
      </c>
      <c r="J19" s="29"/>
      <c r="K19" s="29"/>
      <c r="L19" s="30"/>
      <c r="M19" s="30"/>
      <c r="N19" s="31"/>
      <c r="O19" s="32"/>
      <c r="P19" s="32"/>
      <c r="Q19" s="32">
        <f t="shared" si="0"/>
        <v>0.50829999999999997</v>
      </c>
      <c r="R19" s="32">
        <f t="shared" si="1"/>
        <v>0.48899999999999999</v>
      </c>
      <c r="S19" s="32">
        <f t="shared" si="2"/>
        <v>0.40290000000000004</v>
      </c>
      <c r="T19" s="32">
        <f t="shared" si="3"/>
        <v>0.4264</v>
      </c>
      <c r="U19" s="32">
        <f t="shared" si="4"/>
        <v>0.72330000000000005</v>
      </c>
      <c r="V19" s="32"/>
      <c r="W19" s="32"/>
      <c r="X19" s="32"/>
      <c r="Y19" s="32"/>
      <c r="Z19" s="32"/>
    </row>
    <row r="20" spans="1:26" x14ac:dyDescent="0.2">
      <c r="A20" s="22"/>
      <c r="B20" s="185" t="s">
        <v>6</v>
      </c>
      <c r="C20" s="207"/>
      <c r="D20" s="207"/>
      <c r="E20" s="313">
        <v>0.52880000000000005</v>
      </c>
      <c r="F20" s="313">
        <v>0.53390000000000004</v>
      </c>
      <c r="G20" s="313">
        <v>0.59540000000000004</v>
      </c>
      <c r="H20" s="313">
        <v>0.58609999999999995</v>
      </c>
      <c r="I20" s="314">
        <v>0.27600000000000002</v>
      </c>
      <c r="J20" s="29"/>
      <c r="K20" s="29"/>
      <c r="L20" s="30"/>
      <c r="M20" s="30"/>
      <c r="N20" s="31"/>
      <c r="O20" s="32"/>
      <c r="P20" s="32"/>
      <c r="Q20" s="32">
        <f t="shared" si="0"/>
        <v>0.47119999999999995</v>
      </c>
      <c r="R20" s="32">
        <f t="shared" si="1"/>
        <v>0.46609999999999996</v>
      </c>
      <c r="S20" s="32">
        <f t="shared" si="2"/>
        <v>0.40459999999999996</v>
      </c>
      <c r="T20" s="32">
        <f t="shared" si="3"/>
        <v>0.41390000000000005</v>
      </c>
      <c r="U20" s="32">
        <f t="shared" si="4"/>
        <v>0.72399999999999998</v>
      </c>
      <c r="V20" s="32"/>
      <c r="W20" s="32"/>
      <c r="X20" s="32"/>
      <c r="Y20" s="32"/>
      <c r="Z20" s="32"/>
    </row>
    <row r="21" spans="1:26" x14ac:dyDescent="0.2">
      <c r="A21" s="22"/>
      <c r="B21" s="189" t="s">
        <v>7</v>
      </c>
      <c r="C21" s="179"/>
      <c r="D21" s="179"/>
      <c r="E21" s="315">
        <v>0.49940000000000001</v>
      </c>
      <c r="F21" s="315">
        <v>0.49969999999999998</v>
      </c>
      <c r="G21" s="315">
        <v>0.55549999999999999</v>
      </c>
      <c r="H21" s="315">
        <v>0.54239999999999999</v>
      </c>
      <c r="I21" s="316">
        <v>0.2485</v>
      </c>
      <c r="J21" s="29"/>
      <c r="K21" s="29"/>
      <c r="L21" s="30"/>
      <c r="M21" s="30"/>
      <c r="N21" s="31"/>
      <c r="O21" s="32"/>
      <c r="P21" s="32"/>
      <c r="Q21" s="32">
        <f t="shared" si="0"/>
        <v>0.50059999999999993</v>
      </c>
      <c r="R21" s="32">
        <f t="shared" si="1"/>
        <v>0.50029999999999997</v>
      </c>
      <c r="S21" s="32">
        <f t="shared" si="2"/>
        <v>0.44450000000000001</v>
      </c>
      <c r="T21" s="32">
        <f t="shared" si="3"/>
        <v>0.45760000000000001</v>
      </c>
      <c r="U21" s="32">
        <f t="shared" si="4"/>
        <v>0.75150000000000006</v>
      </c>
      <c r="V21" s="32"/>
      <c r="W21" s="32"/>
      <c r="X21" s="32"/>
      <c r="Y21" s="32"/>
      <c r="Z21" s="32"/>
    </row>
    <row r="22" spans="1:26" x14ac:dyDescent="0.2">
      <c r="A22" s="22"/>
      <c r="B22" s="189" t="s">
        <v>8</v>
      </c>
      <c r="C22" s="179"/>
      <c r="D22" s="179"/>
      <c r="E22" s="315">
        <v>0.55330000000000001</v>
      </c>
      <c r="F22" s="315">
        <v>0.55200000000000005</v>
      </c>
      <c r="G22" s="315">
        <v>0.60950000000000004</v>
      </c>
      <c r="H22" s="315">
        <v>0.59509999999999996</v>
      </c>
      <c r="I22" s="316">
        <v>0.29189999999999999</v>
      </c>
      <c r="J22" s="29"/>
      <c r="K22" s="29"/>
      <c r="L22" s="30"/>
      <c r="M22" s="30"/>
      <c r="N22" s="31"/>
      <c r="O22" s="32"/>
      <c r="P22" s="32"/>
      <c r="Q22" s="32">
        <f t="shared" si="0"/>
        <v>0.44669999999999999</v>
      </c>
      <c r="R22" s="32">
        <f t="shared" si="1"/>
        <v>0.44799999999999995</v>
      </c>
      <c r="S22" s="32">
        <f t="shared" si="2"/>
        <v>0.39049999999999996</v>
      </c>
      <c r="T22" s="32">
        <f t="shared" si="3"/>
        <v>0.40490000000000004</v>
      </c>
      <c r="U22" s="32">
        <f t="shared" si="4"/>
        <v>0.70809999999999995</v>
      </c>
      <c r="V22" s="32"/>
      <c r="W22" s="32"/>
      <c r="X22" s="32"/>
      <c r="Y22" s="32"/>
      <c r="Z22" s="32"/>
    </row>
    <row r="23" spans="1:26" x14ac:dyDescent="0.2">
      <c r="A23" s="22"/>
      <c r="B23" s="192" t="s">
        <v>9</v>
      </c>
      <c r="C23" s="208"/>
      <c r="D23" s="208"/>
      <c r="E23" s="317">
        <v>0.46779999999999999</v>
      </c>
      <c r="F23" s="317">
        <v>0.47349999999999998</v>
      </c>
      <c r="G23" s="317">
        <v>0.57030000000000003</v>
      </c>
      <c r="H23" s="317">
        <v>0.55549999999999999</v>
      </c>
      <c r="I23" s="318">
        <v>0.27850000000000003</v>
      </c>
      <c r="J23" s="29"/>
      <c r="K23" s="29"/>
      <c r="L23" s="30"/>
      <c r="M23" s="30"/>
      <c r="N23" s="31"/>
      <c r="O23" s="32"/>
      <c r="P23" s="32"/>
      <c r="Q23" s="32">
        <f t="shared" si="0"/>
        <v>0.53220000000000001</v>
      </c>
      <c r="R23" s="32">
        <f t="shared" si="1"/>
        <v>0.52649999999999997</v>
      </c>
      <c r="S23" s="32">
        <f t="shared" si="2"/>
        <v>0.42969999999999997</v>
      </c>
      <c r="T23" s="32">
        <f t="shared" si="3"/>
        <v>0.44450000000000001</v>
      </c>
      <c r="U23" s="32">
        <f t="shared" si="4"/>
        <v>0.72150000000000003</v>
      </c>
      <c r="V23" s="32"/>
      <c r="W23" s="32"/>
      <c r="X23" s="32"/>
      <c r="Y23" s="32"/>
      <c r="Z23" s="32"/>
    </row>
    <row r="24" spans="1:26" x14ac:dyDescent="0.2">
      <c r="A24" s="22"/>
      <c r="B24" s="28" t="s">
        <v>10</v>
      </c>
      <c r="C24" s="29"/>
      <c r="D24" s="29"/>
      <c r="E24" s="312">
        <v>0.4909</v>
      </c>
      <c r="F24" s="312">
        <v>0.50980000000000003</v>
      </c>
      <c r="G24" s="312">
        <v>0.59240000000000004</v>
      </c>
      <c r="H24" s="312">
        <v>0.57279999999999998</v>
      </c>
      <c r="I24" s="312">
        <v>0.31590000000000001</v>
      </c>
      <c r="J24" s="29"/>
      <c r="K24" s="29"/>
      <c r="L24" s="30"/>
      <c r="M24" s="30"/>
      <c r="N24" s="31"/>
      <c r="O24" s="32"/>
      <c r="P24" s="32"/>
      <c r="Q24" s="32">
        <f t="shared" si="0"/>
        <v>0.5091</v>
      </c>
      <c r="R24" s="32">
        <f t="shared" si="1"/>
        <v>0.49019999999999997</v>
      </c>
      <c r="S24" s="32">
        <f t="shared" si="2"/>
        <v>0.40759999999999996</v>
      </c>
      <c r="T24" s="32">
        <f t="shared" si="3"/>
        <v>0.42720000000000002</v>
      </c>
      <c r="U24" s="32">
        <f t="shared" si="4"/>
        <v>0.68409999999999993</v>
      </c>
      <c r="V24" s="32"/>
      <c r="W24" s="32"/>
      <c r="X24" s="32"/>
      <c r="Y24" s="32"/>
      <c r="Z24" s="32"/>
    </row>
    <row r="25" spans="1:26" x14ac:dyDescent="0.2">
      <c r="A25" s="22"/>
      <c r="B25" s="28" t="s">
        <v>11</v>
      </c>
      <c r="C25" s="29"/>
      <c r="D25" s="29"/>
      <c r="E25" s="312">
        <v>0.46439999999999998</v>
      </c>
      <c r="F25" s="312">
        <v>0.4985</v>
      </c>
      <c r="G25" s="312">
        <v>0.58250000000000002</v>
      </c>
      <c r="H25" s="312">
        <v>0.55379999999999996</v>
      </c>
      <c r="I25" s="312">
        <v>0.3281</v>
      </c>
      <c r="J25" s="29"/>
      <c r="K25" s="29"/>
      <c r="L25" s="30"/>
      <c r="M25" s="30"/>
      <c r="N25" s="31"/>
      <c r="O25" s="32"/>
      <c r="P25" s="32"/>
      <c r="Q25" s="32">
        <f t="shared" si="0"/>
        <v>0.53560000000000008</v>
      </c>
      <c r="R25" s="32">
        <f t="shared" si="1"/>
        <v>0.50150000000000006</v>
      </c>
      <c r="S25" s="32">
        <f t="shared" si="2"/>
        <v>0.41749999999999998</v>
      </c>
      <c r="T25" s="32">
        <f t="shared" si="3"/>
        <v>0.44620000000000004</v>
      </c>
      <c r="U25" s="32">
        <f t="shared" si="4"/>
        <v>0.67189999999999994</v>
      </c>
      <c r="V25" s="32"/>
      <c r="W25" s="32"/>
      <c r="X25" s="32"/>
      <c r="Y25" s="32"/>
      <c r="Z25" s="32"/>
    </row>
    <row r="26" spans="1:26" x14ac:dyDescent="0.2">
      <c r="A26" s="22"/>
      <c r="B26" s="28" t="s">
        <v>12</v>
      </c>
      <c r="C26" s="29"/>
      <c r="D26" s="29"/>
      <c r="E26" s="312">
        <v>0.44779999999999998</v>
      </c>
      <c r="F26" s="312">
        <v>0.46920000000000001</v>
      </c>
      <c r="G26" s="312">
        <v>0.53890000000000005</v>
      </c>
      <c r="H26" s="312">
        <v>0.5161</v>
      </c>
      <c r="I26" s="312">
        <v>0.31230000000000002</v>
      </c>
      <c r="J26" s="29"/>
      <c r="K26" s="29"/>
      <c r="L26" s="30"/>
      <c r="M26" s="30"/>
      <c r="N26" s="31"/>
      <c r="O26" s="32"/>
      <c r="P26" s="32"/>
      <c r="Q26" s="32">
        <f t="shared" si="0"/>
        <v>0.55220000000000002</v>
      </c>
      <c r="R26" s="32">
        <f t="shared" si="1"/>
        <v>0.53079999999999994</v>
      </c>
      <c r="S26" s="32">
        <f t="shared" si="2"/>
        <v>0.46109999999999995</v>
      </c>
      <c r="T26" s="32">
        <f t="shared" si="3"/>
        <v>0.4839</v>
      </c>
      <c r="U26" s="32">
        <f t="shared" si="4"/>
        <v>0.68769999999999998</v>
      </c>
      <c r="V26" s="32"/>
      <c r="W26" s="32"/>
      <c r="X26" s="32"/>
      <c r="Y26" s="32"/>
      <c r="Z26" s="32"/>
    </row>
    <row r="27" spans="1:26" x14ac:dyDescent="0.2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3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3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3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">
      <c r="A30" s="22"/>
      <c r="C30" s="23"/>
      <c r="D30" s="23"/>
      <c r="E30" s="180" t="s">
        <v>313</v>
      </c>
      <c r="F30" s="23" t="s">
        <v>39</v>
      </c>
      <c r="G30" s="23" t="s">
        <v>39</v>
      </c>
      <c r="H30" s="180" t="s">
        <v>313</v>
      </c>
      <c r="I30" s="23" t="s">
        <v>39</v>
      </c>
      <c r="J30" s="23"/>
      <c r="K30" s="23"/>
      <c r="L30" s="23"/>
      <c r="M30" s="416"/>
      <c r="N30" s="416"/>
      <c r="O30" s="23"/>
      <c r="P30" s="23"/>
      <c r="Q30" s="180" t="str">
        <f>E30</f>
        <v>2019 Forecasted Calendar Month Sales</v>
      </c>
      <c r="R30" s="23" t="s">
        <v>39</v>
      </c>
      <c r="S30" s="23" t="s">
        <v>39</v>
      </c>
      <c r="T30" s="180" t="str">
        <f>H30</f>
        <v>2019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">
      <c r="A33" s="22"/>
      <c r="B33" s="28" t="s">
        <v>1</v>
      </c>
      <c r="C33" s="35"/>
      <c r="D33" s="135"/>
      <c r="E33" s="370">
        <v>0.35580000000000001</v>
      </c>
      <c r="F33" s="156" t="s">
        <v>40</v>
      </c>
      <c r="G33" s="156" t="s">
        <v>40</v>
      </c>
      <c r="H33" s="374">
        <v>0.4259</v>
      </c>
      <c r="I33" s="156" t="s">
        <v>40</v>
      </c>
      <c r="J33" s="35"/>
      <c r="K33" s="35"/>
      <c r="L33" s="35"/>
      <c r="M33" s="30"/>
      <c r="N33" s="31"/>
      <c r="O33" s="32"/>
      <c r="P33" s="32"/>
      <c r="Q33" s="32">
        <f t="shared" ref="Q33:Q44" si="5">1-E33</f>
        <v>0.64419999999999999</v>
      </c>
      <c r="R33" s="32"/>
      <c r="S33" s="32"/>
      <c r="T33" s="32">
        <f t="shared" ref="T33:T44" si="6">1-H33</f>
        <v>0.57410000000000005</v>
      </c>
      <c r="U33" s="32"/>
      <c r="V33" s="32"/>
      <c r="W33" s="32"/>
      <c r="X33" s="32"/>
      <c r="Y33" s="32"/>
      <c r="Z33" s="32"/>
    </row>
    <row r="34" spans="1:26" x14ac:dyDescent="0.2">
      <c r="A34" s="22"/>
      <c r="B34" s="28" t="s">
        <v>2</v>
      </c>
      <c r="C34" s="35"/>
      <c r="D34" s="135"/>
      <c r="E34" s="370">
        <v>0.3483</v>
      </c>
      <c r="F34" s="156" t="s">
        <v>40</v>
      </c>
      <c r="G34" s="156" t="s">
        <v>40</v>
      </c>
      <c r="H34" s="374">
        <v>0.43049999999999999</v>
      </c>
      <c r="I34" s="156" t="s">
        <v>40</v>
      </c>
      <c r="J34" s="35"/>
      <c r="K34" s="35"/>
      <c r="L34" s="35"/>
      <c r="M34" s="30"/>
      <c r="N34" s="31"/>
      <c r="O34" s="32"/>
      <c r="P34" s="32"/>
      <c r="Q34" s="32">
        <f t="shared" si="5"/>
        <v>0.65169999999999995</v>
      </c>
      <c r="R34" s="32"/>
      <c r="S34" s="32"/>
      <c r="T34" s="32">
        <f t="shared" si="6"/>
        <v>0.56950000000000001</v>
      </c>
      <c r="U34" s="32"/>
      <c r="V34" s="32"/>
      <c r="W34" s="32"/>
      <c r="X34" s="32"/>
      <c r="Y34" s="32"/>
      <c r="Z34" s="32"/>
    </row>
    <row r="35" spans="1:26" x14ac:dyDescent="0.2">
      <c r="A35" s="22"/>
      <c r="B35" s="28" t="s">
        <v>3</v>
      </c>
      <c r="C35" s="35"/>
      <c r="D35" s="135"/>
      <c r="E35" s="370">
        <v>0.34039999999999998</v>
      </c>
      <c r="F35" s="156" t="s">
        <v>40</v>
      </c>
      <c r="G35" s="156" t="s">
        <v>40</v>
      </c>
      <c r="H35" s="374">
        <v>0.4289</v>
      </c>
      <c r="I35" s="156" t="s">
        <v>40</v>
      </c>
      <c r="J35" s="35"/>
      <c r="K35" s="35"/>
      <c r="L35" s="35"/>
      <c r="M35" s="30"/>
      <c r="N35" s="31"/>
      <c r="O35" s="32"/>
      <c r="P35" s="32"/>
      <c r="Q35" s="32">
        <f t="shared" si="5"/>
        <v>0.65959999999999996</v>
      </c>
      <c r="R35" s="32"/>
      <c r="S35" s="32"/>
      <c r="T35" s="32">
        <f t="shared" si="6"/>
        <v>0.57109999999999994</v>
      </c>
      <c r="U35" s="32"/>
      <c r="V35" s="32"/>
      <c r="W35" s="32"/>
      <c r="X35" s="32"/>
      <c r="Y35" s="32"/>
      <c r="Z35" s="32"/>
    </row>
    <row r="36" spans="1:26" x14ac:dyDescent="0.2">
      <c r="A36" s="22"/>
      <c r="B36" s="28" t="s">
        <v>4</v>
      </c>
      <c r="C36" s="35"/>
      <c r="D36" s="135"/>
      <c r="E36" s="370">
        <v>0.34399999999999997</v>
      </c>
      <c r="F36" s="156" t="s">
        <v>40</v>
      </c>
      <c r="G36" s="156" t="s">
        <v>40</v>
      </c>
      <c r="H36" s="374">
        <v>0.43940000000000001</v>
      </c>
      <c r="I36" s="156" t="s">
        <v>40</v>
      </c>
      <c r="J36" s="35"/>
      <c r="K36" s="35"/>
      <c r="L36" s="35"/>
      <c r="M36" s="30"/>
      <c r="N36" s="31"/>
      <c r="O36" s="32"/>
      <c r="P36" s="32"/>
      <c r="Q36" s="32">
        <f t="shared" si="5"/>
        <v>0.65600000000000003</v>
      </c>
      <c r="R36" s="32"/>
      <c r="S36" s="32"/>
      <c r="T36" s="32">
        <f t="shared" si="6"/>
        <v>0.56059999999999999</v>
      </c>
      <c r="U36" s="32"/>
      <c r="V36" s="32"/>
      <c r="W36" s="32"/>
      <c r="X36" s="32"/>
      <c r="Y36" s="32"/>
      <c r="Z36" s="32"/>
    </row>
    <row r="37" spans="1:26" x14ac:dyDescent="0.2">
      <c r="A37" s="22"/>
      <c r="B37" s="28" t="s">
        <v>5</v>
      </c>
      <c r="C37" s="35"/>
      <c r="D37" s="135"/>
      <c r="E37" s="370">
        <v>0.36749999999999999</v>
      </c>
      <c r="F37" s="156" t="s">
        <v>40</v>
      </c>
      <c r="G37" s="156" t="s">
        <v>40</v>
      </c>
      <c r="H37" s="374">
        <v>0.45469999999999999</v>
      </c>
      <c r="I37" s="156" t="s">
        <v>40</v>
      </c>
      <c r="J37" s="35"/>
      <c r="K37" s="35"/>
      <c r="L37" s="35"/>
      <c r="M37" s="30"/>
      <c r="N37" s="31"/>
      <c r="O37" s="32"/>
      <c r="P37" s="32"/>
      <c r="Q37" s="32">
        <f t="shared" si="5"/>
        <v>0.63250000000000006</v>
      </c>
      <c r="R37" s="32"/>
      <c r="S37" s="32"/>
      <c r="T37" s="32">
        <f t="shared" si="6"/>
        <v>0.54530000000000001</v>
      </c>
      <c r="U37" s="32"/>
      <c r="V37" s="32"/>
      <c r="W37" s="32"/>
      <c r="X37" s="32"/>
      <c r="Y37" s="32"/>
      <c r="Z37" s="32"/>
    </row>
    <row r="38" spans="1:26" x14ac:dyDescent="0.2">
      <c r="A38" s="22"/>
      <c r="B38" s="185" t="s">
        <v>6</v>
      </c>
      <c r="C38" s="209"/>
      <c r="D38" s="210"/>
      <c r="E38" s="371">
        <v>0.3977</v>
      </c>
      <c r="F38" s="211" t="s">
        <v>40</v>
      </c>
      <c r="G38" s="211" t="s">
        <v>40</v>
      </c>
      <c r="H38" s="375">
        <v>0.46229999999999999</v>
      </c>
      <c r="I38" s="213" t="s">
        <v>40</v>
      </c>
      <c r="J38" s="35"/>
      <c r="K38" s="35"/>
      <c r="L38" s="35"/>
      <c r="M38" s="30"/>
      <c r="N38" s="31"/>
      <c r="O38" s="32"/>
      <c r="P38" s="32"/>
      <c r="Q38" s="32">
        <f t="shared" si="5"/>
        <v>0.60230000000000006</v>
      </c>
      <c r="R38" s="32"/>
      <c r="S38" s="32"/>
      <c r="T38" s="32">
        <f t="shared" si="6"/>
        <v>0.53770000000000007</v>
      </c>
      <c r="U38" s="32"/>
      <c r="V38" s="32"/>
      <c r="W38" s="32"/>
      <c r="X38" s="32"/>
      <c r="Y38" s="32"/>
      <c r="Z38" s="32"/>
    </row>
    <row r="39" spans="1:26" x14ac:dyDescent="0.2">
      <c r="A39" s="22"/>
      <c r="B39" s="189" t="s">
        <v>7</v>
      </c>
      <c r="C39" s="203"/>
      <c r="D39" s="204"/>
      <c r="E39" s="372">
        <v>0.4133</v>
      </c>
      <c r="F39" s="205" t="s">
        <v>40</v>
      </c>
      <c r="G39" s="205" t="s">
        <v>40</v>
      </c>
      <c r="H39" s="376">
        <v>0.46879999999999999</v>
      </c>
      <c r="I39" s="214" t="s">
        <v>40</v>
      </c>
      <c r="J39" s="35"/>
      <c r="K39" s="35"/>
      <c r="L39" s="35"/>
      <c r="M39" s="30"/>
      <c r="N39" s="31"/>
      <c r="O39" s="32"/>
      <c r="P39" s="32"/>
      <c r="Q39" s="32">
        <f t="shared" si="5"/>
        <v>0.5867</v>
      </c>
      <c r="R39" s="32"/>
      <c r="S39" s="32"/>
      <c r="T39" s="32">
        <f t="shared" si="6"/>
        <v>0.53120000000000001</v>
      </c>
      <c r="U39" s="32"/>
      <c r="V39" s="32"/>
      <c r="W39" s="32"/>
      <c r="X39" s="32"/>
      <c r="Y39" s="32"/>
      <c r="Z39" s="32"/>
    </row>
    <row r="40" spans="1:26" x14ac:dyDescent="0.2">
      <c r="A40" s="22"/>
      <c r="B40" s="189" t="s">
        <v>8</v>
      </c>
      <c r="C40" s="203"/>
      <c r="D40" s="204"/>
      <c r="E40" s="372">
        <v>0.41420000000000001</v>
      </c>
      <c r="F40" s="205" t="s">
        <v>40</v>
      </c>
      <c r="G40" s="205" t="s">
        <v>40</v>
      </c>
      <c r="H40" s="376">
        <v>0.46610000000000001</v>
      </c>
      <c r="I40" s="214" t="s">
        <v>40</v>
      </c>
      <c r="J40" s="35"/>
      <c r="K40" s="35"/>
      <c r="L40" s="35"/>
      <c r="M40" s="30"/>
      <c r="N40" s="31"/>
      <c r="O40" s="32"/>
      <c r="P40" s="32"/>
      <c r="Q40" s="32">
        <f t="shared" si="5"/>
        <v>0.58579999999999999</v>
      </c>
      <c r="R40" s="32"/>
      <c r="S40" s="32"/>
      <c r="T40" s="32">
        <f t="shared" si="6"/>
        <v>0.53390000000000004</v>
      </c>
      <c r="U40" s="32"/>
      <c r="V40" s="32"/>
      <c r="W40" s="32"/>
      <c r="X40" s="32"/>
      <c r="Y40" s="32"/>
      <c r="Z40" s="32"/>
    </row>
    <row r="41" spans="1:26" x14ac:dyDescent="0.2">
      <c r="A41" s="22"/>
      <c r="B41" s="192" t="s">
        <v>9</v>
      </c>
      <c r="C41" s="215"/>
      <c r="D41" s="216"/>
      <c r="E41" s="373">
        <v>0.40150000000000002</v>
      </c>
      <c r="F41" s="217" t="s">
        <v>40</v>
      </c>
      <c r="G41" s="217" t="s">
        <v>40</v>
      </c>
      <c r="H41" s="377">
        <v>0.46110000000000001</v>
      </c>
      <c r="I41" s="219" t="s">
        <v>40</v>
      </c>
      <c r="J41" s="35"/>
      <c r="K41" s="35"/>
      <c r="L41" s="35"/>
      <c r="M41" s="30"/>
      <c r="N41" s="31"/>
      <c r="O41" s="32"/>
      <c r="P41" s="32"/>
      <c r="Q41" s="32">
        <f t="shared" si="5"/>
        <v>0.59850000000000003</v>
      </c>
      <c r="R41" s="32"/>
      <c r="S41" s="32"/>
      <c r="T41" s="32">
        <f t="shared" si="6"/>
        <v>0.53889999999999993</v>
      </c>
      <c r="U41" s="32"/>
      <c r="V41" s="32"/>
      <c r="W41" s="32"/>
      <c r="X41" s="32"/>
      <c r="Y41" s="32"/>
      <c r="Z41" s="32"/>
    </row>
    <row r="42" spans="1:26" x14ac:dyDescent="0.2">
      <c r="A42" s="22"/>
      <c r="B42" s="28" t="s">
        <v>10</v>
      </c>
      <c r="C42" s="35"/>
      <c r="D42" s="135"/>
      <c r="E42" s="370">
        <v>0.36899999999999999</v>
      </c>
      <c r="F42" s="156" t="s">
        <v>40</v>
      </c>
      <c r="G42" s="156" t="s">
        <v>40</v>
      </c>
      <c r="H42" s="374">
        <v>0.46479999999999999</v>
      </c>
      <c r="I42" s="156" t="s">
        <v>40</v>
      </c>
      <c r="J42" s="35"/>
      <c r="K42" s="35"/>
      <c r="L42" s="35"/>
      <c r="M42" s="30"/>
      <c r="N42" s="31"/>
      <c r="O42" s="32"/>
      <c r="P42" s="32"/>
      <c r="Q42" s="32">
        <f t="shared" si="5"/>
        <v>0.63100000000000001</v>
      </c>
      <c r="R42" s="32"/>
      <c r="S42" s="32"/>
      <c r="T42" s="32">
        <f t="shared" si="6"/>
        <v>0.53520000000000001</v>
      </c>
      <c r="U42" s="32"/>
      <c r="V42" s="32"/>
      <c r="W42" s="32"/>
      <c r="X42" s="32"/>
      <c r="Y42" s="32"/>
      <c r="Z42" s="32"/>
    </row>
    <row r="43" spans="1:26" x14ac:dyDescent="0.2">
      <c r="A43" s="22"/>
      <c r="B43" s="28" t="s">
        <v>11</v>
      </c>
      <c r="C43" s="35"/>
      <c r="D43" s="135"/>
      <c r="E43" s="370">
        <v>0.35199999999999998</v>
      </c>
      <c r="F43" s="156" t="s">
        <v>40</v>
      </c>
      <c r="G43" s="156" t="s">
        <v>40</v>
      </c>
      <c r="H43" s="374">
        <v>0.4531</v>
      </c>
      <c r="I43" s="156" t="s">
        <v>40</v>
      </c>
      <c r="J43" s="35"/>
      <c r="K43" s="35"/>
      <c r="L43" s="35"/>
      <c r="M43" s="30"/>
      <c r="N43" s="31"/>
      <c r="O43" s="32"/>
      <c r="P43" s="32"/>
      <c r="Q43" s="32">
        <f t="shared" si="5"/>
        <v>0.64800000000000002</v>
      </c>
      <c r="R43" s="32"/>
      <c r="S43" s="32"/>
      <c r="T43" s="32">
        <f t="shared" si="6"/>
        <v>0.54689999999999994</v>
      </c>
      <c r="U43" s="32"/>
      <c r="V43" s="32"/>
      <c r="W43" s="32"/>
      <c r="X43" s="32"/>
      <c r="Y43" s="32"/>
      <c r="Z43" s="32"/>
    </row>
    <row r="44" spans="1:26" x14ac:dyDescent="0.2">
      <c r="A44" s="22"/>
      <c r="B44" s="28" t="s">
        <v>12</v>
      </c>
      <c r="C44" s="35"/>
      <c r="D44" s="135"/>
      <c r="E44" s="370">
        <v>0.3548</v>
      </c>
      <c r="F44" s="156" t="s">
        <v>40</v>
      </c>
      <c r="G44" s="156" t="s">
        <v>40</v>
      </c>
      <c r="H44" s="374">
        <v>0.43330000000000002</v>
      </c>
      <c r="I44" s="156" t="s">
        <v>40</v>
      </c>
      <c r="J44" s="35"/>
      <c r="K44" s="35"/>
      <c r="L44" s="35"/>
      <c r="M44" s="30"/>
      <c r="N44" s="31"/>
      <c r="O44" s="32"/>
      <c r="P44" s="32"/>
      <c r="Q44" s="32">
        <f t="shared" si="5"/>
        <v>0.6452</v>
      </c>
      <c r="R44" s="32"/>
      <c r="S44" s="32"/>
      <c r="T44" s="32">
        <f t="shared" si="6"/>
        <v>0.56669999999999998</v>
      </c>
      <c r="U44" s="32"/>
      <c r="V44" s="32"/>
      <c r="W44" s="32"/>
      <c r="X44" s="32"/>
      <c r="Y44" s="32"/>
      <c r="Z44" s="32"/>
    </row>
    <row r="45" spans="1:26" x14ac:dyDescent="0.2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3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3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3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3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3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75" x14ac:dyDescent="0.25">
      <c r="A52" s="22"/>
      <c r="B52" s="414" t="str">
        <f>$B$1</f>
        <v xml:space="preserve">Jersey Central Power &amp; Light </v>
      </c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31"/>
      <c r="N52" s="70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75" x14ac:dyDescent="0.25">
      <c r="A53" s="22"/>
      <c r="B53" s="414" t="str">
        <f>$B$2</f>
        <v>Attachment 2</v>
      </c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70"/>
      <c r="N53" s="31"/>
      <c r="O53" s="32"/>
      <c r="P53" s="32"/>
      <c r="Q53" s="32"/>
      <c r="R53" s="32"/>
      <c r="S53" s="32"/>
      <c r="T53" s="32"/>
      <c r="U53" s="32"/>
      <c r="V53" s="32"/>
      <c r="X53" s="32"/>
      <c r="Y53" s="32"/>
      <c r="Z53" s="32"/>
      <c r="AA53" s="55"/>
    </row>
    <row r="54" spans="1:33" x14ac:dyDescent="0.2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3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411"/>
      <c r="Y54" s="32"/>
      <c r="Z54" s="32"/>
    </row>
    <row r="55" spans="1:33" x14ac:dyDescent="0.2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3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X55" s="31"/>
      <c r="Y55" s="290" t="s">
        <v>314</v>
      </c>
      <c r="Z55" s="32"/>
    </row>
    <row r="56" spans="1:33" x14ac:dyDescent="0.2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K56" s="33"/>
      <c r="O56" s="16"/>
      <c r="Y56" s="285" t="s">
        <v>252</v>
      </c>
      <c r="Z56" s="134"/>
    </row>
    <row r="57" spans="1:33" x14ac:dyDescent="0.2">
      <c r="A57" s="22"/>
      <c r="B57" s="39" t="s">
        <v>316</v>
      </c>
      <c r="N57" s="40"/>
      <c r="O57" s="41"/>
      <c r="P57" s="41"/>
      <c r="Q57" s="41" t="s">
        <v>265</v>
      </c>
      <c r="R57" s="41"/>
      <c r="S57" s="41"/>
      <c r="T57" s="41"/>
      <c r="U57" s="42"/>
      <c r="W57" s="26" t="s">
        <v>13</v>
      </c>
      <c r="AB57" s="26" t="s">
        <v>284</v>
      </c>
    </row>
    <row r="58" spans="1:33" x14ac:dyDescent="0.2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98" t="s">
        <v>60</v>
      </c>
      <c r="AA58" s="26" t="s">
        <v>305</v>
      </c>
      <c r="AB58" s="26" t="s">
        <v>285</v>
      </c>
      <c r="AC58" s="26" t="s">
        <v>328</v>
      </c>
      <c r="AD58" s="291" t="s">
        <v>287</v>
      </c>
      <c r="AF58" s="26" t="s">
        <v>55</v>
      </c>
      <c r="AG58" s="26" t="s">
        <v>329</v>
      </c>
    </row>
    <row r="59" spans="1:33" x14ac:dyDescent="0.2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  <c r="W59" s="325" t="s">
        <v>251</v>
      </c>
      <c r="X59" s="325" t="s">
        <v>251</v>
      </c>
      <c r="Y59" s="325" t="s">
        <v>251</v>
      </c>
      <c r="Z59" s="325" t="s">
        <v>251</v>
      </c>
      <c r="AA59" s="325" t="s">
        <v>307</v>
      </c>
      <c r="AB59" s="325" t="s">
        <v>307</v>
      </c>
      <c r="AC59" s="325" t="s">
        <v>307</v>
      </c>
      <c r="AD59" s="325" t="s">
        <v>307</v>
      </c>
      <c r="AF59" s="325" t="s">
        <v>307</v>
      </c>
      <c r="AG59" s="325" t="s">
        <v>307</v>
      </c>
    </row>
    <row r="60" spans="1:33" x14ac:dyDescent="0.2">
      <c r="A60" s="22"/>
      <c r="B60" s="28" t="s">
        <v>1</v>
      </c>
      <c r="C60" s="49"/>
      <c r="D60" s="49"/>
      <c r="E60" s="50">
        <f>ROUND(AA60,0)+ROUND($W60/1000,0)</f>
        <v>23565</v>
      </c>
      <c r="F60" s="50">
        <f>ROUND(AB60,0)+ROUND($Z60/1000,0)</f>
        <v>756063</v>
      </c>
      <c r="G60" s="50">
        <f t="shared" ref="G60:G71" si="7">ROUND(AC60,0)-ROUND(SUM($X60/1000),0)</f>
        <v>518162</v>
      </c>
      <c r="H60" s="50">
        <f>ROUND(AG60,0)</f>
        <v>12162</v>
      </c>
      <c r="I60" s="50">
        <f>ROUND(AF60,0)</f>
        <v>9590</v>
      </c>
      <c r="J60" s="50">
        <f t="shared" ref="J60:J72" si="8">SUM(E60:I60)</f>
        <v>1319542</v>
      </c>
      <c r="K60" s="50"/>
      <c r="L60" s="49"/>
      <c r="M60" s="50">
        <f t="shared" ref="M60:M71" si="9">E60-ROUND(SUM($W60/1000),0)</f>
        <v>22985</v>
      </c>
      <c r="N60" s="51" t="s">
        <v>28</v>
      </c>
      <c r="O60" s="52"/>
      <c r="P60" s="53"/>
      <c r="Q60" s="53">
        <f>SUM(E60:E64,E69:E71)</f>
        <v>155825</v>
      </c>
      <c r="R60" s="53">
        <f>SUM(F60:F64,F69:F71)</f>
        <v>5410210</v>
      </c>
      <c r="S60" s="53">
        <f>SUM(G60:G64,G69:G71)</f>
        <v>3839355</v>
      </c>
      <c r="T60" s="53">
        <f>SUM(H60:H64,H69:H71)</f>
        <v>86886</v>
      </c>
      <c r="U60" s="54">
        <f>SUM(I60:I64,I69:I71)</f>
        <v>76720</v>
      </c>
      <c r="V60" s="304">
        <v>43466</v>
      </c>
      <c r="W60" s="286">
        <v>579968.33333329996</v>
      </c>
      <c r="X60" s="287">
        <v>11869.833333300001</v>
      </c>
      <c r="Y60" s="55">
        <f t="shared" ref="Y60:Y71" si="10">W60-X60</f>
        <v>568098.5</v>
      </c>
      <c r="Z60" s="287">
        <v>1724182.4015641999</v>
      </c>
      <c r="AA60" s="407">
        <v>22985.238607846699</v>
      </c>
      <c r="AB60" s="289">
        <v>754338.84449058899</v>
      </c>
      <c r="AC60" s="50">
        <v>518174.09490754409</v>
      </c>
      <c r="AD60" s="289">
        <v>575919.09690754407</v>
      </c>
      <c r="AF60" s="289">
        <v>9589.625</v>
      </c>
      <c r="AG60" s="299">
        <v>12162.049460863702</v>
      </c>
    </row>
    <row r="61" spans="1:33" x14ac:dyDescent="0.2">
      <c r="A61" s="22"/>
      <c r="B61" s="28" t="s">
        <v>2</v>
      </c>
      <c r="C61" s="49"/>
      <c r="D61" s="49"/>
      <c r="E61" s="50">
        <f>ROUND(AA61,0)+ROUND($W61/1000,0)</f>
        <v>25830</v>
      </c>
      <c r="F61" s="50">
        <f>ROUND(AB61,0)+ROUND($Z61/1000,0)</f>
        <v>767678</v>
      </c>
      <c r="G61" s="50">
        <f t="shared" si="7"/>
        <v>518422</v>
      </c>
      <c r="H61" s="50">
        <f t="shared" ref="H61:H71" si="11">ROUND(AG61,0)</f>
        <v>14327</v>
      </c>
      <c r="I61" s="50">
        <f t="shared" ref="I61:I71" si="12">ROUND(AF61,0)</f>
        <v>9590</v>
      </c>
      <c r="J61" s="50">
        <f t="shared" si="8"/>
        <v>1335847</v>
      </c>
      <c r="K61" s="50"/>
      <c r="L61" s="49"/>
      <c r="M61" s="50">
        <f t="shared" si="9"/>
        <v>25258</v>
      </c>
      <c r="N61" s="51"/>
      <c r="O61" s="52"/>
      <c r="P61" s="114" t="s">
        <v>193</v>
      </c>
      <c r="Q61" s="53">
        <f>SUMPRODUCT(E33:E37,M60:M64)+SUMPRODUCT(E42:E44,M69:M71)</f>
        <v>53380.747199999998</v>
      </c>
      <c r="R61" s="47"/>
      <c r="S61" s="131" t="s">
        <v>177</v>
      </c>
      <c r="T61" s="53">
        <f>SUMPRODUCT(H33:H37,H60:H64)+SUMPRODUCT(H42:H44,H69:H71)</f>
        <v>38107.132400000002</v>
      </c>
      <c r="U61" s="48">
        <f>T61/T60</f>
        <v>0.43858771723868062</v>
      </c>
      <c r="V61" s="304">
        <v>43497</v>
      </c>
      <c r="W61" s="286">
        <v>572070.86111109995</v>
      </c>
      <c r="X61" s="287">
        <v>11775.236111099999</v>
      </c>
      <c r="Y61" s="55">
        <f t="shared" si="10"/>
        <v>560295.625</v>
      </c>
      <c r="Z61" s="287">
        <v>1838681.5364045999</v>
      </c>
      <c r="AA61" s="407">
        <v>25257.743785767001</v>
      </c>
      <c r="AB61" s="289">
        <v>765839.2530528279</v>
      </c>
      <c r="AC61" s="50">
        <v>518433.94475810003</v>
      </c>
      <c r="AD61" s="289">
        <v>574486.42875810002</v>
      </c>
      <c r="AF61" s="289">
        <v>9589.6029999999992</v>
      </c>
      <c r="AG61" s="299">
        <v>14327.337866873295</v>
      </c>
    </row>
    <row r="62" spans="1:33" x14ac:dyDescent="0.2">
      <c r="A62" s="22"/>
      <c r="B62" s="28" t="s">
        <v>3</v>
      </c>
      <c r="C62" s="49"/>
      <c r="D62" s="49"/>
      <c r="E62" s="50">
        <f>ROUND(AA62,0)+ROUND($W62/1000,0)</f>
        <v>23751</v>
      </c>
      <c r="F62" s="50">
        <f>ROUND(AB62,0)+ROUND($Z62/1000,0)</f>
        <v>700839</v>
      </c>
      <c r="G62" s="50">
        <f t="shared" si="7"/>
        <v>510718</v>
      </c>
      <c r="H62" s="50">
        <f t="shared" si="11"/>
        <v>14335</v>
      </c>
      <c r="I62" s="50">
        <f t="shared" si="12"/>
        <v>9590</v>
      </c>
      <c r="J62" s="50">
        <f t="shared" si="8"/>
        <v>1259233</v>
      </c>
      <c r="K62" s="50"/>
      <c r="L62" s="49"/>
      <c r="M62" s="50">
        <f t="shared" si="9"/>
        <v>23186</v>
      </c>
      <c r="N62" s="51"/>
      <c r="O62" s="52"/>
      <c r="P62" s="114" t="s">
        <v>194</v>
      </c>
      <c r="Q62" s="53">
        <f>SUMPRODUCT(Q33:Q37,M60:M64)+SUMPRODUCT(Q42:Q44,M69:M71)</f>
        <v>98111.252800000002</v>
      </c>
      <c r="R62" s="47"/>
      <c r="S62" s="131" t="s">
        <v>178</v>
      </c>
      <c r="T62" s="53">
        <f>+T60-T61</f>
        <v>48778.867599999998</v>
      </c>
      <c r="U62" s="48"/>
      <c r="V62" s="304">
        <v>43525</v>
      </c>
      <c r="W62" s="286">
        <v>564939.43287040002</v>
      </c>
      <c r="X62" s="287">
        <v>11690.422453699999</v>
      </c>
      <c r="Y62" s="55">
        <f t="shared" si="10"/>
        <v>553249.01041670004</v>
      </c>
      <c r="Z62" s="287">
        <v>1627068.8108206</v>
      </c>
      <c r="AA62" s="407">
        <v>23186.444082912603</v>
      </c>
      <c r="AB62" s="289">
        <v>699211.56509585003</v>
      </c>
      <c r="AC62" s="50">
        <v>510730.26342078904</v>
      </c>
      <c r="AD62" s="289">
        <v>565001.65742078901</v>
      </c>
      <c r="AF62" s="289">
        <v>9589.5859999999993</v>
      </c>
      <c r="AG62" s="299">
        <v>14334.828988410003</v>
      </c>
    </row>
    <row r="63" spans="1:33" x14ac:dyDescent="0.2">
      <c r="A63" s="22"/>
      <c r="B63" s="28" t="s">
        <v>4</v>
      </c>
      <c r="C63" s="49"/>
      <c r="D63" s="49"/>
      <c r="E63" s="50">
        <f>ROUND(AA63,0)+ROUND($W63/1000,0)</f>
        <v>20338</v>
      </c>
      <c r="F63" s="50">
        <f>ROUND(AB63,0)+ROUND($Z63/1000,0)</f>
        <v>647385</v>
      </c>
      <c r="G63" s="50">
        <f t="shared" si="7"/>
        <v>464644</v>
      </c>
      <c r="H63" s="50">
        <f t="shared" si="11"/>
        <v>11761</v>
      </c>
      <c r="I63" s="50">
        <f t="shared" si="12"/>
        <v>9590</v>
      </c>
      <c r="J63" s="50">
        <f t="shared" si="8"/>
        <v>1153718</v>
      </c>
      <c r="K63" s="50"/>
      <c r="L63" s="49"/>
      <c r="M63" s="50">
        <f t="shared" si="9"/>
        <v>19781</v>
      </c>
      <c r="N63" s="46"/>
      <c r="O63" s="47"/>
      <c r="P63" s="114" t="s">
        <v>263</v>
      </c>
      <c r="Q63" s="53">
        <f>SUM(W60:W64,W69:W71)/1000</f>
        <v>4333.8891105293997</v>
      </c>
      <c r="R63" s="47"/>
      <c r="S63" s="47"/>
      <c r="T63" s="47"/>
      <c r="U63" s="48"/>
      <c r="V63" s="304">
        <v>43556</v>
      </c>
      <c r="W63" s="286">
        <v>557073.46894289996</v>
      </c>
      <c r="X63" s="287">
        <v>11614.374324799999</v>
      </c>
      <c r="Y63" s="55">
        <f t="shared" si="10"/>
        <v>545459.09461809997</v>
      </c>
      <c r="Z63" s="287">
        <v>1310564.7060739</v>
      </c>
      <c r="AA63" s="407">
        <v>19780.665192779703</v>
      </c>
      <c r="AB63" s="289">
        <v>646073.74100652803</v>
      </c>
      <c r="AC63" s="50">
        <v>464655.65971247101</v>
      </c>
      <c r="AD63" s="289">
        <v>520518.057712471</v>
      </c>
      <c r="AF63" s="289">
        <v>9589.5750000000007</v>
      </c>
      <c r="AG63" s="299">
        <v>11761.227115389496</v>
      </c>
    </row>
    <row r="64" spans="1:33" x14ac:dyDescent="0.2">
      <c r="A64" s="22"/>
      <c r="B64" s="28" t="s">
        <v>5</v>
      </c>
      <c r="C64" s="49"/>
      <c r="D64" s="49"/>
      <c r="E64" s="50">
        <f>ROUND(AA64,0)+ROUND($W64/1000,0)</f>
        <v>15219</v>
      </c>
      <c r="F64" s="50">
        <f>ROUND(AB64,0)+ROUND($Z64/1000,0)</f>
        <v>593952</v>
      </c>
      <c r="G64" s="50">
        <f t="shared" si="7"/>
        <v>439233</v>
      </c>
      <c r="H64" s="194">
        <f t="shared" si="11"/>
        <v>7562</v>
      </c>
      <c r="I64" s="50">
        <f t="shared" si="12"/>
        <v>9590</v>
      </c>
      <c r="J64" s="50">
        <f t="shared" si="8"/>
        <v>1065556</v>
      </c>
      <c r="K64" s="50"/>
      <c r="L64" s="49"/>
      <c r="M64" s="50">
        <f t="shared" si="9"/>
        <v>14670</v>
      </c>
      <c r="N64" s="51" t="s">
        <v>29</v>
      </c>
      <c r="O64" s="52"/>
      <c r="P64" s="53"/>
      <c r="Q64" s="53">
        <f>+SUM(E65:E68)</f>
        <v>72736</v>
      </c>
      <c r="R64" s="53">
        <f>+SUM(F65:F68)</f>
        <v>3679982</v>
      </c>
      <c r="S64" s="53">
        <f>+SUM(G65:G68)</f>
        <v>2112534</v>
      </c>
      <c r="T64" s="53">
        <f>+SUM(H65:H68)</f>
        <v>32036</v>
      </c>
      <c r="U64" s="54">
        <f>+SUM(I65:I68)</f>
        <v>38360</v>
      </c>
      <c r="V64" s="304">
        <v>43586</v>
      </c>
      <c r="W64" s="286">
        <v>549475.00802140008</v>
      </c>
      <c r="X64" s="287">
        <v>11549.572185200001</v>
      </c>
      <c r="Y64" s="55">
        <f t="shared" si="10"/>
        <v>537925.43583620002</v>
      </c>
      <c r="Z64" s="287">
        <v>983244.90342049999</v>
      </c>
      <c r="AA64" s="407">
        <v>14670.489150408801</v>
      </c>
      <c r="AB64" s="289">
        <v>592968.75351033499</v>
      </c>
      <c r="AC64" s="50">
        <v>439244.91301233106</v>
      </c>
      <c r="AD64" s="289">
        <v>501711.55101233104</v>
      </c>
      <c r="AF64" s="289">
        <v>9589.5709999999999</v>
      </c>
      <c r="AG64" s="299">
        <v>7561.9923987510947</v>
      </c>
    </row>
    <row r="65" spans="1:37" x14ac:dyDescent="0.2">
      <c r="A65" s="22"/>
      <c r="B65" s="185" t="s">
        <v>6</v>
      </c>
      <c r="C65" s="186"/>
      <c r="D65" s="186"/>
      <c r="E65" s="187">
        <f>ROUND(AA65,0)+ROUND(SUM($W65+$Z65)/1000,0)</f>
        <v>15454</v>
      </c>
      <c r="F65" s="187">
        <f>ROUND(AB65,0)</f>
        <v>700169</v>
      </c>
      <c r="G65" s="187">
        <f t="shared" si="7"/>
        <v>487689</v>
      </c>
      <c r="H65" s="50">
        <f t="shared" si="11"/>
        <v>9518</v>
      </c>
      <c r="I65" s="187">
        <f t="shared" si="12"/>
        <v>9590</v>
      </c>
      <c r="J65" s="188">
        <f t="shared" si="8"/>
        <v>1222420</v>
      </c>
      <c r="K65" s="158"/>
      <c r="L65" s="49"/>
      <c r="M65" s="196">
        <f t="shared" si="9"/>
        <v>14912</v>
      </c>
      <c r="N65" s="114"/>
      <c r="O65" s="52"/>
      <c r="P65" s="130" t="s">
        <v>151</v>
      </c>
      <c r="Q65" s="53">
        <f>SUMPRODUCT(E38:E41,M65:M68)</f>
        <v>28770.069900000002</v>
      </c>
      <c r="R65" s="158">
        <f>Q$95/1000*T$95/(S$95/1000)</f>
        <v>1975322.3391199985</v>
      </c>
      <c r="S65" s="131" t="s">
        <v>177</v>
      </c>
      <c r="T65" s="53">
        <f>+SUMPRODUCT(H38:H41,H65:H68)</f>
        <v>14886.868499999999</v>
      </c>
      <c r="U65" s="385">
        <f>T65/T64</f>
        <v>0.46469186227993503</v>
      </c>
      <c r="V65" s="386">
        <v>43617</v>
      </c>
      <c r="W65" s="387">
        <v>541646.67535659997</v>
      </c>
      <c r="X65" s="388">
        <v>11496.4532007</v>
      </c>
      <c r="Y65" s="389">
        <f t="shared" si="10"/>
        <v>530150.22215589997</v>
      </c>
      <c r="Z65" s="388">
        <v>978837.61123079993</v>
      </c>
      <c r="AA65" s="408">
        <v>13933.703136709299</v>
      </c>
      <c r="AB65" s="390">
        <v>700169.29502990399</v>
      </c>
      <c r="AC65" s="187">
        <v>487700.13521430601</v>
      </c>
      <c r="AD65" s="390">
        <v>548435.43321430602</v>
      </c>
      <c r="AE65" s="391"/>
      <c r="AF65" s="390">
        <v>9589.5740000000005</v>
      </c>
      <c r="AG65" s="392">
        <v>9517.8384443462037</v>
      </c>
    </row>
    <row r="66" spans="1:37" x14ac:dyDescent="0.2">
      <c r="A66" s="22"/>
      <c r="B66" s="189" t="s">
        <v>7</v>
      </c>
      <c r="C66" s="190"/>
      <c r="D66" s="190"/>
      <c r="E66" s="158">
        <f>ROUND(AA66,0)+ROUND(SUM($W66+$Z66)/1000,0)</f>
        <v>18683</v>
      </c>
      <c r="F66" s="158">
        <f>ROUND(AB66,0)</f>
        <v>959624</v>
      </c>
      <c r="G66" s="158">
        <f t="shared" si="7"/>
        <v>533658</v>
      </c>
      <c r="H66" s="50">
        <f t="shared" si="11"/>
        <v>7049</v>
      </c>
      <c r="I66" s="158">
        <f t="shared" si="12"/>
        <v>9590</v>
      </c>
      <c r="J66" s="191">
        <f t="shared" si="8"/>
        <v>1528604</v>
      </c>
      <c r="K66" s="158"/>
      <c r="L66" s="49"/>
      <c r="M66" s="197">
        <f t="shared" si="9"/>
        <v>18149</v>
      </c>
      <c r="N66" s="114"/>
      <c r="O66" s="52"/>
      <c r="P66" s="130" t="s">
        <v>152</v>
      </c>
      <c r="Q66" s="53">
        <f>SUMPRODUCT(Q38:Q41,M65:M68)</f>
        <v>41844.930099999998</v>
      </c>
      <c r="R66" s="158">
        <f>R$95/1000*T$95/(S$95/1000)</f>
        <v>1704659.6608800013</v>
      </c>
      <c r="S66" s="131" t="s">
        <v>178</v>
      </c>
      <c r="T66" s="53">
        <f>+T64-T65</f>
        <v>17149.131500000003</v>
      </c>
      <c r="U66" s="47"/>
      <c r="V66" s="393">
        <v>43647</v>
      </c>
      <c r="W66" s="394">
        <v>534089.06496960006</v>
      </c>
      <c r="X66" s="395">
        <v>11456.5743007</v>
      </c>
      <c r="Y66" s="53">
        <f t="shared" si="10"/>
        <v>522632.49066890008</v>
      </c>
      <c r="Z66" s="395">
        <v>1144842.5825376001</v>
      </c>
      <c r="AA66" s="409">
        <v>17003.931940046103</v>
      </c>
      <c r="AB66" s="396">
        <v>959624.476986747</v>
      </c>
      <c r="AC66" s="158">
        <v>533668.60912104207</v>
      </c>
      <c r="AD66" s="396">
        <v>603905.36112104205</v>
      </c>
      <c r="AE66" s="47"/>
      <c r="AF66" s="396">
        <v>9589.5830000000005</v>
      </c>
      <c r="AG66" s="397">
        <v>7048.7584066205027</v>
      </c>
    </row>
    <row r="67" spans="1:37" x14ac:dyDescent="0.2">
      <c r="A67" s="22"/>
      <c r="B67" s="189" t="s">
        <v>8</v>
      </c>
      <c r="C67" s="190"/>
      <c r="D67" s="190"/>
      <c r="E67" s="158">
        <f>ROUND(AA67,0)+ROUND(SUM($W67+$Z67)/1000,0)</f>
        <v>21050</v>
      </c>
      <c r="F67" s="158">
        <f>ROUND(AB67,0)</f>
        <v>1116559</v>
      </c>
      <c r="G67" s="158">
        <f t="shared" si="7"/>
        <v>567778</v>
      </c>
      <c r="H67" s="50">
        <f t="shared" si="11"/>
        <v>9874</v>
      </c>
      <c r="I67" s="158">
        <f t="shared" si="12"/>
        <v>9590</v>
      </c>
      <c r="J67" s="191">
        <f t="shared" si="8"/>
        <v>1724851</v>
      </c>
      <c r="K67" s="158"/>
      <c r="L67" s="49"/>
      <c r="M67" s="197">
        <f t="shared" si="9"/>
        <v>20524</v>
      </c>
      <c r="N67" s="58"/>
      <c r="O67" s="58"/>
      <c r="P67" s="114" t="s">
        <v>264</v>
      </c>
      <c r="Q67" s="53">
        <f>SUM(W65:W68)/1000</f>
        <v>2120.5840466813002</v>
      </c>
      <c r="R67" s="66"/>
      <c r="S67" s="58"/>
      <c r="T67" s="58"/>
      <c r="U67" s="58"/>
      <c r="V67" s="393">
        <v>43678</v>
      </c>
      <c r="W67" s="394">
        <v>526303.9870504</v>
      </c>
      <c r="X67" s="395">
        <v>11430.372159099999</v>
      </c>
      <c r="Y67" s="53">
        <f t="shared" si="10"/>
        <v>514873.61489129998</v>
      </c>
      <c r="Z67" s="395">
        <v>1270923.8224968</v>
      </c>
      <c r="AA67" s="409">
        <v>19252.9194685109</v>
      </c>
      <c r="AB67" s="396">
        <v>1116558.9140941</v>
      </c>
      <c r="AC67" s="158">
        <v>567789.11063605594</v>
      </c>
      <c r="AD67" s="396">
        <v>638731.31963605597</v>
      </c>
      <c r="AE67" s="398"/>
      <c r="AF67" s="396">
        <v>9589.6</v>
      </c>
      <c r="AG67" s="397">
        <v>9873.6945944710969</v>
      </c>
    </row>
    <row r="68" spans="1:37" x14ac:dyDescent="0.2">
      <c r="A68" s="22"/>
      <c r="B68" s="192" t="s">
        <v>9</v>
      </c>
      <c r="C68" s="193"/>
      <c r="D68" s="193"/>
      <c r="E68" s="194">
        <f>ROUND(AA68,0)+ROUND(SUM($W68+$Z68)/1000,0)</f>
        <v>17549</v>
      </c>
      <c r="F68" s="194">
        <f>ROUND(AB68,0)</f>
        <v>903630</v>
      </c>
      <c r="G68" s="194">
        <f t="shared" si="7"/>
        <v>523409</v>
      </c>
      <c r="H68" s="194">
        <f t="shared" si="11"/>
        <v>5595</v>
      </c>
      <c r="I68" s="194">
        <f t="shared" si="12"/>
        <v>9590</v>
      </c>
      <c r="J68" s="195">
        <f t="shared" si="8"/>
        <v>1459773</v>
      </c>
      <c r="K68" s="158"/>
      <c r="L68" s="49"/>
      <c r="M68" s="198">
        <f t="shared" si="9"/>
        <v>17030</v>
      </c>
      <c r="N68" s="200" t="s">
        <v>255</v>
      </c>
      <c r="O68" s="41"/>
      <c r="P68" s="41"/>
      <c r="Q68" s="41" t="s">
        <v>130</v>
      </c>
      <c r="R68" s="41"/>
      <c r="S68" s="41"/>
      <c r="T68" s="41"/>
      <c r="U68" s="41"/>
      <c r="V68" s="399">
        <v>43709</v>
      </c>
      <c r="W68" s="400">
        <v>518544.31930469995</v>
      </c>
      <c r="X68" s="401">
        <v>11419.653172400001</v>
      </c>
      <c r="Y68" s="402">
        <f t="shared" si="10"/>
        <v>507124.66613229993</v>
      </c>
      <c r="Z68" s="401">
        <v>1056858.1503125001</v>
      </c>
      <c r="AA68" s="410">
        <v>15974.235710306801</v>
      </c>
      <c r="AB68" s="403">
        <v>903630.36547324795</v>
      </c>
      <c r="AC68" s="194">
        <v>523419.80631970003</v>
      </c>
      <c r="AD68" s="403">
        <v>596448.63831970003</v>
      </c>
      <c r="AE68" s="404"/>
      <c r="AF68" s="403">
        <v>9589.6219999999994</v>
      </c>
      <c r="AG68" s="405">
        <v>5594.5144500803053</v>
      </c>
    </row>
    <row r="69" spans="1:37" x14ac:dyDescent="0.2">
      <c r="A69" s="22"/>
      <c r="B69" s="28" t="s">
        <v>10</v>
      </c>
      <c r="C69" s="49"/>
      <c r="D69" s="49"/>
      <c r="E69" s="50">
        <f>ROUND(AA69,0)+ROUND($W69/1000,0)</f>
        <v>12792</v>
      </c>
      <c r="F69" s="50">
        <f>ROUND(AB69,0)+ROUND($Z69/1000,0)</f>
        <v>635700</v>
      </c>
      <c r="G69" s="50">
        <f t="shared" si="7"/>
        <v>453116</v>
      </c>
      <c r="H69" s="50">
        <f t="shared" si="11"/>
        <v>7365</v>
      </c>
      <c r="I69" s="50">
        <f t="shared" si="12"/>
        <v>9590</v>
      </c>
      <c r="J69" s="50">
        <f t="shared" si="8"/>
        <v>1118563</v>
      </c>
      <c r="K69" s="50"/>
      <c r="L69" s="49"/>
      <c r="M69" s="50">
        <f t="shared" si="9"/>
        <v>12281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304">
        <v>43739</v>
      </c>
      <c r="W69" s="286">
        <v>511063.01258009998</v>
      </c>
      <c r="X69" s="287">
        <v>11425.5409368</v>
      </c>
      <c r="Y69" s="55">
        <f t="shared" si="10"/>
        <v>499637.47164329997</v>
      </c>
      <c r="Z69" s="287">
        <v>832317.09372740006</v>
      </c>
      <c r="AA69" s="407">
        <v>12280.925134660501</v>
      </c>
      <c r="AB69" s="289">
        <v>634867.8292999689</v>
      </c>
      <c r="AC69" s="50">
        <v>453126.689642212</v>
      </c>
      <c r="AD69" s="289">
        <v>516247.69764221198</v>
      </c>
      <c r="AF69" s="289">
        <v>9589.6479999999992</v>
      </c>
      <c r="AG69" s="299">
        <v>7365.3848199874983</v>
      </c>
    </row>
    <row r="70" spans="1:37" x14ac:dyDescent="0.2">
      <c r="A70" s="22"/>
      <c r="B70" s="28" t="s">
        <v>11</v>
      </c>
      <c r="C70" s="49"/>
      <c r="D70" s="49"/>
      <c r="E70" s="50">
        <f>ROUND(AA70,0)+ROUND($W70/1000,0)</f>
        <v>15006</v>
      </c>
      <c r="F70" s="50">
        <f>ROUND(AB70,0)+ROUND($Z70/1000,0)</f>
        <v>614269</v>
      </c>
      <c r="G70" s="50">
        <f t="shared" si="7"/>
        <v>452674</v>
      </c>
      <c r="H70" s="50">
        <f t="shared" si="11"/>
        <v>9447</v>
      </c>
      <c r="I70" s="50">
        <f t="shared" si="12"/>
        <v>9590</v>
      </c>
      <c r="J70" s="50">
        <f t="shared" si="8"/>
        <v>1100986</v>
      </c>
      <c r="K70" s="50"/>
      <c r="L70" s="49"/>
      <c r="M70" s="50">
        <f t="shared" si="9"/>
        <v>14503</v>
      </c>
      <c r="N70" s="46"/>
      <c r="O70" s="47"/>
      <c r="P70" s="47"/>
      <c r="Q70" s="47"/>
      <c r="R70" s="47"/>
      <c r="S70" s="47"/>
      <c r="T70" s="47"/>
      <c r="U70" s="48"/>
      <c r="V70" s="304">
        <v>43770</v>
      </c>
      <c r="W70" s="286">
        <v>503359.59696170001</v>
      </c>
      <c r="X70" s="287">
        <v>11449.002681499998</v>
      </c>
      <c r="Y70" s="55">
        <f t="shared" si="10"/>
        <v>491910.59428020002</v>
      </c>
      <c r="Z70" s="287">
        <v>1071373.3287497</v>
      </c>
      <c r="AA70" s="407">
        <v>14502.7721228962</v>
      </c>
      <c r="AB70" s="289">
        <v>613197.64695407404</v>
      </c>
      <c r="AC70" s="50">
        <v>452684.55748243199</v>
      </c>
      <c r="AD70" s="289">
        <v>509264.06348243199</v>
      </c>
      <c r="AE70" s="90"/>
      <c r="AF70" s="289">
        <v>9589.6839999999993</v>
      </c>
      <c r="AG70" s="299">
        <v>9446.7690652227029</v>
      </c>
    </row>
    <row r="71" spans="1:37" x14ac:dyDescent="0.2">
      <c r="A71" s="22"/>
      <c r="B71" s="28" t="s">
        <v>12</v>
      </c>
      <c r="C71" s="49"/>
      <c r="D71" s="49"/>
      <c r="E71" s="50">
        <f>ROUND(AA71,0)+ROUND($W71/1000,0)</f>
        <v>19324</v>
      </c>
      <c r="F71" s="50">
        <f>ROUND(AB71,0)+ROUND($Z71/1000,0)</f>
        <v>694324</v>
      </c>
      <c r="G71" s="50">
        <f t="shared" si="7"/>
        <v>482386</v>
      </c>
      <c r="H71" s="50">
        <f t="shared" si="11"/>
        <v>9927</v>
      </c>
      <c r="I71" s="50">
        <f t="shared" si="12"/>
        <v>9590</v>
      </c>
      <c r="J71" s="50">
        <f t="shared" si="8"/>
        <v>1215551</v>
      </c>
      <c r="K71" s="50"/>
      <c r="L71" s="49"/>
      <c r="M71" s="199">
        <f t="shared" si="9"/>
        <v>18828</v>
      </c>
      <c r="N71" s="51"/>
      <c r="O71" s="52"/>
      <c r="P71" s="115" t="s">
        <v>148</v>
      </c>
      <c r="Q71" s="53">
        <f>SUM(E60:E64,E69:E71)</f>
        <v>155825</v>
      </c>
      <c r="R71" s="53"/>
      <c r="S71" s="115" t="s">
        <v>148</v>
      </c>
      <c r="T71" s="53">
        <f>SUM(H60:H64,H69:H71)</f>
        <v>86886</v>
      </c>
      <c r="U71" s="54"/>
      <c r="V71" s="304">
        <v>43800</v>
      </c>
      <c r="W71" s="307">
        <v>495939.39670850005</v>
      </c>
      <c r="X71" s="305">
        <v>11492.086238299999</v>
      </c>
      <c r="Y71" s="55">
        <f t="shared" si="10"/>
        <v>484447.31047020003</v>
      </c>
      <c r="Z71" s="305">
        <v>1435895.9293958</v>
      </c>
      <c r="AA71" s="407">
        <v>18828.075899498701</v>
      </c>
      <c r="AB71" s="303">
        <v>692887.6998606351</v>
      </c>
      <c r="AC71" s="199">
        <v>482396.50031204999</v>
      </c>
      <c r="AD71" s="303">
        <v>539163.65431204997</v>
      </c>
      <c r="AE71" s="38"/>
      <c r="AF71" s="289">
        <v>9589.723</v>
      </c>
      <c r="AG71" s="299">
        <v>9926.8312806094</v>
      </c>
    </row>
    <row r="72" spans="1:37" x14ac:dyDescent="0.2">
      <c r="A72" s="22"/>
      <c r="B72" s="60" t="s">
        <v>13</v>
      </c>
      <c r="C72" s="55"/>
      <c r="D72" s="55"/>
      <c r="E72" s="55">
        <f>SUM(E60:E71)</f>
        <v>228561</v>
      </c>
      <c r="F72" s="55">
        <f>SUM(F60:F71)</f>
        <v>9090192</v>
      </c>
      <c r="G72" s="55">
        <f>SUM(G60:G71)</f>
        <v>5951889</v>
      </c>
      <c r="H72" s="55">
        <f>SUM(H60:H71)</f>
        <v>118922</v>
      </c>
      <c r="I72" s="55">
        <f>SUM(I60:I71)</f>
        <v>115080</v>
      </c>
      <c r="J72" s="55">
        <f t="shared" si="8"/>
        <v>15504644</v>
      </c>
      <c r="K72" s="55"/>
      <c r="L72" s="55"/>
      <c r="M72" s="55">
        <f>SUM(M60:M71)</f>
        <v>222107</v>
      </c>
      <c r="N72" s="51"/>
      <c r="O72" s="52"/>
      <c r="P72" s="114" t="s">
        <v>146</v>
      </c>
      <c r="Q72" s="53">
        <f>SUMPRODUCT(E15:E19,E60:E64)+SUMPRODUCT(E24:E26,E69:E71)</f>
        <v>73835.346399999995</v>
      </c>
      <c r="R72" s="47">
        <f>Q72/Q71</f>
        <v>0.47383504829135242</v>
      </c>
      <c r="S72" s="114" t="s">
        <v>177</v>
      </c>
      <c r="T72" s="53">
        <f>SUMPRODUCT(H15:H19,H60:H64)+SUMPRODUCT(H24:H26,H69:H71)</f>
        <v>48031.303799999994</v>
      </c>
      <c r="U72" s="48">
        <f>T72/T71</f>
        <v>0.55280832124853252</v>
      </c>
      <c r="W72" s="55">
        <f t="shared" ref="W72:AF72" si="13">SUM(W60:W71)</f>
        <v>6454473.1572106993</v>
      </c>
      <c r="X72" s="55">
        <f t="shared" si="13"/>
        <v>138669.12109759997</v>
      </c>
      <c r="Y72" s="55">
        <f t="shared" si="13"/>
        <v>6315804.0361131011</v>
      </c>
      <c r="Z72" s="55">
        <f t="shared" si="13"/>
        <v>15274790.8767344</v>
      </c>
      <c r="AA72" s="55">
        <f t="shared" si="13"/>
        <v>217657.1442323433</v>
      </c>
      <c r="AB72" s="55">
        <f t="shared" si="13"/>
        <v>9079368.3848548066</v>
      </c>
      <c r="AC72" s="55">
        <f t="shared" si="13"/>
        <v>5952024.2845390327</v>
      </c>
      <c r="AD72" s="55">
        <f t="shared" si="13"/>
        <v>6689832.9595390325</v>
      </c>
      <c r="AE72" s="309"/>
      <c r="AF72" s="55">
        <f t="shared" si="13"/>
        <v>115075.394</v>
      </c>
      <c r="AG72" s="55">
        <f>SUM(AG60:AG71)</f>
        <v>118921.22689162529</v>
      </c>
    </row>
    <row r="73" spans="1:37" x14ac:dyDescent="0.2">
      <c r="A73" s="22"/>
      <c r="B73" s="28"/>
      <c r="G73" s="50" t="s">
        <v>293</v>
      </c>
      <c r="K73" s="61"/>
      <c r="N73" s="51"/>
      <c r="O73" s="52"/>
      <c r="P73" s="114" t="s">
        <v>145</v>
      </c>
      <c r="Q73" s="53">
        <f>+Q71-Q72</f>
        <v>81989.653600000005</v>
      </c>
      <c r="R73" s="47"/>
      <c r="S73" s="114" t="s">
        <v>178</v>
      </c>
      <c r="T73" s="53">
        <f>+T71-T72</f>
        <v>38854.696200000006</v>
      </c>
      <c r="U73" s="48"/>
      <c r="AD73" s="292"/>
      <c r="AE73" s="293"/>
      <c r="AG73" s="292"/>
      <c r="AH73" s="293"/>
      <c r="AK73" s="55" t="s">
        <v>255</v>
      </c>
    </row>
    <row r="74" spans="1:37" ht="15.75" x14ac:dyDescent="0.2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21" t="s">
        <v>289</v>
      </c>
      <c r="AC74" s="21" t="s">
        <v>290</v>
      </c>
      <c r="AE74" s="14"/>
      <c r="AK74" s="55" t="s">
        <v>255</v>
      </c>
    </row>
    <row r="75" spans="1:37" x14ac:dyDescent="0.2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72736</v>
      </c>
      <c r="R75" s="44"/>
      <c r="S75" s="116" t="s">
        <v>149</v>
      </c>
      <c r="T75" s="53">
        <f>+SUM(H65:H68)</f>
        <v>32036</v>
      </c>
      <c r="U75" s="45"/>
      <c r="V75" s="55">
        <f t="shared" ref="V75:V86" si="14">W60-W75</f>
        <v>244127.33333329996</v>
      </c>
      <c r="W75" s="55">
        <f t="shared" ref="W75:W86" si="15">SUM(X75:Z75)</f>
        <v>335841</v>
      </c>
      <c r="X75" s="288">
        <v>9135.5</v>
      </c>
      <c r="Y75" s="287">
        <v>324336</v>
      </c>
      <c r="Z75" s="287">
        <v>2369.5</v>
      </c>
      <c r="AA75" s="55"/>
      <c r="AB75" s="306">
        <f t="shared" ref="AB75:AB86" si="16">(V75*$AA$94+W75*$AA$95)/1000</f>
        <v>125.55555593711445</v>
      </c>
      <c r="AC75" s="306">
        <f t="shared" ref="AC75:AC86" si="17">(W60/1000)-AB75</f>
        <v>454.4127773961855</v>
      </c>
      <c r="AG75" s="55"/>
    </row>
    <row r="76" spans="1:37" s="63" customFormat="1" x14ac:dyDescent="0.2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37358.7526</v>
      </c>
      <c r="R76" s="47">
        <f>Q76/Q75</f>
        <v>0.51362121370435543</v>
      </c>
      <c r="S76" s="131" t="s">
        <v>177</v>
      </c>
      <c r="T76" s="53">
        <f>+SUMPRODUCT(H20:H23,H65:H68)</f>
        <v>18385.917299999997</v>
      </c>
      <c r="U76" s="48">
        <f>T76/T75</f>
        <v>0.57391426208015972</v>
      </c>
      <c r="V76" s="55">
        <f t="shared" si="14"/>
        <v>241592.02777779993</v>
      </c>
      <c r="W76" s="55">
        <f t="shared" si="15"/>
        <v>330478.83333330002</v>
      </c>
      <c r="X76" s="288">
        <v>9063.2083332999991</v>
      </c>
      <c r="Y76" s="287">
        <v>319107</v>
      </c>
      <c r="Z76" s="287">
        <v>2308.625</v>
      </c>
      <c r="AA76" s="55"/>
      <c r="AB76" s="306">
        <f t="shared" si="16"/>
        <v>123.7130930123048</v>
      </c>
      <c r="AC76" s="306">
        <f t="shared" si="17"/>
        <v>448.35776809879513</v>
      </c>
      <c r="AD76" s="13"/>
      <c r="AF76" s="63">
        <f>AA60/1000</f>
        <v>22.9852386078467</v>
      </c>
      <c r="AG76" s="63">
        <f>AB60/1000</f>
        <v>754.33884449058894</v>
      </c>
    </row>
    <row r="77" spans="1:37" x14ac:dyDescent="0.2">
      <c r="A77" s="22"/>
      <c r="C77" s="63"/>
      <c r="D77" s="26" t="s">
        <v>169</v>
      </c>
      <c r="E77" s="63"/>
      <c r="G77" s="26"/>
      <c r="N77" s="64"/>
      <c r="O77" s="65"/>
      <c r="P77" s="117" t="s">
        <v>145</v>
      </c>
      <c r="Q77" s="66">
        <f>Q75-Q76</f>
        <v>35377.2474</v>
      </c>
      <c r="R77" s="58"/>
      <c r="S77" s="132" t="s">
        <v>178</v>
      </c>
      <c r="T77" s="66">
        <f>T75-T76</f>
        <v>13650.082700000003</v>
      </c>
      <c r="U77" s="59"/>
      <c r="V77" s="55">
        <f t="shared" si="14"/>
        <v>239302.03009260003</v>
      </c>
      <c r="W77" s="55">
        <f t="shared" si="15"/>
        <v>325637.40277779999</v>
      </c>
      <c r="X77" s="288">
        <v>8998.3923610999991</v>
      </c>
      <c r="Y77" s="287">
        <v>314385</v>
      </c>
      <c r="Z77" s="287">
        <v>2254.0104167</v>
      </c>
      <c r="AA77" s="55"/>
      <c r="AB77" s="306">
        <f t="shared" si="16"/>
        <v>122.0494496644439</v>
      </c>
      <c r="AC77" s="306">
        <f t="shared" si="17"/>
        <v>442.88998320595607</v>
      </c>
      <c r="AD77" s="55">
        <f>SUM(AB65:AB68)</f>
        <v>3679983.0515839988</v>
      </c>
      <c r="AF77" s="63">
        <f t="shared" ref="AF77:AG87" si="18">AA61/1000</f>
        <v>25.257743785767001</v>
      </c>
      <c r="AG77" s="63">
        <f t="shared" si="18"/>
        <v>765.83925305282787</v>
      </c>
    </row>
    <row r="78" spans="1:37" x14ac:dyDescent="0.2">
      <c r="A78" s="22"/>
      <c r="C78" s="26" t="s">
        <v>14</v>
      </c>
      <c r="D78" s="26" t="s">
        <v>170</v>
      </c>
      <c r="E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4"/>
        <v>236772.1159336</v>
      </c>
      <c r="W78" s="55">
        <f t="shared" si="15"/>
        <v>320301.35300929996</v>
      </c>
      <c r="X78" s="288">
        <v>8940.2583911999991</v>
      </c>
      <c r="Y78" s="287">
        <v>309156</v>
      </c>
      <c r="Z78" s="287">
        <v>2205.0946180999999</v>
      </c>
      <c r="AA78" s="55"/>
      <c r="AB78" s="306">
        <f t="shared" si="16"/>
        <v>120.21513239746871</v>
      </c>
      <c r="AC78" s="306">
        <f t="shared" si="17"/>
        <v>436.8583365454312</v>
      </c>
      <c r="AF78" s="63">
        <f t="shared" si="18"/>
        <v>23.186444082912605</v>
      </c>
      <c r="AG78" s="63">
        <f t="shared" si="18"/>
        <v>699.21156509585001</v>
      </c>
    </row>
    <row r="79" spans="1:37" x14ac:dyDescent="0.2">
      <c r="A79" s="22"/>
      <c r="B79" s="28" t="s">
        <v>1</v>
      </c>
      <c r="C79" s="69">
        <v>46.94</v>
      </c>
      <c r="D79" s="310">
        <v>0.78459999999999996</v>
      </c>
      <c r="E79" s="181">
        <f t="shared" ref="E79:E90" si="19">ROUND(C79*D79,3)</f>
        <v>36.829000000000001</v>
      </c>
      <c r="H79" s="33">
        <v>0.93</v>
      </c>
      <c r="I79" s="33">
        <v>0.95</v>
      </c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4"/>
        <v>234324.79226140003</v>
      </c>
      <c r="W79" s="55">
        <f t="shared" si="15"/>
        <v>315150.21576000005</v>
      </c>
      <c r="X79" s="288">
        <v>8890.7799238000007</v>
      </c>
      <c r="Y79" s="287">
        <v>304096</v>
      </c>
      <c r="Z79" s="287">
        <v>2163.4358361999998</v>
      </c>
      <c r="AA79" s="55"/>
      <c r="AB79" s="306">
        <f t="shared" si="16"/>
        <v>118.44377581381134</v>
      </c>
      <c r="AC79" s="306">
        <f t="shared" si="17"/>
        <v>431.03123220758874</v>
      </c>
      <c r="AF79" s="63">
        <f t="shared" si="18"/>
        <v>19.780665192779704</v>
      </c>
      <c r="AG79" s="63">
        <f t="shared" si="18"/>
        <v>646.07374100652805</v>
      </c>
    </row>
    <row r="80" spans="1:37" x14ac:dyDescent="0.2">
      <c r="A80" s="22"/>
      <c r="B80" s="28" t="s">
        <v>2</v>
      </c>
      <c r="C80" s="69">
        <v>44.45</v>
      </c>
      <c r="D80" s="111">
        <f>+$D$79</f>
        <v>0.78459999999999996</v>
      </c>
      <c r="E80" s="181">
        <f t="shared" si="19"/>
        <v>34.875</v>
      </c>
      <c r="H80" s="176">
        <f>H79</f>
        <v>0.93</v>
      </c>
      <c r="I80" s="176">
        <f>I79</f>
        <v>0.95</v>
      </c>
      <c r="N80" s="46"/>
      <c r="O80" s="47"/>
      <c r="P80" s="47"/>
      <c r="Q80" s="47"/>
      <c r="R80" s="47"/>
      <c r="S80" s="47"/>
      <c r="T80" s="47"/>
      <c r="U80" s="48"/>
      <c r="V80" s="55">
        <f t="shared" si="14"/>
        <v>231800.27494989999</v>
      </c>
      <c r="W80" s="55">
        <f t="shared" si="15"/>
        <v>309846.40040669998</v>
      </c>
      <c r="X80" s="288">
        <v>8850.1782507999997</v>
      </c>
      <c r="Y80" s="287">
        <v>298867</v>
      </c>
      <c r="Z80" s="287">
        <v>2129.2221559</v>
      </c>
      <c r="AA80" s="55"/>
      <c r="AB80" s="306">
        <f t="shared" si="16"/>
        <v>116.61936251931236</v>
      </c>
      <c r="AC80" s="306">
        <f t="shared" si="17"/>
        <v>425.02731283728764</v>
      </c>
      <c r="AF80" s="63">
        <f t="shared" si="18"/>
        <v>14.670489150408802</v>
      </c>
      <c r="AG80" s="63">
        <f t="shared" si="18"/>
        <v>592.96875351033498</v>
      </c>
    </row>
    <row r="81" spans="1:33" x14ac:dyDescent="0.2">
      <c r="A81" s="22"/>
      <c r="B81" s="28" t="s">
        <v>3</v>
      </c>
      <c r="C81" s="69">
        <v>35.43</v>
      </c>
      <c r="D81" s="111">
        <f>+$D$79</f>
        <v>0.78459999999999996</v>
      </c>
      <c r="E81" s="181">
        <f t="shared" si="19"/>
        <v>27.797999999999998</v>
      </c>
      <c r="H81" s="176">
        <f>H79</f>
        <v>0.93</v>
      </c>
      <c r="I81" s="176">
        <f>I79</f>
        <v>0.95</v>
      </c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4"/>
        <v>229358.88119570003</v>
      </c>
      <c r="W81" s="55">
        <f t="shared" si="15"/>
        <v>304730.18377390003</v>
      </c>
      <c r="X81" s="288">
        <v>8819.6931050000003</v>
      </c>
      <c r="Y81" s="287">
        <v>293807</v>
      </c>
      <c r="Z81" s="287">
        <v>2103.4906688999999</v>
      </c>
      <c r="AA81" s="55"/>
      <c r="AB81" s="306">
        <f t="shared" si="16"/>
        <v>114.85874515980046</v>
      </c>
      <c r="AC81" s="306">
        <f t="shared" si="17"/>
        <v>419.23031980979954</v>
      </c>
      <c r="AF81" s="63">
        <f t="shared" si="18"/>
        <v>13.933703136709299</v>
      </c>
      <c r="AG81" s="63">
        <f t="shared" si="18"/>
        <v>700.16929502990399</v>
      </c>
    </row>
    <row r="82" spans="1:33" x14ac:dyDescent="0.2">
      <c r="A82" s="22"/>
      <c r="B82" s="28" t="s">
        <v>4</v>
      </c>
      <c r="C82" s="69">
        <v>30.64</v>
      </c>
      <c r="D82" s="111">
        <f>+$D$79</f>
        <v>0.78459999999999996</v>
      </c>
      <c r="E82" s="181">
        <f t="shared" si="19"/>
        <v>24.04</v>
      </c>
      <c r="H82" s="176">
        <f>H79</f>
        <v>0.93</v>
      </c>
      <c r="I82" s="176">
        <f>I79</f>
        <v>0.95</v>
      </c>
      <c r="N82" s="51"/>
      <c r="O82" s="52"/>
      <c r="P82" s="114" t="s">
        <v>147</v>
      </c>
      <c r="Q82" s="53">
        <f>Q72-Q61</f>
        <v>20454.599199999997</v>
      </c>
      <c r="R82" s="47"/>
      <c r="S82" s="114" t="s">
        <v>147</v>
      </c>
      <c r="T82" s="53">
        <f>T72-T61</f>
        <v>9924.171399999992</v>
      </c>
      <c r="U82" s="48"/>
      <c r="V82" s="55">
        <f t="shared" si="14"/>
        <v>226839.70462870004</v>
      </c>
      <c r="W82" s="55">
        <f t="shared" si="15"/>
        <v>299464.28242169996</v>
      </c>
      <c r="X82" s="288">
        <v>8799.6675304</v>
      </c>
      <c r="Y82" s="287">
        <v>288578</v>
      </c>
      <c r="Z82" s="287">
        <v>2086.6148913000002</v>
      </c>
      <c r="AA82" s="55"/>
      <c r="AB82" s="306">
        <f t="shared" si="16"/>
        <v>113.04586099957815</v>
      </c>
      <c r="AC82" s="306">
        <f t="shared" si="17"/>
        <v>413.25812605082183</v>
      </c>
      <c r="AF82" s="63">
        <f t="shared" si="18"/>
        <v>17.003931940046101</v>
      </c>
      <c r="AG82" s="63">
        <f t="shared" si="18"/>
        <v>959.62447698674703</v>
      </c>
    </row>
    <row r="83" spans="1:33" x14ac:dyDescent="0.2">
      <c r="A83" s="22"/>
      <c r="B83" s="28" t="s">
        <v>5</v>
      </c>
      <c r="C83" s="69">
        <v>30.3</v>
      </c>
      <c r="D83" s="111">
        <f>+$D$79</f>
        <v>0.78459999999999996</v>
      </c>
      <c r="E83" s="181">
        <f t="shared" si="19"/>
        <v>23.773</v>
      </c>
      <c r="H83" s="176">
        <f>H79</f>
        <v>0.93</v>
      </c>
      <c r="I83" s="176">
        <f>I79</f>
        <v>0.95</v>
      </c>
      <c r="N83" s="51"/>
      <c r="O83" s="52"/>
      <c r="P83" s="114" t="s">
        <v>150</v>
      </c>
      <c r="Q83" s="140">
        <f>Q82*(E117-E118)</f>
        <v>151992.12666916751</v>
      </c>
      <c r="R83" s="47"/>
      <c r="S83" s="114" t="s">
        <v>150</v>
      </c>
      <c r="T83" s="140">
        <f>T82*(H117-H118)</f>
        <v>72680.605977283762</v>
      </c>
      <c r="U83" s="48"/>
      <c r="V83" s="55">
        <f t="shared" si="14"/>
        <v>224324.18001439999</v>
      </c>
      <c r="W83" s="55">
        <f t="shared" si="15"/>
        <v>294220.13929029997</v>
      </c>
      <c r="X83" s="288">
        <v>8791.4731580000007</v>
      </c>
      <c r="Y83" s="287">
        <v>283349</v>
      </c>
      <c r="Z83" s="287">
        <v>2079.6661322999998</v>
      </c>
      <c r="AA83" s="55"/>
      <c r="AB83" s="306">
        <f t="shared" si="16"/>
        <v>111.23966309908754</v>
      </c>
      <c r="AC83" s="306">
        <f t="shared" si="17"/>
        <v>407.30465620561239</v>
      </c>
      <c r="AF83" s="63">
        <f t="shared" si="18"/>
        <v>19.2529194685109</v>
      </c>
      <c r="AG83" s="63">
        <f t="shared" si="18"/>
        <v>1116.5589140940999</v>
      </c>
    </row>
    <row r="84" spans="1:33" x14ac:dyDescent="0.2">
      <c r="A84" s="22"/>
      <c r="B84" s="28" t="s">
        <v>6</v>
      </c>
      <c r="C84" s="320">
        <v>30.23</v>
      </c>
      <c r="D84" s="311">
        <v>0.65310000000000001</v>
      </c>
      <c r="E84" s="182">
        <f t="shared" si="19"/>
        <v>19.742999999999999</v>
      </c>
      <c r="H84" s="128">
        <v>0.94</v>
      </c>
      <c r="I84" s="129">
        <v>0.89</v>
      </c>
      <c r="N84" s="46"/>
      <c r="O84" s="47"/>
      <c r="P84" s="47"/>
      <c r="Q84" s="68"/>
      <c r="R84" s="47"/>
      <c r="S84" s="47"/>
      <c r="T84" s="68"/>
      <c r="U84" s="48"/>
      <c r="V84" s="55">
        <f t="shared" si="14"/>
        <v>221894.52834899997</v>
      </c>
      <c r="W84" s="55">
        <f t="shared" si="15"/>
        <v>289168.48423110001</v>
      </c>
      <c r="X84" s="288">
        <v>8796.0125877999999</v>
      </c>
      <c r="Y84" s="287">
        <v>278289</v>
      </c>
      <c r="Z84" s="287">
        <v>2083.4716432999999</v>
      </c>
      <c r="AA84" s="55"/>
      <c r="AB84" s="306">
        <f t="shared" si="16"/>
        <v>109.4989932352359</v>
      </c>
      <c r="AC84" s="306">
        <f t="shared" si="17"/>
        <v>401.56401934486411</v>
      </c>
      <c r="AF84" s="63">
        <f t="shared" si="18"/>
        <v>15.9742357103068</v>
      </c>
      <c r="AG84" s="63">
        <f t="shared" si="18"/>
        <v>903.63036547324793</v>
      </c>
    </row>
    <row r="85" spans="1:33" x14ac:dyDescent="0.2">
      <c r="A85" s="22"/>
      <c r="B85" s="28" t="s">
        <v>7</v>
      </c>
      <c r="C85" s="321">
        <v>35.770000000000003</v>
      </c>
      <c r="D85" s="220">
        <f>+$D$84</f>
        <v>0.65310000000000001</v>
      </c>
      <c r="E85" s="183">
        <f t="shared" si="19"/>
        <v>23.361000000000001</v>
      </c>
      <c r="H85" s="174">
        <f t="shared" ref="H85:I87" si="20">H84</f>
        <v>0.94</v>
      </c>
      <c r="I85" s="177">
        <f t="shared" si="20"/>
        <v>0.89</v>
      </c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4"/>
        <v>219387.07237800001</v>
      </c>
      <c r="W85" s="55">
        <f t="shared" si="15"/>
        <v>283972.5245837</v>
      </c>
      <c r="X85" s="288">
        <v>8813.9303034999994</v>
      </c>
      <c r="Y85" s="287">
        <v>273060</v>
      </c>
      <c r="Z85" s="287">
        <v>2098.5942802</v>
      </c>
      <c r="AA85" s="55"/>
      <c r="AB85" s="306">
        <f t="shared" si="16"/>
        <v>107.70759981435518</v>
      </c>
      <c r="AC85" s="306">
        <f t="shared" si="17"/>
        <v>395.65199714734479</v>
      </c>
      <c r="AF85" s="63">
        <f t="shared" si="18"/>
        <v>12.280925134660501</v>
      </c>
      <c r="AG85" s="63">
        <f t="shared" si="18"/>
        <v>634.86782929996889</v>
      </c>
    </row>
    <row r="86" spans="1:33" x14ac:dyDescent="0.2">
      <c r="A86" s="22"/>
      <c r="B86" s="28" t="s">
        <v>8</v>
      </c>
      <c r="C86" s="321">
        <v>32.56</v>
      </c>
      <c r="D86" s="220">
        <f>+$D$84</f>
        <v>0.65310000000000001</v>
      </c>
      <c r="E86" s="183">
        <f t="shared" si="19"/>
        <v>21.265000000000001</v>
      </c>
      <c r="H86" s="174">
        <f t="shared" si="20"/>
        <v>0.94</v>
      </c>
      <c r="I86" s="177">
        <f t="shared" si="20"/>
        <v>0.89</v>
      </c>
      <c r="N86" s="51"/>
      <c r="O86" s="52"/>
      <c r="P86" s="114" t="s">
        <v>147</v>
      </c>
      <c r="Q86" s="53">
        <f>Q76-Q65</f>
        <v>8588.6826999999976</v>
      </c>
      <c r="R86" s="47"/>
      <c r="S86" s="114" t="s">
        <v>147</v>
      </c>
      <c r="T86" s="53">
        <f>T76-T65</f>
        <v>3499.0487999999987</v>
      </c>
      <c r="U86" s="48"/>
      <c r="V86" s="55">
        <f t="shared" si="14"/>
        <v>216966.24507619999</v>
      </c>
      <c r="W86" s="55">
        <f t="shared" si="15"/>
        <v>278973.15163230005</v>
      </c>
      <c r="X86" s="308">
        <v>8846.8411620999996</v>
      </c>
      <c r="Y86" s="305">
        <v>268000</v>
      </c>
      <c r="Z86" s="305">
        <v>2126.3104702000001</v>
      </c>
      <c r="AA86" s="55"/>
      <c r="AB86" s="306">
        <f t="shared" si="16"/>
        <v>105.98300200049462</v>
      </c>
      <c r="AC86" s="306">
        <f t="shared" si="17"/>
        <v>389.9563947080054</v>
      </c>
      <c r="AF86" s="63">
        <f>AA70/1000</f>
        <v>14.5027721228962</v>
      </c>
      <c r="AG86" s="63">
        <f>AB70/1000</f>
        <v>613.197646954074</v>
      </c>
    </row>
    <row r="87" spans="1:33" x14ac:dyDescent="0.2">
      <c r="A87" s="22"/>
      <c r="B87" s="28" t="s">
        <v>9</v>
      </c>
      <c r="C87" s="322">
        <v>30.95</v>
      </c>
      <c r="D87" s="221">
        <f>+$D$84</f>
        <v>0.65310000000000001</v>
      </c>
      <c r="E87" s="184">
        <f t="shared" si="19"/>
        <v>20.213000000000001</v>
      </c>
      <c r="H87" s="175">
        <f t="shared" si="20"/>
        <v>0.94</v>
      </c>
      <c r="I87" s="178">
        <f t="shared" si="20"/>
        <v>0.89</v>
      </c>
      <c r="N87" s="64"/>
      <c r="O87" s="65"/>
      <c r="P87" s="117" t="s">
        <v>150</v>
      </c>
      <c r="Q87" s="141">
        <f>Q86*(E113-E114)</f>
        <v>111915.94642370578</v>
      </c>
      <c r="R87" s="58"/>
      <c r="S87" s="117" t="s">
        <v>150</v>
      </c>
      <c r="T87" s="141">
        <f>T86*(H113-H114)</f>
        <v>45019.973232977369</v>
      </c>
      <c r="U87" s="59"/>
      <c r="V87" s="55">
        <f>SUM(V75:V86)</f>
        <v>2766689.1859905999</v>
      </c>
      <c r="W87" s="55">
        <f>SUM(W75:W86)</f>
        <v>3687783.9712201003</v>
      </c>
      <c r="X87" s="55">
        <f>SUM(X75:X86)</f>
        <v>106745.93510699998</v>
      </c>
      <c r="Y87" s="55">
        <f>SUM(Y75:Y86)</f>
        <v>3555030</v>
      </c>
      <c r="Z87" s="55">
        <f>SUM(Z75:Z86)</f>
        <v>26008.036113100003</v>
      </c>
      <c r="AA87" s="55"/>
      <c r="AB87" s="55">
        <f>SUM(AB75:AB86)</f>
        <v>1388.9302336530077</v>
      </c>
      <c r="AC87" s="55">
        <f>SUM(AC75:AC86)</f>
        <v>5065.5429235576921</v>
      </c>
      <c r="AF87" s="63">
        <f t="shared" si="18"/>
        <v>18.8280758994987</v>
      </c>
      <c r="AG87" s="63">
        <f t="shared" si="18"/>
        <v>692.88769986063505</v>
      </c>
    </row>
    <row r="88" spans="1:33" x14ac:dyDescent="0.2">
      <c r="A88" s="22"/>
      <c r="B88" s="28" t="s">
        <v>10</v>
      </c>
      <c r="C88" s="69">
        <v>29.6</v>
      </c>
      <c r="D88" s="111">
        <f>+$D$79</f>
        <v>0.78459999999999996</v>
      </c>
      <c r="E88" s="181">
        <f t="shared" si="19"/>
        <v>23.224</v>
      </c>
      <c r="H88" s="176">
        <f>H79</f>
        <v>0.93</v>
      </c>
      <c r="I88" s="176">
        <f>I79</f>
        <v>0.95</v>
      </c>
    </row>
    <row r="89" spans="1:33" x14ac:dyDescent="0.2">
      <c r="A89" s="22"/>
      <c r="B89" s="28" t="s">
        <v>11</v>
      </c>
      <c r="C89" s="69">
        <v>30.09</v>
      </c>
      <c r="D89" s="111">
        <f>+$D$79</f>
        <v>0.78459999999999996</v>
      </c>
      <c r="E89" s="181">
        <f t="shared" si="19"/>
        <v>23.609000000000002</v>
      </c>
      <c r="H89" s="176">
        <f>H79</f>
        <v>0.93</v>
      </c>
      <c r="I89" s="176">
        <f>I79</f>
        <v>0.95</v>
      </c>
    </row>
    <row r="90" spans="1:33" x14ac:dyDescent="0.2">
      <c r="A90" s="22"/>
      <c r="B90" s="28" t="s">
        <v>12</v>
      </c>
      <c r="C90" s="69">
        <v>33.46</v>
      </c>
      <c r="D90" s="111">
        <f>+$D$79</f>
        <v>0.78459999999999996</v>
      </c>
      <c r="E90" s="181">
        <f t="shared" si="19"/>
        <v>26.253</v>
      </c>
      <c r="G90" s="70"/>
      <c r="H90" s="176">
        <f>H79</f>
        <v>0.93</v>
      </c>
      <c r="I90" s="176">
        <f>I79</f>
        <v>0.95</v>
      </c>
    </row>
    <row r="91" spans="1:33" x14ac:dyDescent="0.2">
      <c r="A91" s="22"/>
      <c r="B91" s="28"/>
      <c r="C91" s="69"/>
      <c r="D91" s="69"/>
      <c r="G91" s="70"/>
      <c r="L91" s="70"/>
      <c r="X91" s="13" t="s">
        <v>210</v>
      </c>
    </row>
    <row r="92" spans="1:33" x14ac:dyDescent="0.2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P92" s="269">
        <v>2019</v>
      </c>
      <c r="Q92" s="13" t="s">
        <v>215</v>
      </c>
      <c r="R92" s="13" t="s">
        <v>216</v>
      </c>
      <c r="S92" s="13" t="s">
        <v>217</v>
      </c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33" x14ac:dyDescent="0.2">
      <c r="A93" s="22"/>
      <c r="C93" s="71"/>
      <c r="D93" s="71"/>
      <c r="E93" s="71"/>
      <c r="F93" s="71"/>
      <c r="P93" s="13" t="s">
        <v>0</v>
      </c>
      <c r="Q93" s="202">
        <v>1825240900.7343421</v>
      </c>
      <c r="R93" s="202">
        <v>1618214380</v>
      </c>
      <c r="S93" s="50">
        <f>SUM(Q93:R93)</f>
        <v>3443455280.7343421</v>
      </c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33" x14ac:dyDescent="0.2">
      <c r="A94" s="22"/>
      <c r="B94" s="28" t="s">
        <v>280</v>
      </c>
      <c r="C94" s="72"/>
      <c r="D94" s="72"/>
      <c r="E94" s="154">
        <v>0.105545</v>
      </c>
      <c r="F94" s="154">
        <v>0.105545</v>
      </c>
      <c r="G94" s="154">
        <v>0.105545</v>
      </c>
      <c r="H94" s="154">
        <v>0.105545</v>
      </c>
      <c r="I94" s="154">
        <v>0.105545</v>
      </c>
      <c r="J94" s="72"/>
      <c r="K94" s="72"/>
      <c r="L94" s="72"/>
      <c r="M94" s="72"/>
      <c r="P94" s="13" t="s">
        <v>253</v>
      </c>
      <c r="Q94" s="202">
        <v>150082002.84965891</v>
      </c>
      <c r="R94" s="202">
        <v>86445768</v>
      </c>
      <c r="S94" s="50">
        <f>SUM(Q94:R94)</f>
        <v>236527770.84965891</v>
      </c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33" x14ac:dyDescent="0.2">
      <c r="A95" s="22"/>
      <c r="B95" s="13" t="s">
        <v>281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P95" s="13" t="s">
        <v>254</v>
      </c>
      <c r="Q95" s="50">
        <f>SUM(Q93:Q94)</f>
        <v>1975322903.5840011</v>
      </c>
      <c r="R95" s="50">
        <f>SUM(R93:R94)</f>
        <v>1704660148</v>
      </c>
      <c r="S95" s="50">
        <f>SUM(S93:S94)</f>
        <v>3679983051.5840011</v>
      </c>
      <c r="T95" s="55">
        <f>SUM(F65:F68)</f>
        <v>3679982</v>
      </c>
      <c r="W95" s="13" t="s">
        <v>204</v>
      </c>
      <c r="X95" s="13">
        <f>(9*18+10*34)/52</f>
        <v>9.6538461538461533</v>
      </c>
      <c r="Y95" s="13">
        <f>X95*365*5/7</f>
        <v>2516.8956043956036</v>
      </c>
      <c r="Z95" s="13">
        <f>365*24</f>
        <v>8760</v>
      </c>
      <c r="AA95" s="13">
        <f>Y95/Z95</f>
        <v>0.28731684981684974</v>
      </c>
    </row>
    <row r="96" spans="1:33" x14ac:dyDescent="0.2">
      <c r="A96" s="22"/>
      <c r="C96" s="73"/>
      <c r="D96" s="73"/>
      <c r="E96" s="73"/>
      <c r="F96" s="73"/>
      <c r="G96" s="73"/>
      <c r="H96" s="73"/>
      <c r="I96" s="73"/>
      <c r="J96" s="73" t="s">
        <v>255</v>
      </c>
      <c r="K96" s="73"/>
      <c r="L96" s="73"/>
      <c r="M96" s="73" t="s">
        <v>255</v>
      </c>
      <c r="Q96" s="50"/>
      <c r="R96" s="50"/>
      <c r="S96" s="50"/>
      <c r="T96" s="55"/>
    </row>
    <row r="97" spans="1:20" x14ac:dyDescent="0.2">
      <c r="A97" s="22"/>
      <c r="B97" s="236" t="s">
        <v>282</v>
      </c>
      <c r="C97" s="241"/>
      <c r="D97" s="241"/>
      <c r="E97" s="245">
        <f>ROUND(1-1/E98,6)</f>
        <v>9.8632999999999998E-2</v>
      </c>
      <c r="F97" s="245">
        <f>ROUND(1-1/F98,6)</f>
        <v>9.8632999999999998E-2</v>
      </c>
      <c r="G97" s="245">
        <f>ROUND(1-1/G98,6)</f>
        <v>9.8632999999999998E-2</v>
      </c>
      <c r="H97" s="245">
        <f>ROUND(1-1/H98,6)</f>
        <v>9.8632999999999998E-2</v>
      </c>
      <c r="I97" s="245">
        <f>ROUND(1-1/I98,6)</f>
        <v>9.8632999999999998E-2</v>
      </c>
      <c r="Q97" s="50"/>
      <c r="R97" s="50"/>
      <c r="S97" s="50"/>
      <c r="T97" s="55"/>
    </row>
    <row r="98" spans="1:20" x14ac:dyDescent="0.2">
      <c r="A98" s="22"/>
      <c r="B98" s="236" t="s">
        <v>283</v>
      </c>
      <c r="C98" s="241"/>
      <c r="D98" s="241"/>
      <c r="E98" s="412">
        <v>1.1094255786866214</v>
      </c>
      <c r="F98" s="412">
        <v>1.1094255786866214</v>
      </c>
      <c r="G98" s="412">
        <v>1.1094255786866214</v>
      </c>
      <c r="H98" s="412">
        <v>1.1094255786866214</v>
      </c>
      <c r="I98" s="412">
        <v>1.1094255786866214</v>
      </c>
    </row>
    <row r="99" spans="1:20" x14ac:dyDescent="0.2">
      <c r="A99" s="22"/>
      <c r="C99" s="73"/>
      <c r="D99" s="73"/>
      <c r="E99" s="89"/>
      <c r="F99" s="264"/>
      <c r="G99" s="73"/>
      <c r="H99" s="73"/>
      <c r="I99" s="73"/>
      <c r="J99" s="73"/>
      <c r="K99" s="73"/>
      <c r="L99" s="73"/>
    </row>
    <row r="100" spans="1:20" x14ac:dyDescent="0.2">
      <c r="A100" s="22"/>
      <c r="C100" s="73"/>
      <c r="D100" s="73"/>
      <c r="E100" s="265"/>
      <c r="F100" s="266"/>
      <c r="G100" s="73"/>
      <c r="H100" s="73"/>
      <c r="I100" s="73"/>
      <c r="J100" s="73"/>
      <c r="K100" s="73"/>
      <c r="L100" s="263"/>
    </row>
    <row r="101" spans="1:20" x14ac:dyDescent="0.2">
      <c r="A101" s="22"/>
      <c r="B101" s="36" t="s">
        <v>288</v>
      </c>
      <c r="C101" s="73"/>
      <c r="D101" s="73"/>
      <c r="E101" s="73"/>
      <c r="F101" s="73"/>
      <c r="G101" s="73"/>
      <c r="H101" s="73"/>
      <c r="I101" s="73"/>
      <c r="J101" s="264"/>
      <c r="K101" s="264"/>
      <c r="L101" s="250"/>
    </row>
    <row r="102" spans="1:20" x14ac:dyDescent="0.2">
      <c r="A102" s="22"/>
      <c r="B102" s="13" t="s">
        <v>255</v>
      </c>
      <c r="I102" s="73"/>
      <c r="J102" s="264"/>
      <c r="K102" s="264"/>
      <c r="L102" s="73"/>
    </row>
    <row r="103" spans="1:20" ht="15.75" x14ac:dyDescent="0.25">
      <c r="A103" s="22"/>
      <c r="B103" s="414" t="str">
        <f>$B$1</f>
        <v xml:space="preserve">Jersey Central Power &amp; Light </v>
      </c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</row>
    <row r="104" spans="1:20" ht="15.75" x14ac:dyDescent="0.25">
      <c r="A104" s="22"/>
      <c r="B104" s="414" t="str">
        <f>$B$2</f>
        <v>Attachment 2</v>
      </c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</row>
    <row r="105" spans="1:20" x14ac:dyDescent="0.2">
      <c r="A105" s="22"/>
    </row>
    <row r="106" spans="1:20" x14ac:dyDescent="0.2">
      <c r="A106" s="22"/>
    </row>
    <row r="107" spans="1:20" x14ac:dyDescent="0.2">
      <c r="A107" s="18" t="s">
        <v>34</v>
      </c>
      <c r="B107" s="16" t="s">
        <v>51</v>
      </c>
    </row>
    <row r="108" spans="1:20" x14ac:dyDescent="0.2">
      <c r="A108" s="22"/>
      <c r="B108" s="17" t="s">
        <v>171</v>
      </c>
    </row>
    <row r="109" spans="1:20" x14ac:dyDescent="0.2">
      <c r="A109" s="22"/>
      <c r="B109" s="17" t="s">
        <v>21</v>
      </c>
    </row>
    <row r="110" spans="1:20" x14ac:dyDescent="0.2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</row>
    <row r="111" spans="1:20" x14ac:dyDescent="0.2">
      <c r="A111" s="22"/>
    </row>
    <row r="112" spans="1:20" x14ac:dyDescent="0.2">
      <c r="A112" s="22"/>
      <c r="B112" s="28" t="s">
        <v>17</v>
      </c>
      <c r="C112" s="74"/>
      <c r="D112" s="74"/>
      <c r="E112" s="75">
        <f>(SUMPRODUCT(E20:E23,E65:E68,$C84:$C87,$H84:$H87)*E95+SUMPRODUCT(Q20:Q23,E65:E68,$E84:$E87,$I84:$I87)*E95)/SUM(E65:E68)</f>
        <v>27.815188022871588</v>
      </c>
      <c r="F112" s="75">
        <f>(SUMPRODUCT(F20:F23,F65:F68,$C84:$C87,$H84:$H87)*F95+SUMPRODUCT(R20:R23,F65:F68,$E84:$E87,$I84:$I87)*F95)/SUM(F65:F68)</f>
        <v>27.889351151425782</v>
      </c>
      <c r="G112" s="75">
        <f>(SUMPRODUCT(G20:G23,G65:G68,$C84:$C87,$H84:$H87)*G95+SUMPRODUCT(S20:S23,G65:G68,$E84:$E87,$I84:$I87)*G95)/SUM(G65:G68)</f>
        <v>28.650005887744769</v>
      </c>
      <c r="H112" s="75">
        <f>(SUMPRODUCT(H20:H23,H65:H68,$C84:$C87,$H84:$H87)*H95+SUMPRODUCT(T20:T23,H65:H68,$E84:$E87,$I84:$I87)*H95)/SUM(H65:H68)</f>
        <v>28.408314142410394</v>
      </c>
      <c r="I112" s="75">
        <f>(SUMPRODUCT(I20:I23,I65:I68,$C84:$C87,$H84:$H87)*I95+SUMPRODUCT(U20:U23,I65:I68,$E84:$E87,$I84:$I87)*I95)/SUM(I65:I68)</f>
        <v>24.58533889770866</v>
      </c>
      <c r="J112" s="76"/>
      <c r="K112" s="76"/>
      <c r="L112" s="74"/>
    </row>
    <row r="113" spans="1:12" x14ac:dyDescent="0.2">
      <c r="A113" s="22"/>
      <c r="B113" s="77" t="s">
        <v>41</v>
      </c>
      <c r="C113" s="74"/>
      <c r="D113" s="74"/>
      <c r="E113" s="75">
        <f>(SUMPRODUCT(E20:E23,E65:E68,$C84:$C87,$H84:$H87)*E95)/SUMPRODUCT(E20:E23,E65:E68)</f>
        <v>34.153010025387808</v>
      </c>
      <c r="F113" s="75">
        <f>(SUMPRODUCT(F20:F23,F65:F68,$C84:$C87,$H84:$H87)*F95)/SUMPRODUCT(F20:F23,F65:F68)</f>
        <v>34.206524103370306</v>
      </c>
      <c r="G113" s="75">
        <f>(SUMPRODUCT(G20:G23,G65:G68,$C84:$C87,$H84:$H87)*G95)/SUMPRODUCT(G20:G23,G65:G68)</f>
        <v>34.042502851729409</v>
      </c>
      <c r="H113" s="75">
        <f>(SUMPRODUCT(H20:H23,H65:H68,$C84:$C87,$H84:$H87)*H95)/SUMPRODUCT(H20:H23,H65:H68)</f>
        <v>33.890480757550094</v>
      </c>
      <c r="I113" s="75">
        <f>(SUMPRODUCT(I20:I23,I65:I68,$C84:$C87,$H84:$H87)*I95)/SUMPRODUCT(I20:I23,I65:I68)</f>
        <v>33.935952354473258</v>
      </c>
      <c r="J113" s="76"/>
      <c r="K113" s="76"/>
      <c r="L113" s="74"/>
    </row>
    <row r="114" spans="1:12" x14ac:dyDescent="0.2">
      <c r="A114" s="22"/>
      <c r="B114" s="77" t="s">
        <v>42</v>
      </c>
      <c r="C114" s="74"/>
      <c r="D114" s="74"/>
      <c r="E114" s="75">
        <f>(SUMPRODUCT(Q20:Q23,E65:E68,$E84:$E87,$I84:$I87)*E95)/SUMPRODUCT(Q20:Q23,E65:E68)</f>
        <v>21.122380028577492</v>
      </c>
      <c r="F114" s="75">
        <f>(SUMPRODUCT(R20:R23,F65:F68,$E84:$E87,$I84:$I87)*F95)/SUMPRODUCT(R20:R23,F65:F68)</f>
        <v>21.164157715687846</v>
      </c>
      <c r="G114" s="75">
        <f>(SUMPRODUCT(S20:S23,G65:G68,$E84:$E87,$I84:$I87)*G95)/SUMPRODUCT(S20:S23,G65:G68)</f>
        <v>21.114222499706809</v>
      </c>
      <c r="H114" s="75">
        <f>(SUMPRODUCT(T20:T23,H65:H68,$E84:$E87,$I84:$I87)*H95)/SUMPRODUCT(T20:T23,H65:H68)</f>
        <v>21.024134557126313</v>
      </c>
      <c r="I114" s="75">
        <f>(SUMPRODUCT(U20:U23,I65:I68,$E84:$E87,$I84:$I87)*I95)/SUMPRODUCT(U20:U23,I65:I68)</f>
        <v>21.061196295453463</v>
      </c>
      <c r="J114" s="76"/>
      <c r="K114" s="76"/>
      <c r="L114" s="74"/>
    </row>
    <row r="115" spans="1:12" x14ac:dyDescent="0.2">
      <c r="A115" s="22"/>
      <c r="C115" s="142"/>
      <c r="D115" s="142"/>
      <c r="E115" s="143"/>
      <c r="F115" s="143"/>
      <c r="G115" s="143"/>
      <c r="H115" s="143"/>
      <c r="I115" s="143"/>
      <c r="J115" s="76"/>
      <c r="K115" s="76"/>
      <c r="L115" s="142"/>
    </row>
    <row r="116" spans="1:12" x14ac:dyDescent="0.2">
      <c r="A116" s="22"/>
      <c r="B116" s="28" t="s">
        <v>18</v>
      </c>
      <c r="C116" s="74"/>
      <c r="D116" s="74"/>
      <c r="E116" s="75">
        <f>(SUMPRODUCT(E15:E19,E60:E64,$C79:$C83,$H79:$H83)*E95+SUMPRODUCT(Q15:Q19,E60:E64,$E79:$E83,$I79:$I83)*E95+SUMPRODUCT(E24:E26,E69:E71,$C88:$C90,$H88:$H90)*E95+SUMPRODUCT(Q24:Q26,E69:E71,$E88:$E90,$I88:$I90)*E95)/SUM(E60:E64,E69:E71)</f>
        <v>33.798796787953236</v>
      </c>
      <c r="F116" s="75">
        <f>(SUMPRODUCT(F15:F19,F60:F64,$C79:$C83,$H79:$H83)*F95+SUMPRODUCT(R15:R19,F60:F64,$E79:$E83,$I79:$I83)*F95+SUMPRODUCT(F24:F26,F69:F71,$C88:$C90,$H88:$H90)*F95+SUMPRODUCT(R24:R26,F69:F71,$E88:$E90,$I88:$I90)*F95)/SUM(F60:F64,F69:F71)</f>
        <v>33.364294526055438</v>
      </c>
      <c r="G116" s="75">
        <f>(SUMPRODUCT(G15:G19,G60:G64,$C79:$C83,$H79:$H83)*G95+SUMPRODUCT(S15:S19,G60:G64,$E79:$E83,$I79:$I83)*G95+SUMPRODUCT(G24:G26,G69:G71,$C88:$C90,$H88:$H90)*G95+SUMPRODUCT(S24:S26,G69:G71,$E88:$E90,$I88:$I90)*G95)/SUM(G60:G64,G69:G71)</f>
        <v>33.775304087933755</v>
      </c>
      <c r="H116" s="75">
        <f>(SUMPRODUCT(H15:H19,H60:H64,$C79:$C83,$H79:$H83)*H95+SUMPRODUCT(T15:T19,H60:H64,$E79:$E83,$I79:$I83)*H95+SUMPRODUCT(H24:H26,H69:H71,$C88:$C90,$H88:$H90)*H95+SUMPRODUCT(T24:T26,H69:H71,$E88:$E90,$I88:$I90)*H95)/SUM(H60:H64,H69:H71)</f>
        <v>34.226728276129116</v>
      </c>
      <c r="I116" s="75">
        <f>(SUMPRODUCT(I15:I19,I60:I64,$C79:$C83,$H79:$H83)*I95+SUMPRODUCT(U15:U19,I60:I64,$E79:$E83,$I79:$I83)*I95+SUMPRODUCT(I24:I26,I69:I71,$C88:$C90,$H88:$H90)*I95+SUMPRODUCT(U24:U26,I69:I71,$E88:$E90,$I88:$I90)*I95)/SUM(I60:I64,I69:I71)</f>
        <v>31.482102361913118</v>
      </c>
      <c r="J116" s="76"/>
      <c r="K116" s="76"/>
      <c r="L116" s="74"/>
    </row>
    <row r="117" spans="1:12" x14ac:dyDescent="0.2">
      <c r="A117" s="22"/>
      <c r="B117" s="77" t="s">
        <v>41</v>
      </c>
      <c r="C117" s="74"/>
      <c r="D117" s="74"/>
      <c r="E117" s="75">
        <f>(SUMPRODUCT(E15:E19,E60:E64,$C79:$C83,$H79:$H83)*E95+SUMPRODUCT(E24:E26,E69:E71,$C88:$C90,$H88:$H90)*E95)/(SUMPRODUCT(E15:E19,E60:E64)+SUMPRODUCT(E24:E26,E69:E71))</f>
        <v>37.708574203145865</v>
      </c>
      <c r="F117" s="75">
        <f>(SUMPRODUCT(F15:F19,F60:F64,$C79:$C83,$H79:$H83)*F95+SUMPRODUCT(F24:F26,F69:F71,$C88:$C90,$H88:$H90)*F95)/(SUMPRODUCT(F15:F19,F60:F64)+SUMPRODUCT(F24:F26,F69:F71))</f>
        <v>37.027950896330132</v>
      </c>
      <c r="G117" s="75">
        <f>(SUMPRODUCT(G15:G19,G60:G64,$C79:$C83,$H79:$H83)*G95+SUMPRODUCT(G24:G26,G69:G71,$C88:$C90,$H88:$H90)*G95)/(SUMPRODUCT(G15:G19,G60:G64)+SUMPRODUCT(G24:G26,G69:G71))</f>
        <v>36.771310867151279</v>
      </c>
      <c r="H117" s="75">
        <f>(SUMPRODUCT(H15:H19,H60:H64,$C79:$C83,$H79:$H83)*H95+SUMPRODUCT(H24:H26,H69:H71,$C88:$C90,$H88:$H90)*H95)/(SUMPRODUCT(H15:H19,H60:H64)+SUMPRODUCT(H24:H26,H69:H71))</f>
        <v>37.501778745295283</v>
      </c>
      <c r="I117" s="75">
        <f>(SUMPRODUCT(I15:I19,I60:I64,$C79:$C83,$H79:$H83)*I95+SUMPRODUCT(I24:I26,I69:I71,$C88:$C90,$H88:$H90)*I95)/(SUMPRODUCT(I15:I19,I60:I64)+SUMPRODUCT(I24:I26,I69:I71))</f>
        <v>36.618582132163688</v>
      </c>
      <c r="J117" s="76"/>
      <c r="K117" s="76"/>
      <c r="L117" s="74"/>
    </row>
    <row r="118" spans="1:12" x14ac:dyDescent="0.2">
      <c r="A118" s="22"/>
      <c r="B118" s="77" t="s">
        <v>42</v>
      </c>
      <c r="C118" s="74"/>
      <c r="D118" s="74"/>
      <c r="E118" s="75">
        <f>(SUMPRODUCT(Q15:Q19,E60:E64,$E79:$E83,$I79:$I83)*E95+SUMPRODUCT(Q24:Q26,E69:E71,$E88:$E90,$I88:$I90)*E95)/(SUMPRODUCT(Q15:Q19,E60:E64)+SUMPRODUCT(Q24:Q26,E69:E71))</f>
        <v>30.277867535025596</v>
      </c>
      <c r="F118" s="75">
        <f>(SUMPRODUCT(R15:R19,F60:F64,$E79:$E83,$I79:$I83)*F95+SUMPRODUCT(R24:R26,F69:F71,$E88:$E90,$I88:$I90)*F95)/(SUMPRODUCT(R15:R19,F60:F64)+SUMPRODUCT(R24:R26,F69:F71))</f>
        <v>29.718585944403333</v>
      </c>
      <c r="G118" s="75">
        <f>(SUMPRODUCT(S15:S19,G60:G64,$E79:$E83,$I79:$I83)*G95+SUMPRODUCT(S24:S26,G69:G71,$E88:$E90,$I88:$I90)*G95)/(SUMPRODUCT(S15:S19,G60:G64)+SUMPRODUCT(S24:S26,G69:G71))</f>
        <v>29.675766767090341</v>
      </c>
      <c r="H118" s="75">
        <f>(SUMPRODUCT(T15:T19,H60:H64,$E79:$E83,$I79:$I83)*H95+SUMPRODUCT(T24:T26,H69:H71,$E88:$E90,$I88:$I90)*H95)/(SUMPRODUCT(T15:T19,H60:H64)+SUMPRODUCT(T24:T26,H69:H71))</f>
        <v>30.178184356620797</v>
      </c>
      <c r="I118" s="75">
        <f>(SUMPRODUCT(U15:U19,I60:I64,$E79:$E83,$I79:$I83)*I95+SUMPRODUCT(U24:U26,I69:I71,$E88:$E90,$I88:$I90)*I95)/(SUMPRODUCT(U15:U19,I60:I64)+SUMPRODUCT(U24:U26,I69:I71))</f>
        <v>29.222376696042058</v>
      </c>
      <c r="J118" s="76"/>
      <c r="K118" s="76"/>
      <c r="L118" s="74"/>
    </row>
    <row r="119" spans="1:12" x14ac:dyDescent="0.2">
      <c r="A119" s="22"/>
      <c r="C119" s="142"/>
      <c r="D119" s="142"/>
      <c r="E119" s="143"/>
      <c r="F119" s="143"/>
      <c r="G119" s="143"/>
      <c r="H119" s="143"/>
      <c r="I119" s="143"/>
      <c r="J119" s="76"/>
      <c r="K119" s="76"/>
      <c r="L119" s="142"/>
    </row>
    <row r="120" spans="1:12" x14ac:dyDescent="0.2">
      <c r="A120" s="22"/>
      <c r="B120" s="13" t="s">
        <v>16</v>
      </c>
      <c r="C120" s="74"/>
      <c r="D120" s="78"/>
      <c r="E120" s="79">
        <f>(E112*SUM(E65:E68)+E116*SUM(E60:E64,E69:E71))/E72</f>
        <v>31.894605928020969</v>
      </c>
      <c r="F120" s="79">
        <f>(F112*SUM(F65:F68)+F116*SUM(F60:F64,F69:F71))/F72</f>
        <v>31.147873457099315</v>
      </c>
      <c r="G120" s="79">
        <f>(G112*SUM(G65:G68)+G116*SUM(G60:G64,G69:G71))/G72</f>
        <v>31.956156132043105</v>
      </c>
      <c r="H120" s="79">
        <f>(H112*SUM(H65:H68)+H116*SUM(H60:H64,H69:H71))/H72</f>
        <v>32.659325144767273</v>
      </c>
      <c r="I120" s="79">
        <f>(I112*SUM(I65:I68)+I116*SUM(I60:I64,I69:I71))/I72</f>
        <v>29.183181207178297</v>
      </c>
      <c r="J120" s="76"/>
      <c r="K120" s="76"/>
      <c r="L120" s="78"/>
    </row>
    <row r="121" spans="1:12" x14ac:dyDescent="0.2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1:12" x14ac:dyDescent="0.2">
      <c r="A122" s="22"/>
      <c r="B122" s="13" t="s">
        <v>44</v>
      </c>
      <c r="C122" s="80">
        <f>SUMPRODUCT(C120:I120,C72:I72)/SUM(C72:I72)</f>
        <v>31.466173622885439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2" x14ac:dyDescent="0.2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1:12" x14ac:dyDescent="0.2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1:12" x14ac:dyDescent="0.2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1:12" x14ac:dyDescent="0.2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1:12" x14ac:dyDescent="0.2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x14ac:dyDescent="0.2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</row>
    <row r="129" spans="1:12" x14ac:dyDescent="0.2">
      <c r="A129" s="22"/>
      <c r="C129" s="81"/>
    </row>
    <row r="130" spans="1:12" x14ac:dyDescent="0.2">
      <c r="A130" s="22"/>
      <c r="B130" s="28" t="s">
        <v>17</v>
      </c>
      <c r="C130" s="76"/>
      <c r="D130" s="76"/>
      <c r="E130" s="76">
        <f>SUM(E65:E68)*E112/1000</f>
        <v>2023.1655160315877</v>
      </c>
      <c r="F130" s="76">
        <f>SUM(F65:F68)*F112/1000</f>
        <v>102632.31022892616</v>
      </c>
      <c r="G130" s="76">
        <f>SUM(G65:G68)*G112/1000</f>
        <v>60524.111538061006</v>
      </c>
      <c r="H130" s="76">
        <f>SUM(H65:H68)*H112/1000</f>
        <v>910.08875186625937</v>
      </c>
      <c r="I130" s="76">
        <f>SUM(I65:I68)*I112/1000</f>
        <v>943.0936001161042</v>
      </c>
      <c r="J130" s="76">
        <f>SUM(E130:I130)</f>
        <v>167032.76963500111</v>
      </c>
      <c r="K130" s="76"/>
      <c r="L130" s="76"/>
    </row>
    <row r="131" spans="1:12" x14ac:dyDescent="0.2">
      <c r="A131" s="22"/>
      <c r="B131" s="77" t="s">
        <v>41</v>
      </c>
      <c r="C131" s="76"/>
      <c r="D131" s="76"/>
      <c r="E131" s="76">
        <f>SUMPRODUCT(E65:E68,E20:E23)*E113/1000</f>
        <v>1275.9138520837828</v>
      </c>
      <c r="F131" s="76">
        <f>SUMPRODUCT(F65:F68,F20:F23)*F113/1000</f>
        <v>64908.716886166723</v>
      </c>
      <c r="G131" s="76">
        <f>SUMPRODUCT(G65:G68,G20:G23)*G113/1000</f>
        <v>41919.18544422181</v>
      </c>
      <c r="H131" s="76">
        <f>SUMPRODUCT(H65:H68,H20:H23)*H113/1000</f>
        <v>623.10757646555737</v>
      </c>
      <c r="I131" s="76">
        <f>SUMPRODUCT(I65:I68,I20:I23)*I113/1000</f>
        <v>356.33058789363344</v>
      </c>
      <c r="J131" s="76">
        <f>SUM(E131:I131)</f>
        <v>109083.2543468315</v>
      </c>
      <c r="K131" s="76"/>
      <c r="L131" s="76"/>
    </row>
    <row r="132" spans="1:12" x14ac:dyDescent="0.2">
      <c r="A132" s="22"/>
      <c r="B132" s="77" t="s">
        <v>42</v>
      </c>
      <c r="C132" s="76"/>
      <c r="D132" s="76"/>
      <c r="E132" s="76">
        <f>SUMPRODUCT(E65:E68,Q20:Q23)*E114/1000</f>
        <v>747.25166394780501</v>
      </c>
      <c r="F132" s="76">
        <f>SUMPRODUCT(F65:F68,R20:R23)*F114/1000</f>
        <v>37723.593342759421</v>
      </c>
      <c r="G132" s="76">
        <f>SUMPRODUCT(G65:G68,S20:S23)*G114/1000</f>
        <v>18604.926093839196</v>
      </c>
      <c r="H132" s="76">
        <f>SUMPRODUCT(H65:H68,T20:T23)*H114/1000</f>
        <v>286.98117540070211</v>
      </c>
      <c r="I132" s="76">
        <f>SUMPRODUCT(I65:I68,U20:U23)*I114/1000</f>
        <v>586.76301222247059</v>
      </c>
      <c r="J132" s="76">
        <f>SUM(E132:I132)</f>
        <v>57949.515288169598</v>
      </c>
      <c r="K132" s="76"/>
      <c r="L132" s="76"/>
    </row>
    <row r="133" spans="1:12" x14ac:dyDescent="0.2">
      <c r="A133" s="22"/>
      <c r="C133" s="82"/>
      <c r="D133" s="82"/>
      <c r="E133" s="82"/>
      <c r="F133" s="82"/>
      <c r="G133" s="82"/>
      <c r="H133" s="82"/>
      <c r="I133" s="82"/>
      <c r="J133" s="76"/>
      <c r="K133" s="76"/>
      <c r="L133" s="82"/>
    </row>
    <row r="134" spans="1:12" x14ac:dyDescent="0.2">
      <c r="A134" s="22"/>
      <c r="B134" s="28" t="s">
        <v>18</v>
      </c>
      <c r="C134" s="82"/>
      <c r="D134" s="82"/>
      <c r="E134" s="82">
        <f>SUM(E60:E64,E69:E71)*E116/1000</f>
        <v>5266.6975094828131</v>
      </c>
      <c r="F134" s="82">
        <f>SUM(F60:F64,F69:F71)*F116/1000</f>
        <v>180507.83988781038</v>
      </c>
      <c r="G134" s="82">
        <f>SUM(G60:G64,G69:G71)*G116/1000</f>
        <v>129675.38262652891</v>
      </c>
      <c r="H134" s="82">
        <f>SUM(H60:H64,H69:H71)*H116/1000</f>
        <v>2973.8235129997543</v>
      </c>
      <c r="I134" s="82">
        <f>SUM(I60:I64,I69:I71)*I116/1000</f>
        <v>2415.3068932059741</v>
      </c>
      <c r="J134" s="76">
        <f>SUM(E134:I134)</f>
        <v>320839.05043002783</v>
      </c>
      <c r="K134" s="76"/>
      <c r="L134" s="82"/>
    </row>
    <row r="135" spans="1:12" x14ac:dyDescent="0.2">
      <c r="A135" s="22"/>
      <c r="B135" s="77" t="s">
        <v>41</v>
      </c>
      <c r="C135" s="76"/>
      <c r="D135" s="76"/>
      <c r="E135" s="76">
        <f>(SUMPRODUCT(E60:E64,E15:E19)+SUMPRODUCT(E69:E71,E24:E26))*E117/1000</f>
        <v>2784.2256385393785</v>
      </c>
      <c r="F135" s="76">
        <f>(SUMPRODUCT(F60:F64,F15:F19)+SUMPRODUCT(F69:F71,F24:F26))*F117/1000</f>
        <v>99918.546084086542</v>
      </c>
      <c r="G135" s="76">
        <f>(SUMPRODUCT(G60:G64,G15:G19)+SUMPRODUCT(G69:G71,G24:G26))*G117/1000</f>
        <v>81567.382039683682</v>
      </c>
      <c r="H135" s="76">
        <f>(SUMPRODUCT(H60:H64,H15:H19)+SUMPRODUCT(H69:H71,H24:H26))*H117/1000</f>
        <v>1801.2593279556604</v>
      </c>
      <c r="I135" s="76">
        <f>(SUMPRODUCT(I60:I64,I15:I19)+SUMPRODUCT(I69:I71,I24:I26))*I117/1000</f>
        <v>858.33509771089678</v>
      </c>
      <c r="J135" s="76">
        <f>SUM(E135:I135)</f>
        <v>186929.74818797616</v>
      </c>
      <c r="K135" s="76"/>
      <c r="L135" s="76"/>
    </row>
    <row r="136" spans="1:12" x14ac:dyDescent="0.2">
      <c r="A136" s="22"/>
      <c r="B136" s="77" t="s">
        <v>42</v>
      </c>
      <c r="C136" s="76"/>
      <c r="D136" s="76"/>
      <c r="E136" s="76">
        <f>+(SUMPRODUCT(E60:E64,Q15:Q19)+SUMPRODUCT(E69:E71,Q24:Q26))*E118/1000</f>
        <v>2482.4718709434346</v>
      </c>
      <c r="F136" s="76">
        <f>+(SUMPRODUCT(F60:F64,R15:R19)+SUMPRODUCT(F69:F71,R24:R26))*F118/1000</f>
        <v>80589.293803723864</v>
      </c>
      <c r="G136" s="76">
        <f>+(SUMPRODUCT(G60:G64,S15:S19)+SUMPRODUCT(G69:G71,S24:S26))*G118/1000</f>
        <v>48108.000586845206</v>
      </c>
      <c r="H136" s="76">
        <f>+(SUMPRODUCT(H60:H64,T15:T19)+SUMPRODUCT(H69:H71,T24:T26))*H118/1000</f>
        <v>1172.5641850440938</v>
      </c>
      <c r="I136" s="76">
        <f>+(SUMPRODUCT(I60:I64,U15:U19)+SUMPRODUCT(I69:I71,U24:U26))*I118/1000</f>
        <v>1556.9717954950777</v>
      </c>
      <c r="J136" s="76">
        <f>SUM(E136:I136)</f>
        <v>133909.30224205166</v>
      </c>
      <c r="K136" s="76"/>
      <c r="L136" s="76"/>
    </row>
    <row r="137" spans="1:12" x14ac:dyDescent="0.2">
      <c r="A137" s="22"/>
      <c r="C137" s="142"/>
      <c r="D137" s="142"/>
      <c r="E137" s="142"/>
      <c r="F137" s="142"/>
      <c r="G137" s="142"/>
      <c r="H137" s="142"/>
      <c r="I137" s="142"/>
      <c r="J137" s="76"/>
      <c r="K137" s="76"/>
      <c r="L137" s="142"/>
    </row>
    <row r="138" spans="1:12" x14ac:dyDescent="0.2">
      <c r="A138" s="22"/>
      <c r="B138" s="13" t="s">
        <v>16</v>
      </c>
      <c r="C138" s="82"/>
      <c r="D138" s="82"/>
      <c r="E138" s="82">
        <f>+E130+E134</f>
        <v>7289.8630255144008</v>
      </c>
      <c r="F138" s="82">
        <f>+F130+F134</f>
        <v>283140.15011673653</v>
      </c>
      <c r="G138" s="82">
        <f>+G130+G134</f>
        <v>190199.49416458991</v>
      </c>
      <c r="H138" s="82">
        <f>+H130+H134</f>
        <v>3883.9122648660136</v>
      </c>
      <c r="I138" s="82">
        <f>+I130+I134</f>
        <v>3358.4004933220785</v>
      </c>
      <c r="J138" s="76">
        <f>SUM(E138:I138)</f>
        <v>487871.82006502891</v>
      </c>
      <c r="K138" s="76"/>
      <c r="L138" s="82"/>
    </row>
    <row r="139" spans="1:12" x14ac:dyDescent="0.2">
      <c r="A139" s="22"/>
    </row>
    <row r="140" spans="1:12" x14ac:dyDescent="0.2">
      <c r="A140" s="22"/>
      <c r="B140" s="13" t="s">
        <v>44</v>
      </c>
      <c r="C140" s="76">
        <f>SUM(C138:I138)</f>
        <v>487871.82006502891</v>
      </c>
      <c r="E140" s="83"/>
      <c r="F140" s="74"/>
    </row>
    <row r="141" spans="1:12" x14ac:dyDescent="0.2">
      <c r="A141" s="22"/>
    </row>
    <row r="142" spans="1:12" x14ac:dyDescent="0.2">
      <c r="A142" s="22"/>
    </row>
    <row r="143" spans="1:12" ht="15.75" x14ac:dyDescent="0.25">
      <c r="A143" s="22"/>
      <c r="B143" s="414" t="str">
        <f>$B$1</f>
        <v xml:space="preserve">Jersey Central Power &amp; Light </v>
      </c>
      <c r="C143" s="414"/>
      <c r="D143" s="414"/>
      <c r="E143" s="414"/>
      <c r="F143" s="414"/>
      <c r="G143" s="414"/>
      <c r="H143" s="414"/>
      <c r="I143" s="414"/>
      <c r="J143" s="414"/>
      <c r="K143" s="414"/>
      <c r="L143" s="414"/>
    </row>
    <row r="144" spans="1:12" ht="15.75" x14ac:dyDescent="0.25">
      <c r="A144" s="22"/>
      <c r="B144" s="414" t="str">
        <f>$B$2</f>
        <v>Attachment 2</v>
      </c>
      <c r="C144" s="414"/>
      <c r="D144" s="414"/>
      <c r="E144" s="414"/>
      <c r="F144" s="414"/>
      <c r="G144" s="414"/>
      <c r="H144" s="414"/>
      <c r="I144" s="414"/>
      <c r="J144" s="414"/>
      <c r="K144" s="414"/>
      <c r="L144" s="414"/>
    </row>
    <row r="145" spans="1:51" x14ac:dyDescent="0.2">
      <c r="A145" s="22"/>
    </row>
    <row r="146" spans="1:51" x14ac:dyDescent="0.2">
      <c r="A146" s="22"/>
    </row>
    <row r="147" spans="1:51" x14ac:dyDescent="0.2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">
      <c r="A149" s="22"/>
      <c r="B149" s="17" t="s">
        <v>21</v>
      </c>
      <c r="C149" s="78"/>
    </row>
    <row r="150" spans="1:51" x14ac:dyDescent="0.2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">
      <c r="A151" s="22"/>
      <c r="C151" s="81"/>
    </row>
    <row r="152" spans="1:51" x14ac:dyDescent="0.2">
      <c r="A152" s="22"/>
      <c r="B152" s="28" t="s">
        <v>17</v>
      </c>
      <c r="C152" s="80"/>
      <c r="D152" s="80"/>
      <c r="E152" s="75">
        <f>+E130/SUM(E65:E68)*1000</f>
        <v>27.815188022871588</v>
      </c>
      <c r="F152" s="75">
        <f>+F130/SUM(F65:F68)*1000</f>
        <v>27.889351151425785</v>
      </c>
      <c r="G152" s="75">
        <f>+G130/SUM(G65:G68)*1000</f>
        <v>28.650005887744769</v>
      </c>
      <c r="H152" s="75">
        <f>+H130/SUM(H65:H68)*1000</f>
        <v>28.408314142410394</v>
      </c>
      <c r="I152" s="75">
        <f>+I130/SUM(I65:I68)*1000</f>
        <v>24.58533889770866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">
      <c r="A153" s="22"/>
      <c r="B153" s="77" t="s">
        <v>72</v>
      </c>
      <c r="C153" s="76"/>
      <c r="D153" s="76"/>
      <c r="E153" s="75">
        <f>+(E131*1000-X165*AVERAGE(E$113,E$114))/R165</f>
        <v>35.853134794444621</v>
      </c>
      <c r="F153" s="75"/>
      <c r="G153" s="75"/>
      <c r="H153" s="75">
        <f>+(H131*1000-W153*AVERAGE(H$113,H$114))/Q153</f>
        <v>35.402550714807305</v>
      </c>
      <c r="I153" s="75"/>
      <c r="J153" s="76"/>
      <c r="K153" s="76"/>
      <c r="L153" s="76"/>
      <c r="M153" s="80"/>
      <c r="P153" s="13" t="s">
        <v>14</v>
      </c>
      <c r="Q153" s="55">
        <f>T65</f>
        <v>14886.868499999999</v>
      </c>
      <c r="R153" s="55"/>
      <c r="T153" s="55">
        <f>T76</f>
        <v>18385.917299999997</v>
      </c>
      <c r="U153" s="55"/>
      <c r="W153" s="55">
        <f>+T153-Q153</f>
        <v>3499.0487999999987</v>
      </c>
      <c r="X153" s="55"/>
      <c r="Z153" s="144">
        <f>+H153*Q153/1000</f>
        <v>527.03311705591727</v>
      </c>
      <c r="AA153" s="144"/>
      <c r="AX153" s="55"/>
    </row>
    <row r="154" spans="1:51" ht="15" x14ac:dyDescent="0.35">
      <c r="A154" s="22"/>
      <c r="B154" s="77" t="s">
        <v>73</v>
      </c>
      <c r="C154" s="76"/>
      <c r="D154" s="76"/>
      <c r="E154" s="75">
        <f>+(E132*1000-X166*AVERAGE(E$113,E$114))/R166</f>
        <v>22.289025493322789</v>
      </c>
      <c r="F154" s="75"/>
      <c r="G154" s="75"/>
      <c r="H154" s="75">
        <f>+(H132*1000-W154*AVERAGE(H$113,H$114))/Q154</f>
        <v>22.336736691904317</v>
      </c>
      <c r="I154" s="75"/>
      <c r="J154" s="76"/>
      <c r="K154" s="76"/>
      <c r="L154" s="76"/>
      <c r="M154" s="80"/>
      <c r="P154" s="13" t="s">
        <v>15</v>
      </c>
      <c r="Q154" s="55">
        <f>T66</f>
        <v>17149.131500000003</v>
      </c>
      <c r="R154" s="55"/>
      <c r="T154" s="55">
        <f>T77</f>
        <v>13650.082700000003</v>
      </c>
      <c r="U154" s="55"/>
      <c r="W154" s="55">
        <f>+T154-Q154</f>
        <v>-3499.0488000000005</v>
      </c>
      <c r="X154" s="55"/>
      <c r="Z154" s="85">
        <f>+H154*Q154/1000</f>
        <v>383.05563481034216</v>
      </c>
      <c r="AA154" s="85"/>
      <c r="AX154" s="55"/>
    </row>
    <row r="155" spans="1:51" x14ac:dyDescent="0.2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910.08875186625937</v>
      </c>
      <c r="AA155" s="144"/>
      <c r="AC155" s="81">
        <f>+H130</f>
        <v>910.08875186625937</v>
      </c>
      <c r="AD155" s="81"/>
    </row>
    <row r="156" spans="1:51" x14ac:dyDescent="0.2">
      <c r="A156" s="22"/>
      <c r="B156" s="28" t="s">
        <v>18</v>
      </c>
      <c r="C156" s="78"/>
      <c r="D156" s="78"/>
      <c r="E156" s="79">
        <f>+E134/SUM(E60:E64,E69:E71)*1000</f>
        <v>33.798796787953236</v>
      </c>
      <c r="F156" s="79">
        <f>+F134/SUM(F60:F64,F69:F71)*1000</f>
        <v>33.364294526055438</v>
      </c>
      <c r="G156" s="79">
        <f>+G134/SUM(G60:G64,G69:G71)*1000</f>
        <v>33.775304087933755</v>
      </c>
      <c r="H156" s="79">
        <f>+H134/SUM(H60:H64,H69:H71)*1000</f>
        <v>34.226728276129116</v>
      </c>
      <c r="I156" s="79">
        <f>+I134/SUM(I60:I64,I69:I71)*1000</f>
        <v>31.482102361913114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">
      <c r="A157" s="22"/>
      <c r="B157" s="77" t="s">
        <v>72</v>
      </c>
      <c r="C157" s="76"/>
      <c r="D157" s="76"/>
      <c r="E157" s="75">
        <f>+(E135*1000-X170*AVERAGE(E$113,E$114))/R170</f>
        <v>41.175822113620661</v>
      </c>
      <c r="F157" s="75"/>
      <c r="G157" s="75"/>
      <c r="H157" s="75">
        <f>+(H135*1000-W157*AVERAGE(H$117,H$118))/Q157</f>
        <v>38.455413949518679</v>
      </c>
      <c r="I157" s="75"/>
      <c r="J157" s="76"/>
      <c r="K157" s="76"/>
      <c r="L157" s="76"/>
      <c r="M157" s="80"/>
      <c r="P157" s="13" t="s">
        <v>14</v>
      </c>
      <c r="Q157" s="55">
        <f>T61</f>
        <v>38107.132400000002</v>
      </c>
      <c r="R157" s="55"/>
      <c r="T157" s="55">
        <f>T72</f>
        <v>48031.303799999994</v>
      </c>
      <c r="U157" s="55"/>
      <c r="W157" s="55">
        <f>+T157-Q157</f>
        <v>9924.171399999992</v>
      </c>
      <c r="X157" s="55"/>
      <c r="Z157" s="144">
        <f>+H157*Q157/1000</f>
        <v>1465.4255508711153</v>
      </c>
      <c r="AA157" s="144"/>
      <c r="AC157" s="81"/>
      <c r="AX157" s="55"/>
    </row>
    <row r="158" spans="1:51" ht="15" x14ac:dyDescent="0.35">
      <c r="A158" s="22"/>
      <c r="B158" s="77" t="s">
        <v>73</v>
      </c>
      <c r="C158" s="76"/>
      <c r="D158" s="76"/>
      <c r="E158" s="75">
        <f>+(E136*1000-X171*AVERAGE(E$113,E$114))/R171</f>
        <v>29.784634440905112</v>
      </c>
      <c r="F158" s="75"/>
      <c r="G158" s="75"/>
      <c r="H158" s="75">
        <f>+(H136*1000-W158*AVERAGE(H$117,H$118))/Q158</f>
        <v>30.923185312498706</v>
      </c>
      <c r="I158" s="75"/>
      <c r="J158" s="76"/>
      <c r="K158" s="76"/>
      <c r="L158" s="76"/>
      <c r="M158" s="80"/>
      <c r="P158" s="13" t="s">
        <v>15</v>
      </c>
      <c r="Q158" s="55">
        <f>T62</f>
        <v>48778.867599999998</v>
      </c>
      <c r="R158" s="55"/>
      <c r="T158" s="55">
        <f>T73</f>
        <v>38854.696200000006</v>
      </c>
      <c r="U158" s="55"/>
      <c r="W158" s="55">
        <f>+T158-Q158</f>
        <v>-9924.171399999992</v>
      </c>
      <c r="X158" s="55"/>
      <c r="Z158" s="85">
        <f>+H158*Q158/1000</f>
        <v>1508.3979621286389</v>
      </c>
      <c r="AA158" s="85"/>
      <c r="AC158" s="81"/>
      <c r="AX158" s="55"/>
    </row>
    <row r="159" spans="1:51" x14ac:dyDescent="0.2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2973.8235129997543</v>
      </c>
      <c r="AA159" s="144"/>
      <c r="AC159" s="81">
        <f>+H134</f>
        <v>2973.8235129997543</v>
      </c>
      <c r="AD159" s="81"/>
    </row>
    <row r="160" spans="1:51" x14ac:dyDescent="0.2">
      <c r="A160" s="22"/>
      <c r="B160" s="13" t="s">
        <v>74</v>
      </c>
      <c r="C160" s="74"/>
      <c r="D160" s="74"/>
      <c r="E160" s="75">
        <f>(E152*SUM(E65:E68)+E156*SUM(E60:E64,E69:E71))/E72</f>
        <v>31.894605928020969</v>
      </c>
      <c r="F160" s="75">
        <f>(F152*SUM(F65:F68)+F156*SUM(F60:F64,F69:F71))/F72</f>
        <v>31.147873457099315</v>
      </c>
      <c r="G160" s="75">
        <f>(G152*SUM(G65:G68)+G156*SUM(G60:G64,G69:G71))/G72</f>
        <v>31.956156132043105</v>
      </c>
      <c r="H160" s="75">
        <f>(H152*SUM(H65:H68)+H156*SUM(H60:H64,H69:H71))/H72</f>
        <v>32.659325144767273</v>
      </c>
      <c r="I160" s="75">
        <f>(I152*SUM(I65:I68)+I156*SUM(I60:I64,I69:I71))/I72</f>
        <v>29.183181207178297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">
      <c r="A161" s="22"/>
      <c r="B161" s="13" t="s">
        <v>75</v>
      </c>
      <c r="C161" s="80">
        <f>+C140/SUM(C72:I72)*1000</f>
        <v>31.466173622885432</v>
      </c>
    </row>
    <row r="162" spans="1:51" x14ac:dyDescent="0.2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">
      <c r="A163" s="22"/>
    </row>
    <row r="164" spans="1:51" x14ac:dyDescent="0.2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">
      <c r="A165" s="22"/>
      <c r="B165" s="17" t="s">
        <v>317</v>
      </c>
      <c r="J165" s="26" t="s">
        <v>294</v>
      </c>
      <c r="K165" s="26"/>
      <c r="P165" s="13" t="s">
        <v>14</v>
      </c>
      <c r="Q165" s="55">
        <f>SUMPRODUCT(E38:E41,M65:M68)</f>
        <v>28770.069900000002</v>
      </c>
      <c r="R165" s="55">
        <f>SUMPRODUCT(E38:E41,E65:E68)</f>
        <v>29632.573200000003</v>
      </c>
      <c r="T165" s="55">
        <f>Q76</f>
        <v>37358.7526</v>
      </c>
      <c r="U165" s="55">
        <f>T165-($Q$167*$Q165/($Q$165+$Q$166))</f>
        <v>36494.781046479562</v>
      </c>
      <c r="W165" s="55">
        <f>+T165-Q165</f>
        <v>8588.6826999999976</v>
      </c>
      <c r="X165" s="55">
        <f>-Q165+U165</f>
        <v>7724.7111464795598</v>
      </c>
      <c r="Z165" s="144">
        <f>+E153*Q165/1000</f>
        <v>1031.4971941702941</v>
      </c>
      <c r="AA165" s="144"/>
      <c r="AU165" s="82"/>
      <c r="AV165" s="82"/>
      <c r="AW165" s="82"/>
      <c r="AX165" s="82"/>
      <c r="AY165" s="82"/>
    </row>
    <row r="166" spans="1:51" ht="15" x14ac:dyDescent="0.35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41844.930099999998</v>
      </c>
      <c r="R166" s="201">
        <f>SUMPRODUCT(Q38:Q41,E65:E68)</f>
        <v>43103.426800000001</v>
      </c>
      <c r="T166" s="55">
        <f>Q77</f>
        <v>35377.2474</v>
      </c>
      <c r="U166" s="55">
        <f>T166-($Q$167*$Q166/($Q$165+$Q$166))</f>
        <v>34120.634906839143</v>
      </c>
      <c r="W166" s="55">
        <f>+T166-Q166</f>
        <v>-6467.6826999999976</v>
      </c>
      <c r="X166" s="55">
        <f>-Q166+U166</f>
        <v>-7724.295193160855</v>
      </c>
      <c r="Z166" s="144">
        <f>+E154*Q166/1000</f>
        <v>932.68271376521011</v>
      </c>
      <c r="AA166" s="85"/>
      <c r="AU166" s="82"/>
      <c r="AV166" s="82"/>
      <c r="AW166" s="82"/>
      <c r="AX166" s="82"/>
      <c r="AY166" s="82"/>
    </row>
    <row r="167" spans="1:51" ht="15" x14ac:dyDescent="0.35">
      <c r="A167" s="22"/>
      <c r="P167" s="13" t="s">
        <v>191</v>
      </c>
      <c r="Q167" s="201">
        <f>SUM(W65:W68)/1000</f>
        <v>2120.5840466813002</v>
      </c>
      <c r="R167" s="55">
        <f>SUM(R165:R166)</f>
        <v>72736</v>
      </c>
      <c r="T167" s="55">
        <v>0</v>
      </c>
      <c r="U167" s="55">
        <v>0</v>
      </c>
      <c r="W167" s="55">
        <f>+T167-Q167</f>
        <v>-2120.5840466813002</v>
      </c>
      <c r="X167" s="55"/>
      <c r="Z167" s="85">
        <f>+E152*Q167/1000</f>
        <v>58.98444397674227</v>
      </c>
      <c r="AU167" s="82"/>
      <c r="AV167" s="82"/>
      <c r="AW167" s="82"/>
      <c r="AX167" s="82"/>
      <c r="AY167" s="82"/>
    </row>
    <row r="168" spans="1:51" x14ac:dyDescent="0.2">
      <c r="A168" s="22"/>
      <c r="B168" s="13" t="s">
        <v>78</v>
      </c>
      <c r="C168" s="87"/>
      <c r="D168" s="87"/>
      <c r="E168" s="87">
        <v>82.07</v>
      </c>
      <c r="F168" s="87">
        <v>2616.1</v>
      </c>
      <c r="G168" s="87">
        <v>1747.84</v>
      </c>
      <c r="H168" s="87">
        <v>43.1</v>
      </c>
      <c r="I168" s="87">
        <v>0.02</v>
      </c>
      <c r="J168" s="87">
        <f>SUM(E168:I168)</f>
        <v>4489.130000000001</v>
      </c>
      <c r="K168" s="87"/>
      <c r="L168" s="87"/>
      <c r="M168" s="87"/>
      <c r="Q168" s="55">
        <f>SUM(Q165:Q167)</f>
        <v>72735.584046681295</v>
      </c>
      <c r="Z168" s="144">
        <f>SUM(Z165:Z167)</f>
        <v>2023.1643519122465</v>
      </c>
      <c r="AA168" s="144"/>
      <c r="AC168" s="81">
        <f>+E130</f>
        <v>2023.1655160315877</v>
      </c>
      <c r="AU168" s="82"/>
      <c r="AV168" s="82"/>
      <c r="AW168" s="82"/>
      <c r="AX168" s="82"/>
      <c r="AY168" s="82"/>
    </row>
    <row r="169" spans="1:51" x14ac:dyDescent="0.2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">
      <c r="A170" s="22"/>
      <c r="K170" s="86"/>
      <c r="L170" s="86"/>
      <c r="M170" s="86"/>
      <c r="P170" s="13" t="s">
        <v>14</v>
      </c>
      <c r="Q170" s="55">
        <f>SUMPRODUCT(E33:E37,M60:M64)+SUMPRODUCT(E42:E44,M69:M71)</f>
        <v>53380.747199999998</v>
      </c>
      <c r="R170" s="55">
        <f>SUMPRODUCT(E33:E37,E60:E64)+SUMPRODUCT(E42:E44,E69:E71)</f>
        <v>54913.626099999994</v>
      </c>
      <c r="T170" s="55">
        <f>Q72</f>
        <v>73835.346399999995</v>
      </c>
      <c r="U170" s="55">
        <f>T170-($Q$172*$Q170/($Q$170+$Q$171))</f>
        <v>72308.227878876743</v>
      </c>
      <c r="W170" s="55">
        <f>+T170-Q170</f>
        <v>20454.599199999997</v>
      </c>
      <c r="X170" s="55">
        <f>-Q170+U170</f>
        <v>18927.480678876746</v>
      </c>
      <c r="Z170" s="144">
        <f>+E157*Q170/1000</f>
        <v>2197.9961509993541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35">
      <c r="A171" s="22"/>
      <c r="B171" s="13" t="s">
        <v>79</v>
      </c>
      <c r="C171" s="88" t="s">
        <v>80</v>
      </c>
      <c r="D171" s="86"/>
      <c r="E171" s="67"/>
      <c r="F171" s="67"/>
      <c r="G171" s="67"/>
      <c r="H171" s="67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98111.252800000002</v>
      </c>
      <c r="R171" s="201">
        <f>SUMPRODUCT(Q33:Q37,E60:E64)+SUMPRODUCT(Q42:Q44,E69:E71)</f>
        <v>100911.37390000001</v>
      </c>
      <c r="T171" s="55">
        <f>Q73</f>
        <v>81989.653600000005</v>
      </c>
      <c r="U171" s="55">
        <f>T171-($Q$172*$Q171/($Q$170+$Q$171))</f>
        <v>79182.883010593854</v>
      </c>
      <c r="W171" s="55">
        <f>+T171-Q171</f>
        <v>-16121.599199999997</v>
      </c>
      <c r="X171" s="55">
        <f>-Q171+U171</f>
        <v>-18928.369789406148</v>
      </c>
      <c r="Z171" s="144">
        <f>+E158*Q171/1000</f>
        <v>2922.2077991872279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35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201">
        <f>SUM(W60:W64,W69:W71)/1000</f>
        <v>4333.8891105293997</v>
      </c>
      <c r="R172" s="55">
        <f>SUM(R170:R171)</f>
        <v>155825</v>
      </c>
      <c r="T172" s="13">
        <v>0</v>
      </c>
      <c r="U172" s="55">
        <v>0</v>
      </c>
      <c r="W172" s="55">
        <f>+T172-Q172</f>
        <v>-4333.8891105293997</v>
      </c>
      <c r="X172" s="55"/>
      <c r="Z172" s="85">
        <f>+E156*Q172/1000</f>
        <v>146.48023734830659</v>
      </c>
      <c r="AU172" s="82"/>
      <c r="AV172" s="82"/>
      <c r="AW172" s="82"/>
      <c r="AX172" s="82"/>
      <c r="AY172" s="82"/>
    </row>
    <row r="173" spans="1:51" x14ac:dyDescent="0.2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272"/>
      <c r="N173" s="273"/>
      <c r="Q173" s="161">
        <f>SUM(Q170:Q172)</f>
        <v>155825.88911052939</v>
      </c>
      <c r="R173" s="26"/>
      <c r="S173" s="26"/>
      <c r="T173" s="26"/>
      <c r="U173" s="26"/>
      <c r="V173" s="26"/>
      <c r="W173" s="26"/>
      <c r="X173" s="26"/>
      <c r="Z173" s="144">
        <f>SUM(Z170:Z172)</f>
        <v>5266.6841875348882</v>
      </c>
      <c r="AA173" s="144"/>
      <c r="AC173" s="81">
        <f>+E134</f>
        <v>5266.6975094828131</v>
      </c>
      <c r="AU173" s="81"/>
      <c r="AV173" s="81"/>
      <c r="AW173" s="81"/>
      <c r="AX173" s="81"/>
      <c r="AY173" s="81"/>
    </row>
    <row r="174" spans="1:51" ht="15" x14ac:dyDescent="0.35">
      <c r="A174" s="22"/>
      <c r="D174" s="91" t="s">
        <v>84</v>
      </c>
      <c r="E174" s="90">
        <f>31+30+31+31+28+31+30+31</f>
        <v>243</v>
      </c>
      <c r="G174" s="91" t="s">
        <v>85</v>
      </c>
      <c r="H174" s="90">
        <v>8</v>
      </c>
      <c r="I174" s="86"/>
      <c r="J174" s="86"/>
      <c r="K174" s="86"/>
      <c r="L174" s="86"/>
      <c r="M174" s="272"/>
      <c r="N174" s="273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">
      <c r="A175" s="22"/>
      <c r="D175" s="282"/>
      <c r="E175" s="282"/>
      <c r="F175" s="283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N175" s="86"/>
      <c r="O175" s="87" t="s">
        <v>255</v>
      </c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7289.8630255144008</v>
      </c>
    </row>
    <row r="176" spans="1:51" x14ac:dyDescent="0.2">
      <c r="A176" s="22"/>
      <c r="B176" s="21" t="s">
        <v>158</v>
      </c>
      <c r="C176" s="92"/>
      <c r="D176" s="93"/>
      <c r="L176" s="94"/>
      <c r="N176" s="274" t="s">
        <v>255</v>
      </c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">
      <c r="A177" s="22"/>
      <c r="B177" s="319"/>
      <c r="C177" s="92"/>
      <c r="D177" s="342"/>
      <c r="E177" s="93"/>
      <c r="G177" s="325"/>
      <c r="H177" s="84"/>
      <c r="L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">
      <c r="A178" s="22"/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35">
      <c r="A179" s="22"/>
      <c r="B179" s="21" t="s">
        <v>87</v>
      </c>
      <c r="C179" s="13" t="s">
        <v>25</v>
      </c>
      <c r="D179" s="11">
        <v>176.17</v>
      </c>
      <c r="E179" s="93" t="s">
        <v>88</v>
      </c>
      <c r="G179" s="89" t="s">
        <v>162</v>
      </c>
      <c r="H179" s="81">
        <f>ROUND(D179*E173*J$168,0)</f>
        <v>96483704</v>
      </c>
      <c r="I179" s="89"/>
      <c r="J179" s="89"/>
      <c r="K179" s="89"/>
      <c r="L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35">
      <c r="A180" s="22"/>
      <c r="B180" s="21"/>
      <c r="C180" s="13" t="s">
        <v>26</v>
      </c>
      <c r="D180" s="323">
        <f>D179</f>
        <v>176.17</v>
      </c>
      <c r="E180" s="93" t="s">
        <v>88</v>
      </c>
      <c r="G180" s="121" t="s">
        <v>163</v>
      </c>
      <c r="H180" s="122">
        <f>ROUND(D180*E174*J$168,0)</f>
        <v>192176558</v>
      </c>
      <c r="I180" s="89"/>
      <c r="J180" s="89"/>
      <c r="K180" s="89"/>
      <c r="L180" s="142"/>
      <c r="P180" s="319" t="s">
        <v>291</v>
      </c>
      <c r="Z180" s="144"/>
      <c r="AA180" s="144"/>
      <c r="AC180" s="81"/>
    </row>
    <row r="181" spans="1:50" x14ac:dyDescent="0.2">
      <c r="A181" s="22"/>
      <c r="B181" s="366"/>
      <c r="C181" s="366"/>
      <c r="D181" s="366"/>
      <c r="E181" s="366"/>
      <c r="F181" s="366"/>
      <c r="G181" s="89" t="s">
        <v>164</v>
      </c>
      <c r="H181" s="81">
        <f>SUM(H179:H180)</f>
        <v>288660262</v>
      </c>
      <c r="I181" s="89"/>
      <c r="J181" s="89"/>
      <c r="K181" s="89"/>
      <c r="L181" s="142"/>
      <c r="O181" s="13">
        <v>2015</v>
      </c>
      <c r="P181" s="330">
        <f>E72</f>
        <v>228561</v>
      </c>
      <c r="Q181" s="330">
        <f>F72</f>
        <v>9090192</v>
      </c>
      <c r="R181" s="330">
        <f>G72</f>
        <v>5951889</v>
      </c>
      <c r="S181" s="330">
        <f>H72</f>
        <v>118922</v>
      </c>
      <c r="T181" s="330">
        <f>I72</f>
        <v>115080</v>
      </c>
      <c r="U181" s="330">
        <f>SUM(P181:T181)</f>
        <v>15504644</v>
      </c>
    </row>
    <row r="182" spans="1:50" x14ac:dyDescent="0.2">
      <c r="A182" s="22"/>
      <c r="B182" s="21"/>
      <c r="D182" s="11"/>
      <c r="E182" s="93"/>
      <c r="G182" s="89"/>
      <c r="H182" s="81"/>
      <c r="I182" s="89"/>
      <c r="J182" s="89"/>
      <c r="K182" s="89"/>
      <c r="L182" s="142"/>
      <c r="P182" s="330"/>
      <c r="Q182" s="330"/>
      <c r="R182" s="330"/>
      <c r="S182" s="330"/>
      <c r="T182" s="330"/>
      <c r="U182" s="330"/>
    </row>
    <row r="183" spans="1:50" x14ac:dyDescent="0.2">
      <c r="A183" s="22"/>
      <c r="B183" s="13" t="s">
        <v>153</v>
      </c>
      <c r="I183" s="89"/>
      <c r="J183" s="89"/>
      <c r="K183" s="89"/>
      <c r="L183" s="142"/>
      <c r="O183" s="13">
        <v>2014</v>
      </c>
      <c r="P183" s="330">
        <v>300812</v>
      </c>
      <c r="Q183" s="330">
        <v>9139433</v>
      </c>
      <c r="R183" s="330">
        <v>6011880</v>
      </c>
      <c r="S183" s="330">
        <v>242920</v>
      </c>
      <c r="T183" s="330">
        <v>114222</v>
      </c>
      <c r="U183" s="330">
        <f>SUM(P183:T183)</f>
        <v>15809267</v>
      </c>
    </row>
    <row r="184" spans="1:50" x14ac:dyDescent="0.2">
      <c r="A184" s="22"/>
      <c r="B184" s="17" t="s">
        <v>154</v>
      </c>
      <c r="I184" s="89"/>
      <c r="J184" s="89"/>
      <c r="K184" s="89"/>
      <c r="L184" s="142"/>
      <c r="O184" s="13">
        <v>2013</v>
      </c>
      <c r="P184" s="330">
        <v>298034</v>
      </c>
      <c r="Q184" s="330">
        <v>8751355</v>
      </c>
      <c r="R184" s="330">
        <v>5786197</v>
      </c>
      <c r="S184" s="330">
        <v>228915</v>
      </c>
      <c r="T184" s="330">
        <v>115314</v>
      </c>
      <c r="U184" s="330">
        <f>SUM(P184:T184)</f>
        <v>15179815</v>
      </c>
    </row>
    <row r="185" spans="1:50" x14ac:dyDescent="0.2">
      <c r="A185" s="22"/>
      <c r="B185" s="17"/>
      <c r="C185" s="105" t="str">
        <f>" ---------- Rate "&amp;C30&amp;" ----------"</f>
        <v xml:space="preserve"> ---------- Rate  ----------</v>
      </c>
      <c r="D185" s="106"/>
      <c r="E185" s="106"/>
      <c r="I185" s="89"/>
      <c r="J185" s="89"/>
      <c r="K185" s="89"/>
      <c r="L185" s="142"/>
      <c r="P185" s="281">
        <f t="shared" ref="P185:U185" si="21">(P181-P183)/P183</f>
        <v>-0.24018656170631492</v>
      </c>
      <c r="Q185" s="281">
        <f t="shared" si="21"/>
        <v>-5.3877521723721808E-3</v>
      </c>
      <c r="R185" s="281">
        <f t="shared" si="21"/>
        <v>-9.9787420906604918E-3</v>
      </c>
      <c r="S185" s="281">
        <f t="shared" si="21"/>
        <v>-0.51044788407706243</v>
      </c>
      <c r="T185" s="281">
        <f t="shared" si="21"/>
        <v>7.511687765929506E-3</v>
      </c>
      <c r="U185" s="281">
        <f t="shared" si="21"/>
        <v>-1.9268635288403946E-2</v>
      </c>
    </row>
    <row r="186" spans="1:50" x14ac:dyDescent="0.2">
      <c r="A186" s="22"/>
      <c r="C186" s="38" t="s">
        <v>140</v>
      </c>
      <c r="E186" s="38" t="s">
        <v>141</v>
      </c>
      <c r="I186" s="89"/>
      <c r="J186" s="89"/>
      <c r="K186" s="89"/>
      <c r="L186" s="142"/>
      <c r="P186" s="281">
        <f t="shared" ref="P186:U186" si="22">(P181-P184)/P184</f>
        <v>-0.2331042766932632</v>
      </c>
      <c r="Q186" s="281">
        <f t="shared" si="22"/>
        <v>3.8718232776524322E-2</v>
      </c>
      <c r="R186" s="281">
        <f t="shared" si="22"/>
        <v>2.8635734317376337E-2</v>
      </c>
      <c r="S186" s="281">
        <f t="shared" si="22"/>
        <v>-0.48049712775484349</v>
      </c>
      <c r="T186" s="281">
        <f t="shared" si="22"/>
        <v>-2.0292418960403766E-3</v>
      </c>
      <c r="U186" s="281">
        <f t="shared" si="22"/>
        <v>2.139874563688688E-2</v>
      </c>
    </row>
    <row r="187" spans="1:50" x14ac:dyDescent="0.2">
      <c r="A187" s="22"/>
      <c r="B187" s="89" t="s">
        <v>142</v>
      </c>
      <c r="C187" s="107"/>
      <c r="E187" s="118">
        <f>SUM(R65/(R65+R66))</f>
        <v>0.53677500029076186</v>
      </c>
      <c r="F187" s="112"/>
      <c r="I187" s="89"/>
      <c r="J187" s="89"/>
      <c r="K187" s="89"/>
      <c r="L187" s="142"/>
      <c r="AX187" s="118"/>
    </row>
    <row r="188" spans="1:50" x14ac:dyDescent="0.2">
      <c r="A188" s="22"/>
      <c r="B188" s="89" t="s">
        <v>144</v>
      </c>
      <c r="C188" s="108"/>
      <c r="E188" s="109">
        <f>1-E187</f>
        <v>0.46322499970923814</v>
      </c>
      <c r="G188" s="53"/>
      <c r="I188" s="89"/>
      <c r="J188" s="89"/>
      <c r="K188" s="89"/>
      <c r="L188" s="142"/>
    </row>
    <row r="189" spans="1:50" x14ac:dyDescent="0.2">
      <c r="A189" s="22"/>
      <c r="B189" s="110" t="s">
        <v>155</v>
      </c>
      <c r="C189" s="111">
        <v>0.86519999999999997</v>
      </c>
      <c r="D189" s="13" t="s">
        <v>143</v>
      </c>
      <c r="J189" s="89"/>
      <c r="K189" s="89"/>
      <c r="L189" s="142"/>
      <c r="P189" s="319" t="s">
        <v>292</v>
      </c>
    </row>
    <row r="190" spans="1:50" x14ac:dyDescent="0.2">
      <c r="A190" s="13"/>
      <c r="J190" s="89"/>
      <c r="K190" s="89"/>
      <c r="L190" s="142"/>
      <c r="P190" s="87">
        <f>E168</f>
        <v>82.07</v>
      </c>
      <c r="Q190" s="87">
        <f>F168</f>
        <v>2616.1</v>
      </c>
      <c r="R190" s="87">
        <f>G168</f>
        <v>1747.84</v>
      </c>
      <c r="S190" s="87">
        <f>H168</f>
        <v>43.1</v>
      </c>
      <c r="T190" s="87">
        <f>I168</f>
        <v>0.02</v>
      </c>
      <c r="U190" s="329">
        <f>SUM(P190:T190)</f>
        <v>4489.130000000001</v>
      </c>
    </row>
    <row r="191" spans="1:50" x14ac:dyDescent="0.2">
      <c r="A191" s="18" t="s">
        <v>89</v>
      </c>
      <c r="B191" s="16" t="s">
        <v>90</v>
      </c>
      <c r="O191" s="13">
        <v>2014</v>
      </c>
      <c r="P191" s="13">
        <v>103.3</v>
      </c>
      <c r="Q191" s="329">
        <v>3286</v>
      </c>
      <c r="R191" s="329">
        <v>1769</v>
      </c>
      <c r="S191" s="329">
        <v>44.1</v>
      </c>
      <c r="T191" s="329">
        <v>2</v>
      </c>
      <c r="U191" s="329">
        <f>SUM(P191:T191)</f>
        <v>5204.4000000000005</v>
      </c>
    </row>
    <row r="192" spans="1:50" x14ac:dyDescent="0.2">
      <c r="A192" s="18"/>
      <c r="B192" s="17" t="s">
        <v>298</v>
      </c>
      <c r="F192" s="344">
        <v>2</v>
      </c>
      <c r="G192" s="13" t="s">
        <v>92</v>
      </c>
      <c r="Q192" s="329"/>
      <c r="R192" s="329"/>
      <c r="S192" s="329"/>
      <c r="T192" s="329"/>
      <c r="U192" s="329"/>
    </row>
    <row r="193" spans="1:21" x14ac:dyDescent="0.2">
      <c r="A193" s="18"/>
      <c r="B193" s="17" t="s">
        <v>301</v>
      </c>
      <c r="F193" s="345">
        <v>16.25</v>
      </c>
      <c r="G193" s="13" t="s">
        <v>92</v>
      </c>
      <c r="Q193" s="329"/>
      <c r="R193" s="329"/>
      <c r="S193" s="329"/>
      <c r="T193" s="329"/>
      <c r="U193" s="329"/>
    </row>
    <row r="194" spans="1:21" x14ac:dyDescent="0.2">
      <c r="A194" s="22"/>
      <c r="B194" s="17" t="s">
        <v>297</v>
      </c>
      <c r="F194" s="343">
        <f>F192+F193</f>
        <v>18.25</v>
      </c>
      <c r="G194" s="13" t="s">
        <v>92</v>
      </c>
      <c r="P194" s="327">
        <f>(P190-P191)/P191</f>
        <v>-0.2055179090029042</v>
      </c>
      <c r="Q194" s="327">
        <f t="shared" ref="Q194" si="23">(Q190-Q191)/Q191</f>
        <v>-0.20386488131466832</v>
      </c>
      <c r="R194" s="327">
        <f t="shared" ref="R194" si="24">(R190-R191)/R191</f>
        <v>-1.1961560203504851E-2</v>
      </c>
      <c r="S194" s="327">
        <f t="shared" ref="S194" si="25">(S190-S191)/S191</f>
        <v>-2.2675736961451247E-2</v>
      </c>
      <c r="T194" s="327">
        <f t="shared" ref="T194" si="26">(T190-T191)/T191</f>
        <v>-0.99</v>
      </c>
      <c r="U194" s="327">
        <f t="shared" ref="U194" si="27">(U190-U191)/U191</f>
        <v>-0.13743563138882472</v>
      </c>
    </row>
    <row r="195" spans="1:21" x14ac:dyDescent="0.2">
      <c r="A195" s="22"/>
      <c r="B195" s="17"/>
      <c r="F195" s="93"/>
    </row>
    <row r="196" spans="1:21" x14ac:dyDescent="0.2">
      <c r="A196" s="22"/>
      <c r="B196" s="16"/>
      <c r="E196" s="92"/>
      <c r="F196" s="93"/>
    </row>
    <row r="197" spans="1:21" x14ac:dyDescent="0.2">
      <c r="A197" s="18" t="s">
        <v>93</v>
      </c>
      <c r="B197" s="16" t="s">
        <v>167</v>
      </c>
    </row>
    <row r="198" spans="1:21" x14ac:dyDescent="0.2">
      <c r="A198" s="18"/>
      <c r="B198" s="16"/>
    </row>
    <row r="199" spans="1:21" x14ac:dyDescent="0.2">
      <c r="A199" s="18"/>
      <c r="B199" s="16"/>
      <c r="C199" s="26"/>
      <c r="D199" s="26"/>
      <c r="E199" s="26" t="str">
        <f>+E$13</f>
        <v>RT{1}</v>
      </c>
      <c r="F199" s="26" t="str">
        <f>+F$13</f>
        <v>RS{2}</v>
      </c>
      <c r="G199" s="26" t="str">
        <f>+G$13</f>
        <v>GS{3}</v>
      </c>
      <c r="H199" s="155" t="str">
        <f>+H$58</f>
        <v>GST {4}</v>
      </c>
      <c r="I199" s="26" t="str">
        <f>+I$13</f>
        <v>OL/SL</v>
      </c>
      <c r="J199" s="26"/>
      <c r="K199" s="26"/>
    </row>
    <row r="200" spans="1:21" x14ac:dyDescent="0.2">
      <c r="A200" s="18"/>
      <c r="B200" s="16"/>
    </row>
    <row r="201" spans="1:21" x14ac:dyDescent="0.2">
      <c r="A201" s="22"/>
      <c r="B201" s="89" t="s">
        <v>94</v>
      </c>
      <c r="C201" s="145"/>
      <c r="D201" s="145"/>
      <c r="E201" s="146">
        <v>7.4779999999999998</v>
      </c>
      <c r="F201" s="146">
        <f>E201</f>
        <v>7.4779999999999998</v>
      </c>
      <c r="G201" s="146">
        <f>E201</f>
        <v>7.4779999999999998</v>
      </c>
      <c r="H201" s="146">
        <f>E201</f>
        <v>7.4779999999999998</v>
      </c>
      <c r="I201" s="146">
        <v>0</v>
      </c>
      <c r="J201" s="145"/>
      <c r="K201" s="145"/>
      <c r="L201" s="145"/>
      <c r="M201" s="145"/>
    </row>
    <row r="202" spans="1:21" x14ac:dyDescent="0.2">
      <c r="A202" s="22"/>
      <c r="B202" s="89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</row>
    <row r="203" spans="1:21" x14ac:dyDescent="0.2">
      <c r="A203" s="22"/>
      <c r="B203" s="89" t="s">
        <v>131</v>
      </c>
      <c r="C203" s="145"/>
      <c r="D203" s="145"/>
      <c r="E203" s="146">
        <f>$H$181*(E$168/$J$168)/E$72</f>
        <v>23.089106403467465</v>
      </c>
      <c r="F203" s="146">
        <f>$H$181*(F$168/$J$168)/F$72</f>
        <v>18.505724980309914</v>
      </c>
      <c r="G203" s="146">
        <f>$H$181*(G$168/$J$168)/G$72</f>
        <v>18.883029435256695</v>
      </c>
      <c r="H203" s="146">
        <f>$H$181*(H$168/$J$168)/H$72</f>
        <v>23.304505118664959</v>
      </c>
      <c r="I203" s="146">
        <f>$H$181*(I$168/$J$168)/I$72</f>
        <v>1.117519118233447E-2</v>
      </c>
      <c r="J203" s="145"/>
      <c r="K203" s="145"/>
      <c r="L203" s="145"/>
      <c r="M203" s="145"/>
    </row>
    <row r="204" spans="1:21" x14ac:dyDescent="0.2">
      <c r="A204" s="22"/>
      <c r="B204" s="89" t="s">
        <v>198</v>
      </c>
      <c r="C204" s="145"/>
      <c r="D204" s="145"/>
      <c r="E204" s="146">
        <f>$H$179*(E$168/$J$168)/SUM(E65:E68)</f>
        <v>24.250841032391467</v>
      </c>
      <c r="F204" s="146">
        <f>$H$179*(F$168/$J$168)/SUM(F65:F68)</f>
        <v>15.279193529434531</v>
      </c>
      <c r="G204" s="146">
        <f>$H$179*(G$168/$J$168)/SUM(G65:G68)</f>
        <v>17.782374491595149</v>
      </c>
      <c r="H204" s="146"/>
      <c r="I204" s="146">
        <f>$H$179*(I$168/$J$168)/SUM(I65:I68)</f>
        <v>1.1205808143205064E-2</v>
      </c>
      <c r="J204" s="145"/>
      <c r="K204" s="145"/>
      <c r="L204" s="145"/>
      <c r="M204" s="145"/>
    </row>
    <row r="205" spans="1:21" x14ac:dyDescent="0.2">
      <c r="A205" s="22"/>
      <c r="B205" s="89" t="s">
        <v>199</v>
      </c>
      <c r="C205" s="145"/>
      <c r="D205" s="145"/>
      <c r="E205" s="146">
        <f>$H$179*(E$168/$J$168)/R165</f>
        <v>59.526020957640817</v>
      </c>
      <c r="F205" s="146"/>
      <c r="G205" s="146"/>
      <c r="H205" s="146">
        <f>$H$179*(H$168/$J$168)/Q153</f>
        <v>62.225114355283054</v>
      </c>
      <c r="I205" s="146"/>
      <c r="J205" s="145"/>
      <c r="K205" s="145"/>
      <c r="L205" s="145"/>
      <c r="M205" s="235"/>
    </row>
    <row r="206" spans="1:21" x14ac:dyDescent="0.2">
      <c r="A206" s="22"/>
      <c r="B206" s="89" t="s">
        <v>201</v>
      </c>
      <c r="C206" s="145"/>
      <c r="D206" s="145"/>
      <c r="E206" s="146">
        <f>$H$180*(E$168/$J$168)/(E72-SUM(E65:E68))</f>
        <v>22.546831864918349</v>
      </c>
      <c r="F206" s="146">
        <f>$H$180*(F$168/$J$168)/(F72-SUM(F65:F68))</f>
        <v>20.700386123159319</v>
      </c>
      <c r="G206" s="146">
        <f>$H$180*(G$168/$J$168)/(G72-SUM(G65:G68))</f>
        <v>19.488644438493722</v>
      </c>
      <c r="H206" s="146"/>
      <c r="I206" s="146">
        <f>$H$180*(I$168/$J$168)/(I72-SUM(I65:I68))</f>
        <v>1.1159882701899174E-2</v>
      </c>
      <c r="J206" s="145"/>
      <c r="K206" s="145"/>
      <c r="L206" s="145"/>
      <c r="M206" s="145"/>
    </row>
    <row r="207" spans="1:21" x14ac:dyDescent="0.2">
      <c r="A207" s="22"/>
      <c r="B207" s="89" t="s">
        <v>200</v>
      </c>
      <c r="C207" s="145"/>
      <c r="D207" s="145"/>
      <c r="E207" s="146">
        <f>$H$180*(E$168/$J$168)/R170</f>
        <v>63.97975010706682</v>
      </c>
      <c r="F207" s="147"/>
      <c r="G207" s="147"/>
      <c r="H207" s="146">
        <f>$H$180*(H$168/$J$168)/Q157</f>
        <v>48.418265734351429</v>
      </c>
      <c r="I207" s="146"/>
      <c r="J207" s="145"/>
      <c r="K207" s="145"/>
      <c r="L207" s="145"/>
      <c r="M207" s="235" t="s">
        <v>255</v>
      </c>
    </row>
    <row r="208" spans="1:21" x14ac:dyDescent="0.2">
      <c r="A208" s="22"/>
      <c r="B208" s="89"/>
      <c r="C208" s="145"/>
      <c r="D208" s="145"/>
      <c r="E208" s="146"/>
      <c r="F208" s="146"/>
      <c r="G208" s="146"/>
      <c r="H208" s="146"/>
      <c r="I208" s="146"/>
      <c r="J208" s="145"/>
      <c r="K208" s="145"/>
      <c r="L208" s="145"/>
      <c r="M208" s="145"/>
    </row>
    <row r="209" spans="1:18" ht="15.75" x14ac:dyDescent="0.25">
      <c r="A209" s="22"/>
      <c r="B209" s="414" t="str">
        <f>$B$1</f>
        <v xml:space="preserve">Jersey Central Power &amp; Light </v>
      </c>
      <c r="C209" s="414"/>
      <c r="D209" s="414"/>
      <c r="E209" s="414"/>
      <c r="F209" s="414"/>
      <c r="G209" s="414"/>
      <c r="H209" s="414"/>
      <c r="I209" s="414"/>
      <c r="J209" s="414"/>
      <c r="K209" s="414"/>
      <c r="L209" s="414"/>
      <c r="M209" s="145"/>
    </row>
    <row r="210" spans="1:18" ht="15.75" x14ac:dyDescent="0.25">
      <c r="A210" s="22"/>
      <c r="B210" s="414" t="str">
        <f>$B$2</f>
        <v>Attachment 2</v>
      </c>
      <c r="C210" s="414"/>
      <c r="D210" s="414"/>
      <c r="E210" s="414"/>
      <c r="F210" s="414"/>
      <c r="G210" s="414"/>
      <c r="H210" s="414"/>
      <c r="I210" s="414"/>
      <c r="J210" s="414"/>
      <c r="K210" s="414"/>
      <c r="L210" s="414"/>
      <c r="M210" s="145"/>
      <c r="N210" s="145"/>
      <c r="O210" s="145"/>
      <c r="P210" s="145"/>
      <c r="Q210" s="145"/>
      <c r="R210" s="145"/>
    </row>
    <row r="211" spans="1:18" x14ac:dyDescent="0.2">
      <c r="A211" s="22"/>
      <c r="E211" s="145"/>
      <c r="F211" s="145"/>
      <c r="G211" s="145"/>
      <c r="H211" s="145"/>
      <c r="L211" s="145"/>
      <c r="M211" s="145"/>
      <c r="N211" s="145"/>
      <c r="O211" s="145"/>
      <c r="P211" s="145"/>
      <c r="Q211" s="145"/>
      <c r="R211" s="145"/>
    </row>
    <row r="212" spans="1:18" x14ac:dyDescent="0.2">
      <c r="A212" s="22"/>
      <c r="M212" s="145"/>
      <c r="N212" s="145"/>
      <c r="O212" s="145"/>
      <c r="P212" s="145"/>
      <c r="Q212" s="145"/>
      <c r="R212" s="145"/>
    </row>
    <row r="213" spans="1:18" x14ac:dyDescent="0.2">
      <c r="A213" s="18" t="s">
        <v>95</v>
      </c>
      <c r="B213" s="16" t="s">
        <v>96</v>
      </c>
      <c r="M213" s="145"/>
      <c r="N213" s="145"/>
      <c r="O213" s="145"/>
      <c r="P213" s="145"/>
      <c r="Q213" s="145"/>
      <c r="R213" s="145"/>
    </row>
    <row r="214" spans="1:18" x14ac:dyDescent="0.2">
      <c r="A214" s="22"/>
      <c r="B214" s="16"/>
      <c r="M214" s="145"/>
      <c r="N214" s="145"/>
      <c r="O214" s="145"/>
      <c r="P214" s="145"/>
      <c r="Q214" s="145"/>
      <c r="R214" s="145"/>
    </row>
    <row r="215" spans="1:18" x14ac:dyDescent="0.2">
      <c r="A215" s="22"/>
      <c r="B215" s="16" t="s">
        <v>97</v>
      </c>
      <c r="M215" s="145"/>
      <c r="N215" s="145"/>
      <c r="O215" s="145"/>
      <c r="P215" s="145"/>
      <c r="Q215" s="145"/>
      <c r="R215" s="145"/>
    </row>
    <row r="216" spans="1:18" x14ac:dyDescent="0.2">
      <c r="A216" s="22"/>
      <c r="B216" s="17" t="s">
        <v>219</v>
      </c>
      <c r="M216" s="145"/>
      <c r="N216" s="145"/>
      <c r="O216" s="145"/>
      <c r="P216" s="145"/>
      <c r="Q216" s="145"/>
      <c r="R216" s="145"/>
    </row>
    <row r="217" spans="1:18" x14ac:dyDescent="0.2">
      <c r="A217" s="22"/>
      <c r="B217" s="17" t="s">
        <v>21</v>
      </c>
      <c r="M217" s="145"/>
      <c r="N217" s="145"/>
      <c r="O217" s="145"/>
      <c r="P217" s="145"/>
      <c r="Q217" s="145"/>
      <c r="R217" s="145"/>
    </row>
    <row r="218" spans="1:18" x14ac:dyDescent="0.2">
      <c r="A218" s="22"/>
      <c r="C218" s="26"/>
      <c r="D218" s="26"/>
      <c r="E218" s="26" t="str">
        <f>+E$13</f>
        <v>RT{1}</v>
      </c>
      <c r="F218" s="26" t="str">
        <f>+F$13</f>
        <v>RS{2}</v>
      </c>
      <c r="G218" s="26" t="str">
        <f>+G$13</f>
        <v>GS{3}</v>
      </c>
      <c r="H218" s="155" t="str">
        <f>+H$58</f>
        <v>GST {4}</v>
      </c>
      <c r="I218" s="26" t="str">
        <f>+I$13</f>
        <v>OL/SL</v>
      </c>
      <c r="J218" s="26"/>
      <c r="K218" s="26"/>
      <c r="M218" s="145"/>
      <c r="N218" s="145"/>
      <c r="O218" s="145"/>
      <c r="P218" s="145"/>
      <c r="Q218" s="145"/>
      <c r="R218" s="145"/>
    </row>
    <row r="219" spans="1:18" x14ac:dyDescent="0.2">
      <c r="A219" s="22"/>
      <c r="C219" s="26"/>
      <c r="D219" s="26"/>
      <c r="E219" s="74"/>
      <c r="F219" s="26"/>
      <c r="G219" s="26"/>
      <c r="M219" s="145"/>
      <c r="N219" s="145"/>
      <c r="O219" s="145"/>
      <c r="P219" s="145"/>
      <c r="Q219" s="145"/>
      <c r="R219" s="145"/>
    </row>
    <row r="220" spans="1:18" x14ac:dyDescent="0.2">
      <c r="A220" s="22"/>
      <c r="B220" s="28" t="s">
        <v>17</v>
      </c>
      <c r="C220" s="74"/>
      <c r="D220" s="74"/>
      <c r="E220" s="74">
        <f>+E152+(E$95*$F$194)+E$201+E204</f>
        <v>79.947514976857775</v>
      </c>
      <c r="F220" s="74">
        <f>+F152+(F$95*$F$194)+F$201+F204</f>
        <v>71.050030602455038</v>
      </c>
      <c r="G220" s="74">
        <f>+G152+(G$95*$F$194)+G$201+G204</f>
        <v>74.313866300934635</v>
      </c>
      <c r="H220" s="74"/>
      <c r="I220" s="74">
        <f>+I152+(I$95*$F$194)+I$201+I204</f>
        <v>45.000030627446577</v>
      </c>
      <c r="J220" s="74"/>
      <c r="K220" s="74"/>
      <c r="L220" s="74"/>
      <c r="M220" s="145"/>
      <c r="N220" s="145"/>
      <c r="O220" s="145"/>
      <c r="P220" s="145"/>
      <c r="Q220" s="145"/>
      <c r="R220" s="145"/>
    </row>
    <row r="221" spans="1:18" x14ac:dyDescent="0.2">
      <c r="A221" s="22"/>
      <c r="B221" s="77" t="s">
        <v>72</v>
      </c>
      <c r="C221" s="74"/>
      <c r="D221" s="74"/>
      <c r="E221" s="74">
        <f>+E153+(E$95*$F$194)+E$201+E$205</f>
        <v>123.26064167368015</v>
      </c>
      <c r="F221" s="74"/>
      <c r="G221" s="74"/>
      <c r="H221" s="74">
        <f>+H153+(H$95*$F$194)+H$201+H$205</f>
        <v>125.50915099168508</v>
      </c>
      <c r="I221" s="74"/>
      <c r="J221" s="74"/>
      <c r="K221" s="74"/>
      <c r="M221" s="145"/>
      <c r="N221" s="145"/>
      <c r="O221" s="145"/>
      <c r="P221" s="145"/>
      <c r="Q221" s="145"/>
      <c r="R221" s="145"/>
    </row>
    <row r="222" spans="1:18" x14ac:dyDescent="0.2">
      <c r="A222" s="22"/>
      <c r="B222" s="77" t="s">
        <v>73</v>
      </c>
      <c r="C222" s="74"/>
      <c r="D222" s="74"/>
      <c r="E222" s="74">
        <f>+E154+(E$95*$F$194)+E$201</f>
        <v>50.170511414917506</v>
      </c>
      <c r="F222" s="74"/>
      <c r="G222" s="74"/>
      <c r="H222" s="74">
        <f>+H154+(H$95*$F$194)+H$201</f>
        <v>50.21822261349903</v>
      </c>
      <c r="I222" s="74"/>
      <c r="J222" s="74"/>
      <c r="K222" s="74"/>
      <c r="M222" s="145"/>
      <c r="N222" s="145"/>
      <c r="O222" s="145"/>
      <c r="P222" s="145"/>
      <c r="Q222" s="145"/>
      <c r="R222" s="145"/>
    </row>
    <row r="223" spans="1:18" x14ac:dyDescent="0.2">
      <c r="A223" s="22"/>
      <c r="B223" s="89" t="s">
        <v>142</v>
      </c>
      <c r="C223" s="74"/>
      <c r="D223" s="74"/>
      <c r="E223" s="74"/>
      <c r="F223" s="74">
        <f>(F220*SUM(F65:F68)-C189*10*E188*SUM(F65:F68))/SUM(F65:F68)</f>
        <v>67.042207904970709</v>
      </c>
      <c r="G223" s="74"/>
      <c r="H223" s="74"/>
      <c r="I223" s="74"/>
      <c r="J223" s="74"/>
      <c r="K223" s="74"/>
      <c r="M223" s="145"/>
      <c r="N223" s="145"/>
      <c r="O223" s="145"/>
      <c r="P223" s="145"/>
      <c r="Q223" s="145"/>
      <c r="R223" s="145"/>
    </row>
    <row r="224" spans="1:18" x14ac:dyDescent="0.2">
      <c r="A224" s="22"/>
      <c r="B224" s="89" t="s">
        <v>144</v>
      </c>
      <c r="C224" s="74"/>
      <c r="D224" s="74"/>
      <c r="E224" s="74"/>
      <c r="F224" s="74">
        <f>+F223+C189*10</f>
        <v>75.69420790497071</v>
      </c>
      <c r="G224" s="119"/>
      <c r="H224" s="74"/>
      <c r="I224" s="74"/>
      <c r="J224" s="74"/>
      <c r="K224" s="74"/>
      <c r="M224" s="145"/>
      <c r="N224" s="145"/>
      <c r="O224" s="145"/>
      <c r="P224" s="145"/>
      <c r="Q224" s="145"/>
      <c r="R224" s="145"/>
    </row>
    <row r="225" spans="1:18" x14ac:dyDescent="0.2">
      <c r="A225" s="22"/>
      <c r="C225" s="74"/>
      <c r="D225" s="74"/>
      <c r="E225" s="74"/>
      <c r="F225" s="74"/>
      <c r="G225" s="74"/>
      <c r="H225" s="74"/>
      <c r="I225" s="74"/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">
      <c r="A226" s="22"/>
      <c r="B226" s="28" t="s">
        <v>18</v>
      </c>
      <c r="C226" s="74"/>
      <c r="D226" s="74"/>
      <c r="E226" s="74">
        <f>+E156+(E$95*$F$194)+E$201+E206</f>
        <v>84.227114574466299</v>
      </c>
      <c r="F226" s="74">
        <f>+F156+(F$95*$F$194)+F$201+F206</f>
        <v>81.946166570809481</v>
      </c>
      <c r="G226" s="74">
        <f>+G156+(G$95*$F$194)+G$201+G206</f>
        <v>81.145434448022201</v>
      </c>
      <c r="H226" s="74"/>
      <c r="I226" s="74">
        <f>+I156+(I$95*$F$194)+I$201+I206</f>
        <v>51.896748166209726</v>
      </c>
      <c r="J226" s="74"/>
      <c r="K226" s="74"/>
      <c r="L226" s="74"/>
      <c r="M226" s="145"/>
      <c r="N226" s="145"/>
      <c r="O226" s="145"/>
      <c r="P226" s="145"/>
      <c r="Q226" s="145"/>
      <c r="R226" s="145"/>
    </row>
    <row r="227" spans="1:18" x14ac:dyDescent="0.2">
      <c r="A227" s="22"/>
      <c r="B227" s="77" t="s">
        <v>72</v>
      </c>
      <c r="C227" s="74"/>
      <c r="D227" s="74"/>
      <c r="E227" s="74">
        <f>+E157+(E$95*$F$194)+E$201+E$207</f>
        <v>133.03705814228221</v>
      </c>
      <c r="F227" s="74"/>
      <c r="G227" s="74"/>
      <c r="H227" s="74">
        <f>+H157+(H$95*$F$194)+H$201+H$207</f>
        <v>114.75516560546481</v>
      </c>
      <c r="I227" s="74"/>
      <c r="J227" s="74"/>
      <c r="K227" s="74"/>
      <c r="M227" s="145"/>
      <c r="N227" s="145"/>
      <c r="O227" s="145"/>
      <c r="P227" s="145"/>
      <c r="Q227" s="145"/>
      <c r="R227" s="145"/>
    </row>
    <row r="228" spans="1:18" x14ac:dyDescent="0.2">
      <c r="A228" s="22"/>
      <c r="B228" s="77" t="s">
        <v>73</v>
      </c>
      <c r="C228" s="74"/>
      <c r="D228" s="74"/>
      <c r="E228" s="74">
        <f>+E158+(E$95*$F$194)+E$201</f>
        <v>57.666120362499832</v>
      </c>
      <c r="F228" s="74"/>
      <c r="G228" s="74"/>
      <c r="H228" s="74">
        <f>+H158+(H$95*$F$194)+H$201</f>
        <v>58.804671234093426</v>
      </c>
      <c r="I228" s="74"/>
      <c r="J228" s="74"/>
      <c r="K228" s="74"/>
      <c r="M228" s="145"/>
      <c r="N228" s="145"/>
      <c r="O228" s="145"/>
      <c r="P228" s="145"/>
      <c r="Q228" s="145"/>
      <c r="R228" s="145"/>
    </row>
    <row r="229" spans="1:18" x14ac:dyDescent="0.2">
      <c r="A229" s="22"/>
      <c r="C229" s="74"/>
      <c r="D229" s="74"/>
      <c r="E229" s="74"/>
      <c r="F229" s="74"/>
      <c r="G229" s="74"/>
      <c r="H229" s="74"/>
      <c r="I229" s="74"/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">
      <c r="A230" s="22"/>
      <c r="B230" s="13" t="s">
        <v>98</v>
      </c>
      <c r="C230" s="74"/>
      <c r="D230" s="74"/>
      <c r="E230" s="74">
        <f>+E160+(E$95*$F$194)+E$201+E203</f>
        <v>82.86519825308315</v>
      </c>
      <c r="F230" s="74">
        <f>+F160+(F$95*$F$194)+F$201+F203</f>
        <v>77.535084359003946</v>
      </c>
      <c r="G230" s="74">
        <f>+G160+(G$95*$F$194)+G$201+G203</f>
        <v>78.72067148889451</v>
      </c>
      <c r="H230" s="74">
        <f>((H221*SUMPRODUCT(H38:H41,H65:H68)+H222*SUMPRODUCT(T38:T41,H65:H68))+(H227*(SUMPRODUCT(H33:H37,H60:H64)+SUMPRODUCT(H42:H44,H69:H71))+H228*(SUMPRODUCT(T33:T37,H60:H64)+SUMPRODUCT(T42:T44,H69:H71))))/H72</f>
        <v>83.845316185026959</v>
      </c>
      <c r="I230" s="74">
        <f>+I160+(I$95*$F$194)+I$201+I203</f>
        <v>49.597842319955348</v>
      </c>
      <c r="J230" s="74"/>
      <c r="K230" s="74"/>
      <c r="L230" s="74"/>
      <c r="M230" s="145"/>
      <c r="N230" s="145"/>
      <c r="O230" s="145"/>
      <c r="P230" s="145"/>
      <c r="Q230" s="145"/>
      <c r="R230" s="145"/>
    </row>
    <row r="231" spans="1:18" x14ac:dyDescent="0.2">
      <c r="A231" s="22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145"/>
      <c r="N231" s="145"/>
      <c r="O231" s="145"/>
      <c r="P231" s="145"/>
      <c r="Q231" s="145"/>
      <c r="R231" s="145"/>
    </row>
    <row r="232" spans="1:18" x14ac:dyDescent="0.2">
      <c r="A232" s="22"/>
      <c r="B232" s="16" t="s">
        <v>99</v>
      </c>
      <c r="M232" s="145"/>
      <c r="N232" s="145"/>
      <c r="O232" s="145"/>
      <c r="P232" s="145"/>
      <c r="Q232" s="145"/>
      <c r="R232" s="145"/>
    </row>
    <row r="233" spans="1:18" x14ac:dyDescent="0.2">
      <c r="A233" s="22"/>
      <c r="B233" s="17" t="s">
        <v>100</v>
      </c>
      <c r="M233" s="145"/>
      <c r="N233" s="145"/>
      <c r="O233" s="145"/>
      <c r="P233" s="145"/>
      <c r="Q233" s="145"/>
      <c r="R233" s="145"/>
    </row>
    <row r="234" spans="1:18" x14ac:dyDescent="0.2">
      <c r="A234" s="22"/>
      <c r="B234" s="17" t="s">
        <v>21</v>
      </c>
      <c r="M234" s="145"/>
      <c r="N234" s="145"/>
      <c r="O234" s="145"/>
      <c r="P234" s="145"/>
      <c r="Q234" s="145"/>
      <c r="R234" s="145"/>
    </row>
    <row r="235" spans="1:18" x14ac:dyDescent="0.2">
      <c r="A235" s="22"/>
      <c r="B235" s="77"/>
      <c r="C235" s="74"/>
      <c r="D235" s="74"/>
      <c r="I235" s="89"/>
      <c r="J235" s="80"/>
      <c r="K235" s="80"/>
      <c r="L235" s="93"/>
    </row>
    <row r="236" spans="1:18" x14ac:dyDescent="0.2">
      <c r="A236" s="22"/>
      <c r="C236" s="74"/>
      <c r="D236" s="74"/>
    </row>
    <row r="237" spans="1:18" x14ac:dyDescent="0.2">
      <c r="A237" s="22"/>
      <c r="B237" s="37" t="s">
        <v>101</v>
      </c>
      <c r="C237" s="74"/>
      <c r="D237" s="74"/>
      <c r="I237" s="96"/>
      <c r="L237" s="93"/>
    </row>
    <row r="238" spans="1:18" x14ac:dyDescent="0.2">
      <c r="A238" s="22"/>
      <c r="B238" s="77"/>
      <c r="C238" s="74"/>
      <c r="D238" s="74"/>
      <c r="I238" s="89"/>
      <c r="J238" s="97"/>
      <c r="K238" s="97"/>
      <c r="L238" s="93"/>
    </row>
    <row r="239" spans="1:18" ht="15.75" x14ac:dyDescent="0.25">
      <c r="A239" s="22"/>
      <c r="B239" s="414" t="str">
        <f>$B$1</f>
        <v xml:space="preserve">Jersey Central Power &amp; Light </v>
      </c>
      <c r="C239" s="414"/>
      <c r="D239" s="414"/>
      <c r="E239" s="414"/>
      <c r="F239" s="414"/>
      <c r="G239" s="414"/>
      <c r="H239" s="414"/>
      <c r="I239" s="414"/>
      <c r="J239" s="414"/>
      <c r="K239" s="414"/>
      <c r="L239" s="414"/>
    </row>
    <row r="240" spans="1:18" ht="15.75" x14ac:dyDescent="0.25">
      <c r="A240" s="22"/>
      <c r="B240" s="414" t="str">
        <f>$B$2</f>
        <v>Attachment 2</v>
      </c>
      <c r="C240" s="414"/>
      <c r="D240" s="414"/>
      <c r="E240" s="414"/>
      <c r="F240" s="414"/>
      <c r="G240" s="414"/>
      <c r="H240" s="414"/>
      <c r="I240" s="414"/>
      <c r="J240" s="414"/>
      <c r="K240" s="414"/>
      <c r="L240" s="414"/>
    </row>
    <row r="241" spans="1:14" ht="15.75" x14ac:dyDescent="0.25">
      <c r="A241" s="22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</row>
    <row r="242" spans="1:14" ht="15.75" x14ac:dyDescent="0.25">
      <c r="A242" s="18" t="s">
        <v>106</v>
      </c>
      <c r="B242" s="163" t="s">
        <v>240</v>
      </c>
      <c r="C242" s="20"/>
      <c r="E242" s="165"/>
      <c r="F242" s="38"/>
      <c r="L242" s="166"/>
    </row>
    <row r="243" spans="1:14" ht="15.75" x14ac:dyDescent="0.25">
      <c r="B243" s="13" t="s">
        <v>241</v>
      </c>
      <c r="L243" s="166"/>
    </row>
    <row r="244" spans="1:14" ht="15.75" x14ac:dyDescent="0.25">
      <c r="E244" s="26" t="s">
        <v>61</v>
      </c>
      <c r="F244" s="26" t="s">
        <v>62</v>
      </c>
      <c r="G244" s="26" t="s">
        <v>65</v>
      </c>
      <c r="H244" s="26" t="s">
        <v>203</v>
      </c>
      <c r="I244" s="26" t="s">
        <v>55</v>
      </c>
      <c r="L244" s="166"/>
    </row>
    <row r="245" spans="1:14" ht="15.75" x14ac:dyDescent="0.25">
      <c r="L245" s="166"/>
    </row>
    <row r="246" spans="1:14" ht="15.75" x14ac:dyDescent="0.25">
      <c r="B246" s="28" t="s">
        <v>17</v>
      </c>
      <c r="E246" s="55">
        <f>'Composite Cost Allocation'!E107</f>
        <v>2120584.0466813003</v>
      </c>
      <c r="G246" s="55">
        <f>'Composite Cost Allocation'!G107</f>
        <v>2112534000</v>
      </c>
      <c r="I246" s="55">
        <f>'Composite Cost Allocation'!I107</f>
        <v>38360000</v>
      </c>
      <c r="L246" s="166"/>
    </row>
    <row r="247" spans="1:14" ht="15.75" x14ac:dyDescent="0.25">
      <c r="B247" s="77" t="s">
        <v>72</v>
      </c>
      <c r="E247" s="55">
        <f>'Composite Cost Allocation'!E108</f>
        <v>28770185</v>
      </c>
      <c r="H247" s="55">
        <f>'Composite Cost Allocation'!H108</f>
        <v>14886868.499999998</v>
      </c>
      <c r="L247" s="166"/>
    </row>
    <row r="248" spans="1:14" ht="15.75" x14ac:dyDescent="0.25">
      <c r="B248" s="77" t="s">
        <v>73</v>
      </c>
      <c r="E248" s="55">
        <f>'Composite Cost Allocation'!E109</f>
        <v>41845230.9533187</v>
      </c>
      <c r="H248" s="55">
        <f>'Composite Cost Allocation'!H109</f>
        <v>17149131.5</v>
      </c>
      <c r="L248" s="166"/>
    </row>
    <row r="249" spans="1:14" ht="15.75" x14ac:dyDescent="0.25">
      <c r="B249" s="89" t="s">
        <v>142</v>
      </c>
      <c r="F249" s="55">
        <f>'Composite Cost Allocation'!F110</f>
        <v>1975322000</v>
      </c>
      <c r="L249" s="166"/>
    </row>
    <row r="250" spans="1:14" ht="15.75" x14ac:dyDescent="0.25">
      <c r="B250" s="89" t="s">
        <v>144</v>
      </c>
      <c r="F250" s="55">
        <f>'Composite Cost Allocation'!F111</f>
        <v>1704660000</v>
      </c>
      <c r="L250" s="166"/>
    </row>
    <row r="251" spans="1:14" ht="15.75" x14ac:dyDescent="0.25">
      <c r="L251" s="166"/>
    </row>
    <row r="252" spans="1:14" ht="15.75" x14ac:dyDescent="0.25">
      <c r="B252" s="28" t="s">
        <v>18</v>
      </c>
      <c r="E252" s="55">
        <f>'Composite Cost Allocation'!E113</f>
        <v>4333889.1105293985</v>
      </c>
      <c r="F252" s="55">
        <f>'Composite Cost Allocation'!F113</f>
        <v>5410210000</v>
      </c>
      <c r="G252" s="55">
        <f>'Composite Cost Allocation'!G113</f>
        <v>3839355000</v>
      </c>
      <c r="I252" s="55">
        <f>'Composite Cost Allocation'!I113</f>
        <v>76720000</v>
      </c>
      <c r="L252" s="166"/>
    </row>
    <row r="253" spans="1:14" ht="15.75" x14ac:dyDescent="0.25">
      <c r="B253" s="77" t="s">
        <v>72</v>
      </c>
      <c r="E253" s="55">
        <f>'Composite Cost Allocation'!E114</f>
        <v>53380471.887658589</v>
      </c>
      <c r="H253" s="55">
        <f>'Composite Cost Allocation'!H114</f>
        <v>38107132.399999999</v>
      </c>
      <c r="L253" s="166"/>
    </row>
    <row r="254" spans="1:14" ht="15.75" x14ac:dyDescent="0.25">
      <c r="B254" s="77" t="s">
        <v>73</v>
      </c>
      <c r="E254" s="55">
        <f>'Composite Cost Allocation'!E115</f>
        <v>98110639.001812011</v>
      </c>
      <c r="H254" s="55">
        <f>'Composite Cost Allocation'!H115</f>
        <v>48778867.600000001</v>
      </c>
      <c r="L254" s="166"/>
    </row>
    <row r="255" spans="1:14" ht="15.75" x14ac:dyDescent="0.25">
      <c r="J255" s="26" t="s">
        <v>13</v>
      </c>
      <c r="K255" s="26"/>
      <c r="M255" s="261" t="s">
        <v>278</v>
      </c>
      <c r="N255" s="261" t="s">
        <v>279</v>
      </c>
    </row>
    <row r="256" spans="1:14" x14ac:dyDescent="0.2">
      <c r="B256" s="89" t="s">
        <v>162</v>
      </c>
      <c r="E256" s="55">
        <f>SUM(E246:E250)</f>
        <v>72736000</v>
      </c>
      <c r="F256" s="55">
        <f>SUM(F246:F250)</f>
        <v>3679982000</v>
      </c>
      <c r="G256" s="55">
        <f>SUM(G246:G250)</f>
        <v>2112534000</v>
      </c>
      <c r="H256" s="55">
        <f>SUM(H246:H250)</f>
        <v>32036000</v>
      </c>
      <c r="I256" s="55">
        <f>SUM(I246:I250)</f>
        <v>38360000</v>
      </c>
      <c r="J256" s="55">
        <f>SUM(E256:I256)</f>
        <v>5935648000</v>
      </c>
      <c r="K256" s="55"/>
      <c r="M256" s="276">
        <f>ROUND(J256*$E$95/1000,0)</f>
        <v>6636050</v>
      </c>
      <c r="N256" s="276">
        <f>ROUND(J256*$E$98/1000,0)</f>
        <v>6585160</v>
      </c>
    </row>
    <row r="257" spans="1:15" x14ac:dyDescent="0.2">
      <c r="B257" s="89" t="s">
        <v>163</v>
      </c>
      <c r="E257" s="138">
        <f>SUM(E252:E254)</f>
        <v>155825000</v>
      </c>
      <c r="F257" s="138">
        <f>SUM(F252:F254)</f>
        <v>5410210000</v>
      </c>
      <c r="G257" s="133">
        <f>SUM(G252:G254)</f>
        <v>3839355000</v>
      </c>
      <c r="H257" s="133">
        <f>SUM(H252:H254)</f>
        <v>86886000</v>
      </c>
      <c r="I257" s="133">
        <f>SUM(I252:I254)</f>
        <v>76720000</v>
      </c>
      <c r="J257" s="138">
        <f>SUM(E257:I257)</f>
        <v>9568996000</v>
      </c>
      <c r="K257" s="138"/>
      <c r="M257" s="276">
        <f>ROUND(J257*$E$95/1000,0)</f>
        <v>10698130</v>
      </c>
      <c r="N257" s="276">
        <f>ROUND(J257*$E$98/1000,0)</f>
        <v>10616089</v>
      </c>
    </row>
    <row r="258" spans="1:15" x14ac:dyDescent="0.2">
      <c r="B258" s="89" t="s">
        <v>164</v>
      </c>
      <c r="E258" s="55">
        <f>SUM(E256:E257)</f>
        <v>228561000</v>
      </c>
      <c r="F258" s="55">
        <f>SUM(F256:F257)</f>
        <v>9090192000</v>
      </c>
      <c r="G258" s="55">
        <f>SUM(G256:G257)</f>
        <v>5951889000</v>
      </c>
      <c r="H258" s="55">
        <f>SUM(H256:H257)</f>
        <v>118922000</v>
      </c>
      <c r="I258" s="55">
        <f>SUM(I256:I257)</f>
        <v>115080000</v>
      </c>
      <c r="J258" s="55">
        <f>SUM(E258:I258)</f>
        <v>15504644000</v>
      </c>
      <c r="K258" s="55"/>
      <c r="M258" s="277">
        <f>SUM(M256:M257)</f>
        <v>17334180</v>
      </c>
      <c r="N258" s="277">
        <f>SUM(N256:N257)</f>
        <v>17201249</v>
      </c>
    </row>
    <row r="259" spans="1:15" ht="15.75" x14ac:dyDescent="0.25">
      <c r="A259" s="22"/>
      <c r="B259" s="166"/>
      <c r="C259" s="166"/>
      <c r="D259" s="166"/>
      <c r="E259" s="166"/>
      <c r="F259" s="166"/>
      <c r="G259" s="166"/>
      <c r="H259" s="166"/>
      <c r="I259" s="166"/>
      <c r="J259" s="275" t="s">
        <v>255</v>
      </c>
      <c r="K259" s="275"/>
      <c r="L259" s="166"/>
    </row>
    <row r="260" spans="1:15" ht="15.75" x14ac:dyDescent="0.25">
      <c r="A260" s="22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</row>
    <row r="262" spans="1:15" x14ac:dyDescent="0.2">
      <c r="A262" s="6" t="s">
        <v>133</v>
      </c>
      <c r="B262" s="1" t="s">
        <v>168</v>
      </c>
      <c r="C262"/>
      <c r="D262"/>
      <c r="E262"/>
      <c r="F262"/>
      <c r="G262"/>
      <c r="H262"/>
      <c r="I262"/>
      <c r="J262"/>
      <c r="K262"/>
      <c r="L262"/>
    </row>
    <row r="263" spans="1:15" x14ac:dyDescent="0.2">
      <c r="A263" s="7"/>
      <c r="B263" s="1"/>
      <c r="C263"/>
      <c r="D263"/>
      <c r="E263"/>
      <c r="F263"/>
      <c r="G263"/>
      <c r="H263"/>
      <c r="I263"/>
      <c r="J263"/>
      <c r="K263"/>
      <c r="L263"/>
    </row>
    <row r="264" spans="1:15" x14ac:dyDescent="0.2">
      <c r="A264" s="7"/>
      <c r="B264"/>
      <c r="C264" s="2"/>
      <c r="D264" s="2"/>
      <c r="E264" s="26" t="str">
        <f>+E$13</f>
        <v>RT{1}</v>
      </c>
      <c r="F264" s="26" t="str">
        <f>+F$13</f>
        <v>RS{2}</v>
      </c>
      <c r="G264" s="26" t="str">
        <f>+G$13</f>
        <v>GS{3}</v>
      </c>
      <c r="H264" s="155" t="str">
        <f>+H$58</f>
        <v>GST {4}</v>
      </c>
      <c r="I264" s="26" t="str">
        <f>+I$13</f>
        <v>OL/SL</v>
      </c>
      <c r="J264" s="2" t="s">
        <v>13</v>
      </c>
      <c r="K264" s="2"/>
      <c r="L264" s="2"/>
    </row>
    <row r="265" spans="1:15" x14ac:dyDescent="0.2">
      <c r="A265" s="7"/>
      <c r="B265" t="s">
        <v>134</v>
      </c>
      <c r="C265"/>
      <c r="D265"/>
      <c r="E265"/>
      <c r="F265"/>
      <c r="G265"/>
      <c r="H265"/>
      <c r="I265"/>
      <c r="J265"/>
      <c r="K265"/>
      <c r="L265"/>
    </row>
    <row r="266" spans="1:15" x14ac:dyDescent="0.2">
      <c r="A266" s="7"/>
      <c r="B266" s="28" t="s">
        <v>17</v>
      </c>
      <c r="C266" s="149"/>
      <c r="D266" s="149"/>
      <c r="E266" s="149">
        <f>+E220*E246/1000000</f>
        <v>169.53542483173891</v>
      </c>
      <c r="F266" s="149"/>
      <c r="G266" s="149">
        <f>+G220*G246/1000000</f>
        <v>156990.56923217865</v>
      </c>
      <c r="H266" s="144"/>
      <c r="I266" s="149">
        <f>+I220*I246/1000000</f>
        <v>1726.2011748688508</v>
      </c>
      <c r="J266" s="149"/>
      <c r="K266" s="149"/>
      <c r="L266" s="149"/>
    </row>
    <row r="267" spans="1:15" x14ac:dyDescent="0.2">
      <c r="A267" s="7"/>
      <c r="B267" s="77" t="s">
        <v>72</v>
      </c>
      <c r="C267" s="149"/>
      <c r="D267" s="149"/>
      <c r="E267" s="149">
        <f>+E221*E247/1000000</f>
        <v>3546.2314641704879</v>
      </c>
      <c r="F267" s="149"/>
      <c r="G267" s="149"/>
      <c r="H267" s="149">
        <f>+H221*H247/1000000</f>
        <v>1868.4382263598602</v>
      </c>
      <c r="I267" s="149"/>
      <c r="J267" s="149"/>
      <c r="K267" s="149"/>
      <c r="L267" s="149"/>
    </row>
    <row r="268" spans="1:15" x14ac:dyDescent="0.2">
      <c r="A268" s="7"/>
      <c r="B268" s="77" t="s">
        <v>73</v>
      </c>
      <c r="C268" s="149"/>
      <c r="D268" s="149"/>
      <c r="E268" s="149">
        <f>+E222*E248/1000000</f>
        <v>2099.3966372033351</v>
      </c>
      <c r="F268" s="149"/>
      <c r="G268" s="149"/>
      <c r="H268" s="149">
        <f>+H222*H248/1000000</f>
        <v>861.19890329516852</v>
      </c>
      <c r="I268" s="149"/>
      <c r="J268" s="149"/>
      <c r="K268" s="149"/>
      <c r="L268" s="81"/>
      <c r="M268" s="81"/>
      <c r="N268" s="81"/>
      <c r="O268" s="81"/>
    </row>
    <row r="269" spans="1:15" x14ac:dyDescent="0.2">
      <c r="A269" s="7"/>
      <c r="B269" s="89" t="s">
        <v>142</v>
      </c>
      <c r="C269" s="149"/>
      <c r="D269" s="149"/>
      <c r="E269" s="149"/>
      <c r="F269" s="149">
        <f>+F223*F249/1000000</f>
        <v>132429.94820326255</v>
      </c>
      <c r="G269" s="149"/>
      <c r="H269" s="144"/>
      <c r="I269" s="149"/>
      <c r="J269" s="149"/>
      <c r="K269" s="149"/>
      <c r="L269" s="149"/>
    </row>
    <row r="270" spans="1:15" x14ac:dyDescent="0.2">
      <c r="A270" s="7"/>
      <c r="B270" s="89" t="s">
        <v>144</v>
      </c>
      <c r="C270" s="149"/>
      <c r="D270" s="149"/>
      <c r="E270" s="149"/>
      <c r="F270" s="149">
        <f>+F224*F250/1000000</f>
        <v>129032.88844728738</v>
      </c>
      <c r="G270" s="149"/>
      <c r="H270" s="144"/>
      <c r="I270" s="149"/>
      <c r="J270" s="149"/>
      <c r="K270" s="149"/>
      <c r="L270" s="149"/>
    </row>
    <row r="271" spans="1:15" x14ac:dyDescent="0.2">
      <c r="A271" s="7"/>
      <c r="C271" s="149"/>
      <c r="D271" s="149"/>
      <c r="E271" s="149"/>
      <c r="F271" s="149"/>
      <c r="G271" s="149"/>
      <c r="H271" s="144"/>
      <c r="I271" s="149"/>
      <c r="J271" s="149"/>
      <c r="K271" s="149"/>
      <c r="L271" s="149"/>
    </row>
    <row r="272" spans="1:15" x14ac:dyDescent="0.2">
      <c r="A272" s="7"/>
      <c r="B272" s="28" t="s">
        <v>18</v>
      </c>
      <c r="C272" s="149"/>
      <c r="D272" s="149"/>
      <c r="E272" s="149">
        <f>+E226*E252/1000000</f>
        <v>365.03097466559149</v>
      </c>
      <c r="F272" s="149">
        <f>+F226*F252/1000000</f>
        <v>443345.96984305914</v>
      </c>
      <c r="G272" s="149">
        <f>+G226*G252/1000000</f>
        <v>311546.12947518629</v>
      </c>
      <c r="I272" s="149">
        <f>+I226*I252/1000000</f>
        <v>3981.5185193116104</v>
      </c>
      <c r="J272" s="149"/>
      <c r="K272" s="149"/>
      <c r="L272" s="149"/>
    </row>
    <row r="273" spans="1:12" x14ac:dyDescent="0.2">
      <c r="A273" s="7"/>
      <c r="B273" s="77" t="s">
        <v>72</v>
      </c>
      <c r="C273" s="149"/>
      <c r="D273" s="149"/>
      <c r="E273" s="149">
        <f>+E227*E253/1000000</f>
        <v>7101.5809421808972</v>
      </c>
      <c r="F273" s="3"/>
      <c r="G273" s="3"/>
      <c r="H273" s="149">
        <f>+H227*H253/1000000</f>
        <v>4372.990289311374</v>
      </c>
      <c r="I273" s="3"/>
      <c r="J273" s="149"/>
      <c r="K273" s="149"/>
      <c r="L273" s="149"/>
    </row>
    <row r="274" spans="1:12" x14ac:dyDescent="0.2">
      <c r="A274" s="7"/>
      <c r="B274" s="77" t="s">
        <v>73</v>
      </c>
      <c r="C274" s="3"/>
      <c r="D274" s="3"/>
      <c r="E274" s="149">
        <f>+E228*E254/1000000</f>
        <v>5657.6599175202618</v>
      </c>
      <c r="H274" s="149">
        <f>+H228*H254/1000000</f>
        <v>2868.4252723893719</v>
      </c>
      <c r="J274" s="149"/>
      <c r="K274" s="149"/>
      <c r="L274" s="149"/>
    </row>
    <row r="275" spans="1:12" x14ac:dyDescent="0.2">
      <c r="A275" s="7"/>
      <c r="B275" s="5"/>
      <c r="C275"/>
      <c r="D275"/>
      <c r="E275"/>
      <c r="F275"/>
      <c r="G275"/>
      <c r="H275"/>
      <c r="I275"/>
      <c r="J275"/>
      <c r="K275"/>
      <c r="L275"/>
    </row>
    <row r="276" spans="1:12" x14ac:dyDescent="0.2">
      <c r="A276" s="7"/>
      <c r="B276" t="s">
        <v>135</v>
      </c>
      <c r="C276"/>
      <c r="D276"/>
      <c r="E276"/>
      <c r="F276"/>
      <c r="G276"/>
      <c r="H276"/>
      <c r="I276"/>
      <c r="J276"/>
      <c r="K276"/>
      <c r="L276"/>
    </row>
    <row r="277" spans="1:12" x14ac:dyDescent="0.2">
      <c r="A277" s="7"/>
      <c r="B277" s="5" t="s">
        <v>25</v>
      </c>
      <c r="D277"/>
      <c r="E277" s="3">
        <f>SUM(E266:E270)</f>
        <v>5815.1635262055624</v>
      </c>
      <c r="F277" s="3">
        <f>SUM(F266:F270)</f>
        <v>261462.83665054993</v>
      </c>
      <c r="G277" s="3">
        <f>SUM(G266:G270)</f>
        <v>156990.56923217865</v>
      </c>
      <c r="H277" s="3">
        <f>SUM(H266:H270)</f>
        <v>2729.6371296550287</v>
      </c>
      <c r="I277" s="3">
        <f>SUM(I266:I270)</f>
        <v>1726.2011748688508</v>
      </c>
      <c r="J277" s="151">
        <f>SUM(E277:I277)</f>
        <v>428724.407713458</v>
      </c>
      <c r="K277" s="151"/>
      <c r="L277"/>
    </row>
    <row r="278" spans="1:12" x14ac:dyDescent="0.2">
      <c r="A278" s="7"/>
      <c r="B278" s="5" t="s">
        <v>26</v>
      </c>
      <c r="D278"/>
      <c r="E278" s="3">
        <f>SUM(E272:E274)</f>
        <v>13124.271834366751</v>
      </c>
      <c r="F278" s="3">
        <f>SUM(F272:F274)</f>
        <v>443345.96984305914</v>
      </c>
      <c r="G278" s="3">
        <f>SUM(G272:G274)</f>
        <v>311546.12947518629</v>
      </c>
      <c r="H278" s="3">
        <f>SUM(H272:H274)</f>
        <v>7241.4155617007455</v>
      </c>
      <c r="I278" s="3">
        <f>SUM(I272:I274)</f>
        <v>3981.5185193116104</v>
      </c>
      <c r="J278" s="151">
        <f>SUM(E278:I278)</f>
        <v>779239.30523362441</v>
      </c>
      <c r="K278" s="151"/>
      <c r="L278"/>
    </row>
    <row r="279" spans="1:12" x14ac:dyDescent="0.2">
      <c r="A279" s="7"/>
      <c r="B279" s="5" t="s">
        <v>13</v>
      </c>
      <c r="D279"/>
      <c r="E279" s="3">
        <f>SUM(E277:E278)</f>
        <v>18939.435360572315</v>
      </c>
      <c r="F279" s="3">
        <f>SUM(F277:F278)</f>
        <v>704808.8064936091</v>
      </c>
      <c r="G279" s="3">
        <f>SUM(G277:G278)</f>
        <v>468536.69870736497</v>
      </c>
      <c r="H279" s="3">
        <f>SUM(H277:H278)</f>
        <v>9971.0526913557733</v>
      </c>
      <c r="I279" s="3">
        <f>SUM(I277:I278)</f>
        <v>5707.7196941804614</v>
      </c>
      <c r="J279" s="3">
        <f>SUM(E279:I279)</f>
        <v>1207963.7129470827</v>
      </c>
      <c r="K279" s="3"/>
    </row>
    <row r="280" spans="1:12" x14ac:dyDescent="0.2">
      <c r="A280" s="7"/>
      <c r="B280"/>
      <c r="C280"/>
      <c r="D280"/>
      <c r="E280"/>
      <c r="F280"/>
      <c r="G280"/>
      <c r="H280"/>
      <c r="J280"/>
      <c r="K280"/>
    </row>
    <row r="281" spans="1:12" x14ac:dyDescent="0.2">
      <c r="A281" s="7"/>
      <c r="B281" t="s">
        <v>136</v>
      </c>
      <c r="C281"/>
      <c r="D281"/>
      <c r="E281"/>
      <c r="F281"/>
      <c r="G281"/>
      <c r="H281"/>
      <c r="J281"/>
      <c r="K281"/>
    </row>
    <row r="282" spans="1:12" x14ac:dyDescent="0.2">
      <c r="A282" s="7"/>
      <c r="B282" s="5" t="s">
        <v>25</v>
      </c>
      <c r="C282"/>
      <c r="D282"/>
      <c r="E282" s="150">
        <f t="shared" ref="E282:J282" si="28">+E277/E279</f>
        <v>0.30703996267552081</v>
      </c>
      <c r="F282" s="150">
        <f t="shared" si="28"/>
        <v>0.37096987756341371</v>
      </c>
      <c r="G282" s="150">
        <f t="shared" si="28"/>
        <v>0.33506568357461919</v>
      </c>
      <c r="H282" s="150">
        <f t="shared" si="28"/>
        <v>0.2737561633809677</v>
      </c>
      <c r="I282" s="150">
        <f t="shared" si="28"/>
        <v>0.30243271697957935</v>
      </c>
      <c r="J282" s="150">
        <f t="shared" si="28"/>
        <v>0.35491497229456853</v>
      </c>
      <c r="K282" s="150"/>
    </row>
    <row r="283" spans="1:12" x14ac:dyDescent="0.2">
      <c r="A283" s="7"/>
      <c r="B283" s="5" t="s">
        <v>26</v>
      </c>
      <c r="C283"/>
      <c r="D283"/>
      <c r="E283" s="150">
        <f t="shared" ref="E283:J283" si="29">+E278/E279</f>
        <v>0.69296003732447908</v>
      </c>
      <c r="F283" s="150">
        <f t="shared" si="29"/>
        <v>0.62903012243658618</v>
      </c>
      <c r="G283" s="150">
        <f t="shared" si="29"/>
        <v>0.6649343164253807</v>
      </c>
      <c r="H283" s="150">
        <f t="shared" si="29"/>
        <v>0.72624383661903236</v>
      </c>
      <c r="I283" s="150">
        <f t="shared" si="29"/>
        <v>0.69756728302042059</v>
      </c>
      <c r="J283" s="150">
        <f t="shared" si="29"/>
        <v>0.64508502770543119</v>
      </c>
      <c r="K283" s="150"/>
    </row>
    <row r="284" spans="1:12" x14ac:dyDescent="0.2">
      <c r="A284" s="7"/>
      <c r="B284" s="5"/>
      <c r="C284"/>
      <c r="D284"/>
      <c r="E284" s="150"/>
      <c r="F284" s="150"/>
      <c r="G284" s="150"/>
      <c r="H284" s="150"/>
      <c r="I284" s="150"/>
      <c r="J284" s="150"/>
      <c r="K284" s="150"/>
    </row>
    <row r="285" spans="1:12" ht="15.75" x14ac:dyDescent="0.25">
      <c r="A285" s="22"/>
      <c r="B285" s="414" t="str">
        <f>$B$1</f>
        <v xml:space="preserve">Jersey Central Power &amp; Light </v>
      </c>
      <c r="C285" s="414"/>
      <c r="D285" s="414"/>
      <c r="E285" s="414"/>
      <c r="F285" s="414"/>
      <c r="G285" s="414"/>
      <c r="H285" s="414"/>
      <c r="I285" s="414"/>
      <c r="J285" s="414"/>
      <c r="K285" s="414"/>
      <c r="L285" s="414"/>
    </row>
    <row r="286" spans="1:12" ht="15.75" x14ac:dyDescent="0.25">
      <c r="A286" s="22"/>
      <c r="B286" s="414" t="str">
        <f>$B$2</f>
        <v>Attachment 2</v>
      </c>
      <c r="C286" s="414"/>
      <c r="D286" s="414"/>
      <c r="E286" s="414"/>
      <c r="F286" s="414"/>
      <c r="G286" s="414"/>
      <c r="H286" s="414"/>
      <c r="I286" s="414"/>
      <c r="J286" s="414"/>
      <c r="K286" s="414"/>
      <c r="L286" s="414"/>
    </row>
    <row r="287" spans="1:12" x14ac:dyDescent="0.2">
      <c r="F287"/>
      <c r="G287"/>
      <c r="H287"/>
      <c r="J287"/>
      <c r="K287"/>
    </row>
    <row r="288" spans="1:12" x14ac:dyDescent="0.2">
      <c r="F288"/>
      <c r="G288"/>
      <c r="H288"/>
      <c r="J288"/>
      <c r="K288"/>
    </row>
    <row r="289" spans="1:21" x14ac:dyDescent="0.2">
      <c r="A289" s="6" t="s">
        <v>245</v>
      </c>
      <c r="C289" s="278" t="s">
        <v>320</v>
      </c>
      <c r="D289" s="234"/>
      <c r="E289" s="234"/>
      <c r="F289"/>
      <c r="G289"/>
      <c r="H289"/>
      <c r="J289"/>
      <c r="K289"/>
    </row>
    <row r="290" spans="1:21" x14ac:dyDescent="0.2">
      <c r="F290"/>
      <c r="G290"/>
      <c r="H290"/>
      <c r="J290"/>
      <c r="K290"/>
    </row>
    <row r="291" spans="1:21" x14ac:dyDescent="0.2">
      <c r="A291" s="13"/>
      <c r="J291"/>
      <c r="K291"/>
    </row>
    <row r="292" spans="1:21" x14ac:dyDescent="0.2">
      <c r="A292" s="13"/>
      <c r="J292"/>
      <c r="K292"/>
    </row>
    <row r="293" spans="1:21" x14ac:dyDescent="0.2">
      <c r="A293" s="6" t="s">
        <v>243</v>
      </c>
      <c r="B293" s="1" t="s">
        <v>246</v>
      </c>
      <c r="C293"/>
      <c r="D293"/>
      <c r="E293"/>
      <c r="G293" s="81"/>
      <c r="J293"/>
      <c r="K293"/>
    </row>
    <row r="294" spans="1:21" x14ac:dyDescent="0.2">
      <c r="A294" s="7"/>
      <c r="C294" s="74"/>
      <c r="D294" s="74"/>
      <c r="J294"/>
      <c r="K294"/>
    </row>
    <row r="295" spans="1:21" x14ac:dyDescent="0.2">
      <c r="A295" s="7"/>
      <c r="B295" s="16" t="s">
        <v>102</v>
      </c>
      <c r="C295" s="74"/>
      <c r="D295" s="74"/>
      <c r="J295"/>
      <c r="K295"/>
    </row>
    <row r="296" spans="1:21" x14ac:dyDescent="0.2">
      <c r="A296" s="7"/>
      <c r="B296" s="89" t="s">
        <v>103</v>
      </c>
      <c r="C296" s="144">
        <f>(+SUMPRODUCT(C230:I230,C72:I72))/1000</f>
        <v>1207964.0272303666</v>
      </c>
      <c r="J296"/>
      <c r="K296"/>
    </row>
    <row r="297" spans="1:21" x14ac:dyDescent="0.2">
      <c r="A297" s="7"/>
      <c r="C297" s="89" t="s">
        <v>104</v>
      </c>
      <c r="D297" s="295">
        <f>+C296/SUMPRODUCT(E72:I72,E95:I95)*1000</f>
        <v>69.686828280374414</v>
      </c>
      <c r="E297" s="13" t="s">
        <v>105</v>
      </c>
      <c r="J297"/>
      <c r="K297"/>
      <c r="M297" s="270" t="s">
        <v>270</v>
      </c>
      <c r="N297" s="271">
        <f>C296/SUMPRODUCT(E72:I72,E98:I98)*1000</f>
        <v>70.22536865601667</v>
      </c>
      <c r="O297" s="270" t="s">
        <v>268</v>
      </c>
      <c r="P297" s="270"/>
      <c r="Q297" s="270"/>
      <c r="R297" s="270"/>
    </row>
    <row r="298" spans="1:21" x14ac:dyDescent="0.2">
      <c r="A298" s="7"/>
      <c r="J298"/>
      <c r="K298"/>
    </row>
    <row r="299" spans="1:21" x14ac:dyDescent="0.2">
      <c r="A299" s="7"/>
      <c r="C299" s="89"/>
      <c r="D299" s="262"/>
      <c r="I299" s="13" t="s">
        <v>255</v>
      </c>
      <c r="J299"/>
      <c r="K299"/>
    </row>
    <row r="300" spans="1:21" x14ac:dyDescent="0.2">
      <c r="A300" s="6" t="s">
        <v>244</v>
      </c>
      <c r="B300" s="1" t="s">
        <v>220</v>
      </c>
      <c r="C300" s="89"/>
      <c r="D300" s="249"/>
      <c r="J300"/>
      <c r="K300"/>
    </row>
    <row r="301" spans="1:21" x14ac:dyDescent="0.2">
      <c r="A301" s="7"/>
      <c r="B301"/>
      <c r="C301"/>
      <c r="D301"/>
      <c r="E301"/>
      <c r="F301"/>
      <c r="G301"/>
      <c r="H301"/>
      <c r="J301"/>
      <c r="K301"/>
    </row>
    <row r="302" spans="1:21" x14ac:dyDescent="0.2">
      <c r="A302" s="7"/>
      <c r="B302" s="13" t="s">
        <v>277</v>
      </c>
      <c r="G302" s="247" t="s">
        <v>176</v>
      </c>
      <c r="H302" s="133"/>
      <c r="I302" s="133"/>
      <c r="J302" s="10"/>
      <c r="K302" s="10"/>
      <c r="M302" s="13" t="s">
        <v>276</v>
      </c>
      <c r="R302" s="247" t="s">
        <v>176</v>
      </c>
      <c r="S302" s="133"/>
      <c r="T302" s="133"/>
      <c r="U302" s="10"/>
    </row>
    <row r="303" spans="1:21" x14ac:dyDescent="0.2">
      <c r="A303" s="7"/>
      <c r="B303" s="71" t="s">
        <v>25</v>
      </c>
      <c r="C303" s="296">
        <f>+J277/SUMPRODUCT(Q64:U64,E$95:I$95)*1000</f>
        <v>64.605362397052701</v>
      </c>
      <c r="D303" s="13" t="s">
        <v>137</v>
      </c>
      <c r="H303" s="26" t="s">
        <v>25</v>
      </c>
      <c r="I303" s="248">
        <f>ROUND(C303/$D$297,4)</f>
        <v>0.92710000000000004</v>
      </c>
      <c r="M303" s="237" t="s">
        <v>25</v>
      </c>
      <c r="N303" s="238">
        <f>J277/SUMPRODUCT(Q64:U64,E$98:I$98)*1000</f>
        <v>65.104633163026293</v>
      </c>
      <c r="O303" s="236" t="s">
        <v>269</v>
      </c>
      <c r="P303" s="236"/>
      <c r="Q303" s="246"/>
      <c r="S303" s="239" t="s">
        <v>25</v>
      </c>
      <c r="T303" s="240">
        <f>ROUND(N303/N297,4)</f>
        <v>0.92710000000000004</v>
      </c>
    </row>
    <row r="304" spans="1:21" x14ac:dyDescent="0.2">
      <c r="A304" s="7"/>
      <c r="B304" s="71" t="s">
        <v>26</v>
      </c>
      <c r="C304" s="142">
        <f>+J278/SUMPRODUCT(Q60:U60,E$95:I$95)*1000</f>
        <v>72.838832074205214</v>
      </c>
      <c r="D304" s="13" t="s">
        <v>137</v>
      </c>
      <c r="H304" s="26" t="s">
        <v>26</v>
      </c>
      <c r="I304" s="248">
        <f>ROUND(C304/$D$297,4)</f>
        <v>1.0451999999999999</v>
      </c>
      <c r="M304" s="237" t="s">
        <v>26</v>
      </c>
      <c r="N304" s="238">
        <f>J278/SUMPRODUCT(Q60:U60,E$98:I$98)*1000</f>
        <v>73.401731160798207</v>
      </c>
      <c r="O304" s="236" t="s">
        <v>269</v>
      </c>
      <c r="P304" s="236"/>
      <c r="Q304" s="246"/>
      <c r="S304" s="239" t="s">
        <v>26</v>
      </c>
      <c r="T304" s="240">
        <f>ROUND(N304/N297,4)</f>
        <v>1.0451999999999999</v>
      </c>
    </row>
    <row r="305" spans="1:12" x14ac:dyDescent="0.2">
      <c r="A305" s="7"/>
    </row>
    <row r="306" spans="1:12" x14ac:dyDescent="0.2">
      <c r="A306" s="7"/>
      <c r="G306" s="247" t="s">
        <v>296</v>
      </c>
    </row>
    <row r="307" spans="1:12" x14ac:dyDescent="0.2">
      <c r="A307" s="7"/>
      <c r="B307"/>
      <c r="C307"/>
      <c r="D307"/>
      <c r="E307" s="137"/>
      <c r="F307" s="4"/>
      <c r="G307"/>
      <c r="H307" s="26" t="s">
        <v>25</v>
      </c>
      <c r="I307" s="341">
        <f>IF(I304&gt;I303,1,I303)</f>
        <v>1</v>
      </c>
      <c r="J307"/>
      <c r="K307"/>
      <c r="L307"/>
    </row>
    <row r="308" spans="1:12" x14ac:dyDescent="0.2">
      <c r="A308" s="16" t="s">
        <v>108</v>
      </c>
      <c r="E308" s="98"/>
      <c r="F308" s="101"/>
      <c r="H308" s="26" t="s">
        <v>26</v>
      </c>
      <c r="I308" s="341">
        <f>IF(I304&gt;I303,1,I304)</f>
        <v>1</v>
      </c>
      <c r="J308"/>
      <c r="K308"/>
      <c r="L308"/>
    </row>
    <row r="309" spans="1:12" x14ac:dyDescent="0.2">
      <c r="A309" s="22"/>
      <c r="B309" s="89" t="s">
        <v>132</v>
      </c>
      <c r="C309" s="102">
        <f>D179</f>
        <v>176.17</v>
      </c>
      <c r="D309" s="93" t="s">
        <v>160</v>
      </c>
      <c r="E309" s="98"/>
      <c r="F309" s="101"/>
      <c r="I309"/>
      <c r="J309"/>
      <c r="K309"/>
      <c r="L309"/>
    </row>
    <row r="310" spans="1:12" x14ac:dyDescent="0.2">
      <c r="A310" s="22"/>
      <c r="B310" s="89"/>
      <c r="C310" s="102">
        <f>D180</f>
        <v>176.17</v>
      </c>
      <c r="D310" s="93" t="s">
        <v>161</v>
      </c>
      <c r="E310" s="98"/>
      <c r="F310" s="101"/>
      <c r="I310"/>
      <c r="J310"/>
      <c r="K310"/>
      <c r="L310"/>
    </row>
    <row r="311" spans="1:12" x14ac:dyDescent="0.2">
      <c r="A311" s="22"/>
      <c r="B311" s="89" t="s">
        <v>159</v>
      </c>
      <c r="C311" s="81" t="s">
        <v>158</v>
      </c>
      <c r="D311" s="93"/>
      <c r="E311" s="98"/>
      <c r="F311" s="101"/>
      <c r="I311"/>
      <c r="J311"/>
      <c r="K311"/>
      <c r="L311"/>
    </row>
    <row r="312" spans="1:12" x14ac:dyDescent="0.2">
      <c r="A312" s="22"/>
      <c r="B312" s="89" t="s">
        <v>109</v>
      </c>
      <c r="C312" s="148">
        <f>+H173</f>
        <v>4</v>
      </c>
      <c r="D312" s="13" t="s">
        <v>110</v>
      </c>
      <c r="E312" s="98"/>
      <c r="F312" s="101"/>
      <c r="I312"/>
      <c r="J312"/>
      <c r="K312"/>
      <c r="L312"/>
    </row>
    <row r="313" spans="1:12" x14ac:dyDescent="0.2">
      <c r="A313" s="22"/>
      <c r="B313" s="89"/>
      <c r="C313" s="148">
        <f>+H174</f>
        <v>8</v>
      </c>
      <c r="D313" s="13" t="s">
        <v>111</v>
      </c>
      <c r="E313" s="98"/>
      <c r="F313" s="101"/>
      <c r="I313"/>
      <c r="J313"/>
      <c r="K313"/>
      <c r="L313"/>
    </row>
    <row r="314" spans="1:12" x14ac:dyDescent="0.2">
      <c r="A314" s="22"/>
      <c r="B314" s="325" t="s">
        <v>299</v>
      </c>
      <c r="C314" s="102">
        <f>+F194</f>
        <v>18.25</v>
      </c>
      <c r="D314" s="13" t="s">
        <v>113</v>
      </c>
      <c r="E314" s="98"/>
      <c r="F314" s="101"/>
      <c r="I314"/>
      <c r="J314"/>
      <c r="K314"/>
      <c r="L314"/>
    </row>
    <row r="315" spans="1:12" x14ac:dyDescent="0.2">
      <c r="A315" s="22"/>
      <c r="B315" s="89" t="s">
        <v>114</v>
      </c>
      <c r="C315" s="319" t="s">
        <v>326</v>
      </c>
      <c r="E315" s="98"/>
      <c r="F315" s="101"/>
      <c r="I315"/>
      <c r="J315"/>
      <c r="K315"/>
      <c r="L315"/>
    </row>
    <row r="316" spans="1:12" x14ac:dyDescent="0.2">
      <c r="A316" s="22"/>
      <c r="B316" s="89" t="s">
        <v>115</v>
      </c>
      <c r="C316" s="324" t="s">
        <v>321</v>
      </c>
      <c r="E316" s="98"/>
      <c r="F316" s="101"/>
      <c r="I316"/>
      <c r="J316"/>
      <c r="K316"/>
      <c r="L316"/>
    </row>
    <row r="317" spans="1:12" x14ac:dyDescent="0.2">
      <c r="A317" s="22"/>
      <c r="B317" s="89"/>
      <c r="C317" s="324" t="s">
        <v>322</v>
      </c>
      <c r="E317" s="98"/>
      <c r="F317" s="101"/>
      <c r="I317"/>
      <c r="J317"/>
      <c r="K317"/>
      <c r="L317"/>
    </row>
    <row r="318" spans="1:12" x14ac:dyDescent="0.2">
      <c r="A318" s="22"/>
      <c r="B318" s="89" t="s">
        <v>116</v>
      </c>
      <c r="C318" s="319" t="s">
        <v>323</v>
      </c>
      <c r="E318" s="98"/>
      <c r="F318" s="101"/>
      <c r="I318"/>
      <c r="J318"/>
      <c r="K318"/>
      <c r="L318"/>
    </row>
    <row r="319" spans="1:12" x14ac:dyDescent="0.2">
      <c r="A319" s="22"/>
      <c r="B319" s="89" t="s">
        <v>274</v>
      </c>
      <c r="C319" s="13" t="s">
        <v>275</v>
      </c>
      <c r="E319" s="98"/>
      <c r="F319" s="101"/>
      <c r="I319"/>
      <c r="J319"/>
      <c r="K319"/>
      <c r="L319"/>
    </row>
    <row r="320" spans="1:12" x14ac:dyDescent="0.2">
      <c r="A320" s="22"/>
      <c r="B320" s="89" t="s">
        <v>271</v>
      </c>
      <c r="C320" s="13" t="s">
        <v>272</v>
      </c>
      <c r="E320" s="98"/>
      <c r="F320" s="101"/>
      <c r="I320"/>
      <c r="J320"/>
      <c r="K320"/>
      <c r="L320"/>
    </row>
    <row r="321" spans="1:12" x14ac:dyDescent="0.2">
      <c r="A321" s="22"/>
      <c r="B321" s="89" t="s">
        <v>118</v>
      </c>
      <c r="C321" s="13" t="s">
        <v>214</v>
      </c>
      <c r="E321" s="100"/>
      <c r="F321" s="101"/>
      <c r="I321"/>
      <c r="J321"/>
      <c r="K321"/>
      <c r="L321"/>
    </row>
    <row r="322" spans="1:12" x14ac:dyDescent="0.2">
      <c r="C322" s="13" t="s">
        <v>119</v>
      </c>
      <c r="E322" s="98"/>
      <c r="F322" s="101"/>
      <c r="I322"/>
      <c r="J322"/>
      <c r="K322"/>
      <c r="L322"/>
    </row>
    <row r="323" spans="1:12" x14ac:dyDescent="0.2">
      <c r="B323" s="89" t="s">
        <v>120</v>
      </c>
      <c r="C323" s="103" t="s">
        <v>189</v>
      </c>
      <c r="E323" s="98"/>
      <c r="F323" s="101"/>
      <c r="I323"/>
      <c r="J323"/>
      <c r="K323"/>
      <c r="L323"/>
    </row>
    <row r="324" spans="1:12" x14ac:dyDescent="0.2">
      <c r="A324" s="22"/>
      <c r="C324" s="103" t="s">
        <v>121</v>
      </c>
      <c r="E324" s="99"/>
      <c r="I324"/>
      <c r="J324"/>
      <c r="K324"/>
      <c r="L324"/>
    </row>
    <row r="325" spans="1:12" x14ac:dyDescent="0.2">
      <c r="C325" s="103" t="s">
        <v>188</v>
      </c>
      <c r="I325"/>
      <c r="J325"/>
      <c r="K325"/>
      <c r="L325"/>
    </row>
    <row r="326" spans="1:12" x14ac:dyDescent="0.2">
      <c r="A326" s="7"/>
      <c r="B326" s="368" t="s">
        <v>302</v>
      </c>
      <c r="C326" s="369" t="s">
        <v>303</v>
      </c>
      <c r="D326"/>
      <c r="E326" s="137"/>
      <c r="F326" s="4"/>
      <c r="G326"/>
      <c r="H326"/>
      <c r="I326"/>
      <c r="J326"/>
      <c r="K326"/>
      <c r="L326"/>
    </row>
    <row r="327" spans="1:12" x14ac:dyDescent="0.2">
      <c r="A327" s="7"/>
      <c r="B327" s="367" t="s">
        <v>255</v>
      </c>
      <c r="C327" s="9"/>
      <c r="D327"/>
      <c r="E327" s="137"/>
      <c r="F327" s="137"/>
      <c r="G327"/>
      <c r="H327"/>
      <c r="I327"/>
      <c r="J327"/>
      <c r="K327"/>
      <c r="L327"/>
    </row>
  </sheetData>
  <sheetProtection password="E165" sheet="1" objects="1" scenarios="1"/>
  <mergeCells count="17">
    <mergeCell ref="M30:N30"/>
    <mergeCell ref="B285:L285"/>
    <mergeCell ref="B286:L286"/>
    <mergeCell ref="B3:L3"/>
    <mergeCell ref="B239:L239"/>
    <mergeCell ref="B240:L240"/>
    <mergeCell ref="B103:L103"/>
    <mergeCell ref="B104:L104"/>
    <mergeCell ref="B143:L143"/>
    <mergeCell ref="B144:L144"/>
    <mergeCell ref="B209:L209"/>
    <mergeCell ref="B210:L210"/>
    <mergeCell ref="B1:L1"/>
    <mergeCell ref="B2:L2"/>
    <mergeCell ref="B52:L52"/>
    <mergeCell ref="B53:L53"/>
    <mergeCell ref="B5:L5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 &amp;A&amp;CPage &amp;P of &amp;N</oddFooter>
  </headerFooter>
  <rowBreaks count="6" manualBreakCount="6">
    <brk id="51" max="9" man="1"/>
    <brk id="102" max="9" man="1"/>
    <brk id="142" max="9" man="1"/>
    <brk id="207" max="9" man="1"/>
    <brk id="238" max="9" man="1"/>
    <brk id="284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5"/>
  <sheetViews>
    <sheetView tabSelected="1" view="pageBreakPreview" zoomScale="80" zoomScaleNormal="60" zoomScaleSheetLayoutView="80" workbookViewId="0"/>
  </sheetViews>
  <sheetFormatPr defaultColWidth="9.140625" defaultRowHeight="12.75" x14ac:dyDescent="0.2"/>
  <cols>
    <col min="1" max="1" width="16.140625" style="12" customWidth="1"/>
    <col min="2" max="2" width="27.85546875" style="13" customWidth="1"/>
    <col min="3" max="3" width="13.42578125" style="13" customWidth="1"/>
    <col min="4" max="4" width="9.5703125" style="13" customWidth="1"/>
    <col min="5" max="5" width="14.42578125" style="13" customWidth="1"/>
    <col min="6" max="6" width="15" style="13" customWidth="1"/>
    <col min="7" max="7" width="16.85546875" style="13" bestFit="1" customWidth="1"/>
    <col min="8" max="9" width="14.140625" style="13" customWidth="1"/>
    <col min="10" max="10" width="15.85546875" style="13" customWidth="1"/>
    <col min="11" max="11" width="3.140625" style="13" customWidth="1"/>
    <col min="12" max="12" width="5.5703125" style="13" customWidth="1"/>
    <col min="13" max="14" width="4.5703125" style="13" customWidth="1"/>
    <col min="15" max="15" width="20.140625" style="13" hidden="1" customWidth="1"/>
    <col min="16" max="16" width="21.42578125" style="13" hidden="1" customWidth="1"/>
    <col min="17" max="17" width="14.85546875" style="13" hidden="1" customWidth="1"/>
    <col min="18" max="19" width="13.5703125" style="13" hidden="1" customWidth="1"/>
    <col min="20" max="20" width="14.140625" style="13" hidden="1" customWidth="1"/>
    <col min="21" max="21" width="14.140625" style="13" customWidth="1"/>
    <col min="22" max="22" width="13.5703125" style="13" customWidth="1"/>
    <col min="23" max="23" width="14.85546875" style="13" bestFit="1" customWidth="1"/>
    <col min="24" max="24" width="14.42578125" style="13" bestFit="1" customWidth="1"/>
    <col min="25" max="25" width="18" style="13" customWidth="1"/>
    <col min="26" max="26" width="14.140625" style="13" customWidth="1"/>
    <col min="27" max="29" width="13.5703125" style="13" customWidth="1"/>
    <col min="30" max="30" width="17.5703125" style="13" customWidth="1"/>
    <col min="31" max="31" width="16.5703125" style="13" customWidth="1"/>
    <col min="32" max="32" width="14.42578125" style="13" customWidth="1"/>
    <col min="33" max="16384" width="9.140625" style="13"/>
  </cols>
  <sheetData>
    <row r="1" spans="1:16" ht="15.75" x14ac:dyDescent="0.25">
      <c r="B1" s="414" t="s">
        <v>69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6" ht="15.75" x14ac:dyDescent="0.25">
      <c r="B2" s="414" t="s">
        <v>187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6" ht="15.75" x14ac:dyDescent="0.25">
      <c r="B3" s="414" t="str">
        <f>'BGS PTY18 Cost Alloc'!$B$3</f>
        <v>2020 BGS Auction Cost and Bid Factor Tables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6" ht="15.75" x14ac:dyDescent="0.2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6" ht="15.75" x14ac:dyDescent="0.25">
      <c r="B5" s="414" t="s">
        <v>295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</row>
    <row r="6" spans="1:16" x14ac:dyDescent="0.2">
      <c r="N6" s="120" t="s">
        <v>255</v>
      </c>
    </row>
    <row r="7" spans="1:16" x14ac:dyDescent="0.2">
      <c r="A7" s="18" t="s">
        <v>256</v>
      </c>
      <c r="B7" s="172" t="s">
        <v>306</v>
      </c>
      <c r="C7" s="20"/>
      <c r="E7" s="165" t="s">
        <v>286</v>
      </c>
      <c r="F7" s="300">
        <v>20</v>
      </c>
      <c r="G7" s="16"/>
      <c r="P7" s="284" t="s">
        <v>255</v>
      </c>
    </row>
    <row r="8" spans="1:16" ht="14.25" customHeight="1" x14ac:dyDescent="0.2">
      <c r="A8" s="22"/>
      <c r="B8" s="13" t="s">
        <v>238</v>
      </c>
      <c r="C8" s="23"/>
      <c r="D8" s="23"/>
      <c r="M8" s="23"/>
      <c r="N8" s="23"/>
    </row>
    <row r="9" spans="1:16" x14ac:dyDescent="0.2">
      <c r="A9" s="22"/>
    </row>
    <row r="10" spans="1:16" x14ac:dyDescent="0.2">
      <c r="A10" s="22"/>
      <c r="B10" t="s">
        <v>134</v>
      </c>
      <c r="C10"/>
      <c r="D10"/>
      <c r="E10" s="26" t="s">
        <v>61</v>
      </c>
      <c r="F10" s="26" t="s">
        <v>62</v>
      </c>
      <c r="G10" s="26" t="s">
        <v>65</v>
      </c>
      <c r="H10" s="26" t="s">
        <v>203</v>
      </c>
      <c r="I10" s="26" t="s">
        <v>55</v>
      </c>
      <c r="J10"/>
      <c r="K10"/>
      <c r="L10"/>
      <c r="M10" s="30"/>
      <c r="N10" s="30"/>
    </row>
    <row r="11" spans="1:16" x14ac:dyDescent="0.2">
      <c r="A11" s="22"/>
      <c r="B11" s="28" t="s">
        <v>17</v>
      </c>
      <c r="C11" s="149"/>
      <c r="D11" s="149"/>
      <c r="E11" s="149">
        <f>'BGS PTY16 Cost Alloc'!E265</f>
        <v>194.72722279717075</v>
      </c>
      <c r="F11" s="149"/>
      <c r="G11" s="149">
        <f>'BGS PTY16 Cost Alloc'!G265</f>
        <v>178815.39665203949</v>
      </c>
      <c r="H11" s="144"/>
      <c r="I11" s="149">
        <f>'BGS PTY16 Cost Alloc'!I265</f>
        <v>1815.1161779681372</v>
      </c>
      <c r="J11" s="149"/>
      <c r="K11" s="149"/>
      <c r="L11" s="149"/>
      <c r="M11" s="30"/>
      <c r="N11" s="30"/>
    </row>
    <row r="12" spans="1:16" x14ac:dyDescent="0.2">
      <c r="A12" s="22"/>
      <c r="B12" s="77" t="s">
        <v>72</v>
      </c>
      <c r="C12" s="149"/>
      <c r="D12" s="149"/>
      <c r="E12" s="149">
        <f>'BGS PTY16 Cost Alloc'!E266</f>
        <v>4347.2268017409715</v>
      </c>
      <c r="F12" s="149"/>
      <c r="G12" s="149"/>
      <c r="H12" s="149">
        <f>'BGS PTY16 Cost Alloc'!H266</f>
        <v>2294.2409251775775</v>
      </c>
      <c r="I12" s="149"/>
      <c r="J12" s="149"/>
      <c r="K12" s="149"/>
      <c r="L12" s="149"/>
      <c r="M12" s="30"/>
      <c r="N12" s="30"/>
    </row>
    <row r="13" spans="1:16" x14ac:dyDescent="0.2">
      <c r="A13" s="22"/>
      <c r="B13" s="77" t="s">
        <v>73</v>
      </c>
      <c r="C13" s="149"/>
      <c r="D13" s="149"/>
      <c r="E13" s="149">
        <f>'BGS PTY16 Cost Alloc'!E267</f>
        <v>2137.323567599602</v>
      </c>
      <c r="F13" s="149"/>
      <c r="G13" s="149"/>
      <c r="H13" s="149">
        <f>'BGS PTY16 Cost Alloc'!H267</f>
        <v>878.67128511417582</v>
      </c>
      <c r="I13" s="149"/>
      <c r="J13" s="149"/>
      <c r="K13" s="149"/>
      <c r="L13" s="149"/>
      <c r="M13" s="30"/>
      <c r="N13" s="30"/>
    </row>
    <row r="14" spans="1:16" x14ac:dyDescent="0.2">
      <c r="A14" s="22"/>
      <c r="B14" s="89" t="s">
        <v>142</v>
      </c>
      <c r="C14" s="149"/>
      <c r="D14" s="149"/>
      <c r="E14" s="149"/>
      <c r="F14" s="149">
        <f>'BGS PTY16 Cost Alloc'!F268</f>
        <v>150259.88985282014</v>
      </c>
      <c r="G14" s="149"/>
      <c r="H14" s="144"/>
      <c r="I14" s="149"/>
      <c r="J14" s="149"/>
      <c r="K14" s="149"/>
      <c r="L14" s="149"/>
      <c r="M14" s="30"/>
      <c r="N14" s="30"/>
    </row>
    <row r="15" spans="1:16" x14ac:dyDescent="0.2">
      <c r="A15" s="22"/>
      <c r="B15" s="89" t="s">
        <v>144</v>
      </c>
      <c r="C15" s="149"/>
      <c r="D15" s="149"/>
      <c r="E15" s="149"/>
      <c r="F15" s="149">
        <f>'BGS PTY16 Cost Alloc'!F269</f>
        <v>144419.74098694156</v>
      </c>
      <c r="G15" s="149"/>
      <c r="H15" s="144"/>
      <c r="I15" s="149"/>
      <c r="J15" s="149"/>
      <c r="K15" s="149"/>
      <c r="L15" s="149"/>
      <c r="M15" s="30"/>
      <c r="N15" s="30"/>
    </row>
    <row r="16" spans="1:16" x14ac:dyDescent="0.2">
      <c r="A16" s="22"/>
      <c r="C16" s="149"/>
      <c r="D16" s="149"/>
      <c r="E16" s="149"/>
      <c r="F16" s="149"/>
      <c r="G16" s="149"/>
      <c r="H16" s="144"/>
      <c r="I16" s="149"/>
      <c r="J16" s="149"/>
      <c r="K16" s="149"/>
      <c r="L16" s="149"/>
      <c r="M16" s="30"/>
      <c r="N16" s="30"/>
    </row>
    <row r="17" spans="1:16" x14ac:dyDescent="0.2">
      <c r="A17" s="22"/>
      <c r="B17" s="28" t="s">
        <v>18</v>
      </c>
      <c r="C17" s="149"/>
      <c r="D17" s="149"/>
      <c r="E17" s="149">
        <f>'BGS PTY16 Cost Alloc'!E271</f>
        <v>368.77549258118995</v>
      </c>
      <c r="F17" s="149">
        <f>'BGS PTY16 Cost Alloc'!F271</f>
        <v>445498.87176593667</v>
      </c>
      <c r="G17" s="149">
        <f>'BGS PTY16 Cost Alloc'!G271</f>
        <v>312624.83202406735</v>
      </c>
      <c r="I17" s="149">
        <f>'BGS PTY16 Cost Alloc'!I271</f>
        <v>3454.0303150487607</v>
      </c>
      <c r="J17" s="149"/>
      <c r="K17" s="149"/>
      <c r="L17" s="149"/>
      <c r="M17" s="30"/>
      <c r="N17" s="30"/>
    </row>
    <row r="18" spans="1:16" x14ac:dyDescent="0.2">
      <c r="A18" s="22"/>
      <c r="B18" s="77" t="s">
        <v>72</v>
      </c>
      <c r="C18" s="149"/>
      <c r="D18" s="149"/>
      <c r="E18" s="149">
        <f>'BGS PTY16 Cost Alloc'!E272</f>
        <v>7798.4800745515413</v>
      </c>
      <c r="F18" s="3"/>
      <c r="G18" s="3"/>
      <c r="H18" s="149">
        <f>'BGS PTY16 Cost Alloc'!H272</f>
        <v>4809.6034192676325</v>
      </c>
      <c r="I18" s="3"/>
      <c r="J18" s="149"/>
      <c r="K18" s="149"/>
      <c r="L18" s="149"/>
      <c r="M18" s="30"/>
      <c r="N18" s="30"/>
    </row>
    <row r="19" spans="1:16" x14ac:dyDescent="0.2">
      <c r="A19" s="22"/>
      <c r="B19" s="77" t="s">
        <v>73</v>
      </c>
      <c r="C19" s="3"/>
      <c r="D19" s="3"/>
      <c r="E19" s="149">
        <f>'BGS PTY16 Cost Alloc'!E273</f>
        <v>5091.5519142942821</v>
      </c>
      <c r="H19" s="149">
        <f>'BGS PTY16 Cost Alloc'!H273</f>
        <v>2494.3305102307686</v>
      </c>
      <c r="J19" s="149"/>
      <c r="K19" s="149"/>
      <c r="L19" s="149"/>
      <c r="M19" s="30"/>
      <c r="N19" s="30"/>
    </row>
    <row r="20" spans="1:16" x14ac:dyDescent="0.2">
      <c r="A20" s="22"/>
      <c r="B20" s="5"/>
      <c r="C20"/>
      <c r="D20"/>
      <c r="E20"/>
      <c r="F20"/>
      <c r="G20"/>
      <c r="H20"/>
      <c r="I20"/>
      <c r="J20"/>
      <c r="K20"/>
      <c r="L20"/>
      <c r="M20" s="30"/>
      <c r="N20" s="30"/>
    </row>
    <row r="21" spans="1:16" x14ac:dyDescent="0.2">
      <c r="A21" s="22"/>
      <c r="B21" t="s">
        <v>135</v>
      </c>
      <c r="C21"/>
      <c r="D21"/>
      <c r="E21"/>
      <c r="F21"/>
      <c r="G21"/>
      <c r="H21"/>
      <c r="I21"/>
      <c r="J21"/>
      <c r="K21"/>
      <c r="L21"/>
      <c r="M21" s="30"/>
      <c r="N21" s="30"/>
    </row>
    <row r="22" spans="1:16" x14ac:dyDescent="0.2">
      <c r="A22" s="22"/>
      <c r="B22" s="5" t="s">
        <v>25</v>
      </c>
      <c r="D22"/>
      <c r="E22" s="3">
        <f>SUM(E11:E15)</f>
        <v>6679.2775921377443</v>
      </c>
      <c r="F22" s="3">
        <f>SUM(F11:F15)</f>
        <v>294679.6308397617</v>
      </c>
      <c r="G22" s="3">
        <f>SUM(G11:G15)</f>
        <v>178815.39665203949</v>
      </c>
      <c r="H22" s="3">
        <f>SUM(H11:H15)</f>
        <v>3172.9122102917536</v>
      </c>
      <c r="I22" s="3">
        <f>SUM(I11:I15)</f>
        <v>1815.1161779681372</v>
      </c>
      <c r="J22" s="151">
        <f>SUM(E22:I22)</f>
        <v>485162.33347219886</v>
      </c>
      <c r="K22" s="151"/>
      <c r="L22" s="151"/>
      <c r="M22" s="31"/>
      <c r="N22" s="31"/>
    </row>
    <row r="23" spans="1:16" x14ac:dyDescent="0.2">
      <c r="A23" s="22"/>
      <c r="B23" s="5" t="s">
        <v>26</v>
      </c>
      <c r="D23"/>
      <c r="E23" s="3">
        <f>SUM(E17:E19)</f>
        <v>13258.807481427013</v>
      </c>
      <c r="F23" s="3">
        <f>SUM(F17:F19)</f>
        <v>445498.87176593667</v>
      </c>
      <c r="G23" s="3">
        <f>SUM(G17:G19)</f>
        <v>312624.83202406735</v>
      </c>
      <c r="H23" s="3">
        <f>SUM(H17:H19)</f>
        <v>7303.9339294984011</v>
      </c>
      <c r="I23" s="3">
        <f>SUM(I17:I19)</f>
        <v>3454.0303150487607</v>
      </c>
      <c r="J23" s="151">
        <f>SUM(E23:I23)</f>
        <v>782140.47551597829</v>
      </c>
      <c r="K23" s="151"/>
      <c r="L23" s="151"/>
      <c r="M23" s="31"/>
      <c r="N23" s="31"/>
    </row>
    <row r="24" spans="1:16" x14ac:dyDescent="0.2">
      <c r="A24" s="18"/>
      <c r="B24" s="5" t="s">
        <v>13</v>
      </c>
      <c r="D24"/>
      <c r="E24" s="3">
        <f>SUM(E22:E23)</f>
        <v>19938.085073564758</v>
      </c>
      <c r="F24" s="3">
        <f>SUM(F22:F23)</f>
        <v>740178.5026056983</v>
      </c>
      <c r="G24" s="3">
        <f>SUM(G22:G23)</f>
        <v>491440.22867610684</v>
      </c>
      <c r="H24" s="3">
        <f>SUM(H22:H23)</f>
        <v>10476.846139790156</v>
      </c>
      <c r="I24" s="3">
        <f>SUM(I22:I23)</f>
        <v>5269.1464930168977</v>
      </c>
      <c r="J24" s="3">
        <f>SUM(E24:I24)</f>
        <v>1267302.8089881772</v>
      </c>
      <c r="K24" s="3"/>
      <c r="L24" s="3"/>
      <c r="M24" s="31"/>
      <c r="N24" s="31"/>
    </row>
    <row r="25" spans="1:16" x14ac:dyDescent="0.2">
      <c r="A25" s="22"/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6" x14ac:dyDescent="0.2">
      <c r="A26" s="22"/>
      <c r="B26" s="2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6" x14ac:dyDescent="0.2">
      <c r="A27" s="22"/>
    </row>
    <row r="28" spans="1:16" x14ac:dyDescent="0.2">
      <c r="A28" s="18" t="s">
        <v>257</v>
      </c>
      <c r="B28" s="172" t="s">
        <v>310</v>
      </c>
      <c r="C28" s="20"/>
      <c r="E28" s="165" t="s">
        <v>286</v>
      </c>
      <c r="F28" s="300">
        <v>18</v>
      </c>
      <c r="G28" s="16" t="s">
        <v>255</v>
      </c>
      <c r="P28" s="284" t="s">
        <v>255</v>
      </c>
    </row>
    <row r="29" spans="1:16" x14ac:dyDescent="0.2">
      <c r="A29" s="22"/>
      <c r="B29" s="13" t="s">
        <v>238</v>
      </c>
      <c r="C29" s="23"/>
      <c r="D29" s="23"/>
    </row>
    <row r="30" spans="1:16" x14ac:dyDescent="0.2">
      <c r="A30" s="22"/>
    </row>
    <row r="31" spans="1:16" x14ac:dyDescent="0.2">
      <c r="A31" s="22"/>
      <c r="B31" t="s">
        <v>134</v>
      </c>
      <c r="C31"/>
      <c r="D31"/>
      <c r="E31" s="26" t="s">
        <v>61</v>
      </c>
      <c r="F31" s="26" t="s">
        <v>62</v>
      </c>
      <c r="G31" s="26" t="s">
        <v>65</v>
      </c>
      <c r="H31" s="26" t="s">
        <v>203</v>
      </c>
      <c r="I31" s="26" t="s">
        <v>55</v>
      </c>
      <c r="J31"/>
      <c r="K31"/>
      <c r="L31"/>
    </row>
    <row r="32" spans="1:16" x14ac:dyDescent="0.2">
      <c r="A32" s="22"/>
      <c r="B32" s="28" t="s">
        <v>17</v>
      </c>
      <c r="C32" s="149"/>
      <c r="D32" s="149"/>
      <c r="E32" s="149">
        <f>'BGS PTY17 Cost Alloc'!E265</f>
        <v>194.56796385628397</v>
      </c>
      <c r="F32" s="149"/>
      <c r="G32" s="149">
        <f>'BGS PTY17 Cost Alloc'!G265</f>
        <v>186555.5613101745</v>
      </c>
      <c r="H32" s="144"/>
      <c r="I32" s="149">
        <f>'BGS PTY17 Cost Alloc'!I265</f>
        <v>2338.068592666054</v>
      </c>
      <c r="J32" s="149"/>
      <c r="K32" s="149"/>
      <c r="L32" s="149"/>
    </row>
    <row r="33" spans="1:12" x14ac:dyDescent="0.2">
      <c r="A33" s="22"/>
      <c r="B33" s="77" t="s">
        <v>72</v>
      </c>
      <c r="C33" s="149"/>
      <c r="D33" s="149"/>
      <c r="E33" s="149">
        <f>'BGS PTY17 Cost Alloc'!E266</f>
        <v>3775.1851743662032</v>
      </c>
      <c r="F33" s="149"/>
      <c r="G33" s="149"/>
      <c r="H33" s="149">
        <f>'BGS PTY17 Cost Alloc'!H266</f>
        <v>1974.2508110300109</v>
      </c>
      <c r="I33" s="149"/>
      <c r="J33" s="149"/>
      <c r="K33" s="149"/>
      <c r="L33" s="149"/>
    </row>
    <row r="34" spans="1:12" x14ac:dyDescent="0.2">
      <c r="A34" s="22"/>
      <c r="B34" s="77" t="s">
        <v>73</v>
      </c>
      <c r="C34" s="149"/>
      <c r="D34" s="149"/>
      <c r="E34" s="149">
        <f>'BGS PTY17 Cost Alloc'!E267</f>
        <v>2704.0094485926725</v>
      </c>
      <c r="F34" s="149"/>
      <c r="G34" s="149"/>
      <c r="H34" s="149">
        <f>'BGS PTY17 Cost Alloc'!H267</f>
        <v>1110.1388633605072</v>
      </c>
      <c r="I34" s="149"/>
      <c r="J34" s="149"/>
      <c r="K34" s="149"/>
      <c r="L34" s="149"/>
    </row>
    <row r="35" spans="1:12" x14ac:dyDescent="0.2">
      <c r="A35" s="22"/>
      <c r="B35" s="89" t="s">
        <v>142</v>
      </c>
      <c r="C35" s="149"/>
      <c r="D35" s="149"/>
      <c r="E35" s="149"/>
      <c r="F35" s="149">
        <f>'BGS PTY17 Cost Alloc'!F268</f>
        <v>160265.32247025706</v>
      </c>
      <c r="G35" s="149"/>
      <c r="H35" s="144"/>
      <c r="I35" s="149"/>
      <c r="J35" s="149"/>
      <c r="K35" s="149"/>
      <c r="L35" s="149"/>
    </row>
    <row r="36" spans="1:12" x14ac:dyDescent="0.2">
      <c r="A36" s="22"/>
      <c r="B36" s="89" t="s">
        <v>144</v>
      </c>
      <c r="C36" s="149"/>
      <c r="D36" s="149"/>
      <c r="E36" s="149"/>
      <c r="F36" s="149">
        <f>'BGS PTY17 Cost Alloc'!F269</f>
        <v>153054.21210893587</v>
      </c>
      <c r="G36" s="149"/>
      <c r="H36" s="144"/>
      <c r="I36" s="149"/>
      <c r="J36" s="149"/>
      <c r="K36" s="149"/>
      <c r="L36" s="149"/>
    </row>
    <row r="37" spans="1:12" x14ac:dyDescent="0.2">
      <c r="A37" s="22"/>
      <c r="C37" s="149"/>
      <c r="D37" s="149"/>
      <c r="E37" s="149"/>
      <c r="F37" s="149"/>
      <c r="G37" s="149"/>
      <c r="H37" s="144"/>
      <c r="I37" s="149"/>
      <c r="J37" s="149"/>
      <c r="K37" s="149"/>
      <c r="L37" s="149"/>
    </row>
    <row r="38" spans="1:12" x14ac:dyDescent="0.2">
      <c r="A38" s="22"/>
      <c r="B38" s="28" t="s">
        <v>18</v>
      </c>
      <c r="C38" s="149"/>
      <c r="D38" s="149"/>
      <c r="E38" s="149">
        <f>'BGS PTY17 Cost Alloc'!E271</f>
        <v>383.3387026396864</v>
      </c>
      <c r="F38" s="149">
        <f>'BGS PTY17 Cost Alloc'!F271</f>
        <v>468301.40203639452</v>
      </c>
      <c r="G38" s="149">
        <f>'BGS PTY17 Cost Alloc'!G271</f>
        <v>330931.68512694625</v>
      </c>
      <c r="I38" s="149">
        <f>'BGS PTY17 Cost Alloc'!I271</f>
        <v>4696.8008071659297</v>
      </c>
      <c r="J38" s="149"/>
      <c r="K38" s="149"/>
      <c r="L38" s="149"/>
    </row>
    <row r="39" spans="1:12" x14ac:dyDescent="0.2">
      <c r="A39" s="22"/>
      <c r="B39" s="77" t="s">
        <v>72</v>
      </c>
      <c r="C39" s="149"/>
      <c r="D39" s="149"/>
      <c r="E39" s="149">
        <f>'BGS PTY17 Cost Alloc'!E272</f>
        <v>6706.6831462043829</v>
      </c>
      <c r="F39" s="3"/>
      <c r="G39" s="3"/>
      <c r="H39" s="149">
        <f>'BGS PTY17 Cost Alloc'!H272</f>
        <v>4337.9240711087759</v>
      </c>
      <c r="I39" s="3"/>
      <c r="J39" s="149"/>
      <c r="K39" s="149"/>
      <c r="L39" s="149"/>
    </row>
    <row r="40" spans="1:12" x14ac:dyDescent="0.2">
      <c r="A40" s="22"/>
      <c r="B40" s="77" t="s">
        <v>73</v>
      </c>
      <c r="C40" s="3"/>
      <c r="D40" s="3"/>
      <c r="E40" s="149">
        <f>'BGS PTY17 Cost Alloc'!E273</f>
        <v>6692.6239905549237</v>
      </c>
      <c r="H40" s="149">
        <f>'BGS PTY17 Cost Alloc'!H273</f>
        <v>3310.5878747439583</v>
      </c>
      <c r="J40" s="149"/>
      <c r="K40" s="149"/>
      <c r="L40" s="149"/>
    </row>
    <row r="41" spans="1:12" x14ac:dyDescent="0.2">
      <c r="A41" s="22"/>
      <c r="B41" s="5"/>
      <c r="C41"/>
      <c r="D41"/>
      <c r="E41"/>
      <c r="F41"/>
      <c r="G41"/>
      <c r="H41"/>
      <c r="I41"/>
      <c r="J41"/>
      <c r="K41"/>
      <c r="L41"/>
    </row>
    <row r="42" spans="1:12" x14ac:dyDescent="0.2">
      <c r="A42" s="22"/>
      <c r="B42" t="s">
        <v>135</v>
      </c>
      <c r="C42"/>
      <c r="D42"/>
      <c r="E42"/>
      <c r="F42"/>
      <c r="G42"/>
      <c r="H42"/>
      <c r="I42"/>
      <c r="J42"/>
      <c r="K42"/>
      <c r="L42"/>
    </row>
    <row r="43" spans="1:12" x14ac:dyDescent="0.2">
      <c r="A43" s="22"/>
      <c r="B43" s="5" t="s">
        <v>25</v>
      </c>
      <c r="D43"/>
      <c r="E43" s="3">
        <f>SUM(E32:E36)</f>
        <v>6673.762586815159</v>
      </c>
      <c r="F43" s="3">
        <f>SUM(F32:F36)</f>
        <v>313319.53457919293</v>
      </c>
      <c r="G43" s="3">
        <f>SUM(G32:G36)</f>
        <v>186555.5613101745</v>
      </c>
      <c r="H43" s="3">
        <f>SUM(H32:H36)</f>
        <v>3084.3896743905179</v>
      </c>
      <c r="I43" s="3">
        <f>SUM(I32:I36)</f>
        <v>2338.068592666054</v>
      </c>
      <c r="J43" s="151">
        <f>SUM(E43:I43)</f>
        <v>511971.31674323912</v>
      </c>
      <c r="K43" s="151"/>
      <c r="L43" s="151"/>
    </row>
    <row r="44" spans="1:12" x14ac:dyDescent="0.2">
      <c r="A44" s="22"/>
      <c r="B44" s="5" t="s">
        <v>26</v>
      </c>
      <c r="D44"/>
      <c r="E44" s="3">
        <f>SUM(E38:E40)</f>
        <v>13782.645839398992</v>
      </c>
      <c r="F44" s="3">
        <f>SUM(F38:F40)</f>
        <v>468301.40203639452</v>
      </c>
      <c r="G44" s="3">
        <f>SUM(G38:G40)</f>
        <v>330931.68512694625</v>
      </c>
      <c r="H44" s="3">
        <f>SUM(H38:H40)</f>
        <v>7648.5119458527342</v>
      </c>
      <c r="I44" s="3">
        <f>SUM(I38:I40)</f>
        <v>4696.8008071659297</v>
      </c>
      <c r="J44" s="151">
        <f>SUM(E44:I44)</f>
        <v>825361.04575575842</v>
      </c>
      <c r="K44" s="151"/>
      <c r="L44" s="151"/>
    </row>
    <row r="45" spans="1:12" x14ac:dyDescent="0.2">
      <c r="A45" s="18"/>
      <c r="B45" s="5" t="s">
        <v>13</v>
      </c>
      <c r="D45"/>
      <c r="E45" s="3">
        <f>SUM(E43:E44)</f>
        <v>20456.408426214151</v>
      </c>
      <c r="F45" s="3">
        <f>SUM(F43:F44)</f>
        <v>781620.93661558744</v>
      </c>
      <c r="G45" s="3">
        <f>SUM(G43:G44)</f>
        <v>517487.24643712072</v>
      </c>
      <c r="H45" s="3">
        <f>SUM(H43:H44)</f>
        <v>10732.901620243252</v>
      </c>
      <c r="I45" s="3">
        <f>SUM(I43:I44)</f>
        <v>7034.8693998319832</v>
      </c>
      <c r="J45" s="3">
        <f>SUM(E45:I45)</f>
        <v>1337332.3624989977</v>
      </c>
      <c r="K45" s="3"/>
      <c r="L45" s="3"/>
    </row>
    <row r="46" spans="1:12" x14ac:dyDescent="0.2">
      <c r="A46" s="18"/>
      <c r="B46" s="5"/>
      <c r="D46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13"/>
      <c r="B47" s="36" t="str">
        <f>'BGS PTY18 Cost Alloc'!B46</f>
        <v>{1} For BGS purposes the RT rate class includes the RS and GS rate class Off-Peak (OPWH) and Controlled Water Heating (CTWH) provisions.  The RT rate class also includes the</v>
      </c>
      <c r="D47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13"/>
      <c r="B48" s="36" t="str">
        <f>'BGS PTY18 Cost Alloc'!B47</f>
        <v xml:space="preserve">  summer billing month RGT rate class usage.  OPWH and CTWH is billed on the average RT rates, while RT and Summer RGT use is billed at on-peak and off-peak rates.</v>
      </c>
      <c r="D48"/>
      <c r="E48" s="3"/>
      <c r="F48" s="3"/>
      <c r="G48" s="3"/>
      <c r="H48" s="3"/>
      <c r="I48" s="3"/>
      <c r="J48" s="3"/>
      <c r="K48" s="3"/>
      <c r="L48" s="3"/>
    </row>
    <row r="49" spans="1:16" x14ac:dyDescent="0.2">
      <c r="A49" s="13"/>
      <c r="B49" s="36" t="str">
        <f>'BGS PTY18 Cost Alloc'!B48</f>
        <v xml:space="preserve">{2} For BGS purposes the RS rate class excludes the Off-Peak and Controlled Water Heating provisions and includes  </v>
      </c>
      <c r="D49"/>
      <c r="E49" s="3"/>
      <c r="F49" s="3"/>
      <c r="G49" s="3"/>
      <c r="H49" s="3"/>
      <c r="I49" s="3"/>
      <c r="J49" s="3"/>
      <c r="K49" s="3"/>
      <c r="L49" s="3"/>
    </row>
    <row r="50" spans="1:16" x14ac:dyDescent="0.2">
      <c r="A50" s="13"/>
      <c r="B50" s="36" t="str">
        <f>'BGS PTY18 Cost Alloc'!B49</f>
        <v xml:space="preserve">     the winter billing month RGT rate class usage</v>
      </c>
      <c r="D50"/>
      <c r="E50" s="3"/>
      <c r="F50" s="3"/>
      <c r="G50" s="3"/>
      <c r="H50" s="3"/>
      <c r="I50" s="3"/>
      <c r="J50" s="3"/>
      <c r="K50" s="3"/>
      <c r="L50" s="3"/>
    </row>
    <row r="51" spans="1:16" x14ac:dyDescent="0.2">
      <c r="A51" s="13"/>
      <c r="B51" s="36" t="str">
        <f>'BGS PTY18 Cost Alloc'!B50</f>
        <v>{3} For BGS purposes the GS rate class excludes the Off-Peak and Controlled Water Heating provisions</v>
      </c>
      <c r="D51"/>
      <c r="E51" s="3"/>
      <c r="F51" s="3"/>
      <c r="G51" s="3"/>
      <c r="H51" s="3"/>
      <c r="I51" s="3"/>
      <c r="J51" s="3"/>
      <c r="K51" s="3"/>
      <c r="L51" s="3"/>
    </row>
    <row r="52" spans="1:16" x14ac:dyDescent="0.2">
      <c r="A52" s="36"/>
      <c r="B52" s="164" t="str">
        <f>'BGS PTY18 Cost Alloc'!B101</f>
        <v>{4} The GS and GST units exclude the units associated with the 500 kW and above PLS accounts that will be required to take service under BGS-CIEP</v>
      </c>
      <c r="D52"/>
      <c r="E52" s="3"/>
      <c r="F52" s="3"/>
      <c r="G52" s="3"/>
      <c r="H52" s="3"/>
      <c r="I52" s="3"/>
      <c r="J52" s="3"/>
      <c r="K52" s="3"/>
      <c r="L52" s="3"/>
    </row>
    <row r="53" spans="1:16" x14ac:dyDescent="0.2">
      <c r="A53" s="13"/>
      <c r="B53" s="164" t="str">
        <f>'BGS PTY18 Cost Alloc'!B102</f>
        <v xml:space="preserve"> </v>
      </c>
    </row>
    <row r="54" spans="1:16" ht="15.75" x14ac:dyDescent="0.25">
      <c r="B54" s="414" t="s">
        <v>69</v>
      </c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  <row r="55" spans="1:16" ht="15.75" x14ac:dyDescent="0.25">
      <c r="B55" s="414" t="s">
        <v>187</v>
      </c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6" ht="15.75" x14ac:dyDescent="0.25"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6" x14ac:dyDescent="0.2">
      <c r="N57" s="120" t="s">
        <v>255</v>
      </c>
    </row>
    <row r="59" spans="1:16" x14ac:dyDescent="0.2">
      <c r="E59" s="17"/>
    </row>
    <row r="60" spans="1:16" x14ac:dyDescent="0.2">
      <c r="A60" s="18" t="s">
        <v>258</v>
      </c>
      <c r="B60" s="172" t="s">
        <v>324</v>
      </c>
      <c r="C60" s="20"/>
      <c r="E60" s="165" t="s">
        <v>286</v>
      </c>
      <c r="F60" s="300">
        <v>15</v>
      </c>
      <c r="G60" s="13" t="s">
        <v>255</v>
      </c>
      <c r="P60" s="284" t="s">
        <v>255</v>
      </c>
    </row>
    <row r="61" spans="1:16" x14ac:dyDescent="0.2">
      <c r="A61" s="22"/>
      <c r="B61" s="13" t="s">
        <v>238</v>
      </c>
      <c r="C61" s="23"/>
      <c r="D61" s="23"/>
    </row>
    <row r="62" spans="1:16" x14ac:dyDescent="0.2">
      <c r="A62" s="22"/>
    </row>
    <row r="63" spans="1:16" x14ac:dyDescent="0.2">
      <c r="A63" s="22"/>
      <c r="B63" t="s">
        <v>134</v>
      </c>
      <c r="C63"/>
      <c r="D63"/>
      <c r="E63" s="26" t="s">
        <v>61</v>
      </c>
      <c r="F63" s="26" t="s">
        <v>62</v>
      </c>
      <c r="G63" s="26" t="s">
        <v>65</v>
      </c>
      <c r="H63" s="26" t="s">
        <v>203</v>
      </c>
      <c r="I63" s="26" t="s">
        <v>55</v>
      </c>
      <c r="J63"/>
      <c r="K63"/>
      <c r="L63"/>
    </row>
    <row r="64" spans="1:16" x14ac:dyDescent="0.2">
      <c r="A64" s="22"/>
      <c r="B64" s="28" t="s">
        <v>17</v>
      </c>
      <c r="C64" s="149"/>
      <c r="D64" s="149"/>
      <c r="E64" s="149">
        <f>'BGS PTY18 Cost Alloc'!E266</f>
        <v>169.53542483173891</v>
      </c>
      <c r="F64" s="149"/>
      <c r="G64" s="149">
        <f>'BGS PTY18 Cost Alloc'!G266</f>
        <v>156990.56923217865</v>
      </c>
      <c r="H64" s="144"/>
      <c r="I64" s="149">
        <f>'BGS PTY18 Cost Alloc'!I266</f>
        <v>1726.2011748688508</v>
      </c>
      <c r="J64" s="149"/>
      <c r="K64" s="149"/>
      <c r="L64" s="149"/>
    </row>
    <row r="65" spans="1:12" x14ac:dyDescent="0.2">
      <c r="A65" s="22"/>
      <c r="B65" s="77" t="s">
        <v>72</v>
      </c>
      <c r="C65" s="149"/>
      <c r="D65" s="149"/>
      <c r="E65" s="149">
        <f>'BGS PTY18 Cost Alloc'!E267</f>
        <v>3546.2314641704879</v>
      </c>
      <c r="F65" s="149"/>
      <c r="G65" s="149"/>
      <c r="H65" s="149">
        <f>'BGS PTY18 Cost Alloc'!H267</f>
        <v>1868.4382263598602</v>
      </c>
      <c r="I65" s="149"/>
      <c r="J65" s="149"/>
      <c r="K65" s="149"/>
      <c r="L65" s="149"/>
    </row>
    <row r="66" spans="1:12" x14ac:dyDescent="0.2">
      <c r="A66" s="22"/>
      <c r="B66" s="77" t="s">
        <v>73</v>
      </c>
      <c r="C66" s="149"/>
      <c r="D66" s="149"/>
      <c r="E66" s="149">
        <f>'BGS PTY18 Cost Alloc'!E268</f>
        <v>2099.3966372033351</v>
      </c>
      <c r="F66" s="149"/>
      <c r="G66" s="149"/>
      <c r="H66" s="149">
        <f>'BGS PTY18 Cost Alloc'!H268</f>
        <v>861.19890329516852</v>
      </c>
      <c r="I66" s="149"/>
      <c r="J66" s="149"/>
      <c r="K66" s="149"/>
      <c r="L66" s="149"/>
    </row>
    <row r="67" spans="1:12" x14ac:dyDescent="0.2">
      <c r="A67" s="22"/>
      <c r="B67" s="89" t="s">
        <v>142</v>
      </c>
      <c r="C67" s="149"/>
      <c r="D67" s="149"/>
      <c r="E67" s="149"/>
      <c r="F67" s="149">
        <f>'BGS PTY18 Cost Alloc'!F269</f>
        <v>132429.94820326255</v>
      </c>
      <c r="G67" s="149"/>
      <c r="H67" s="144"/>
      <c r="I67" s="149"/>
      <c r="J67" s="149"/>
      <c r="K67" s="149"/>
      <c r="L67" s="149"/>
    </row>
    <row r="68" spans="1:12" x14ac:dyDescent="0.2">
      <c r="A68" s="22"/>
      <c r="B68" s="89" t="s">
        <v>144</v>
      </c>
      <c r="C68" s="149"/>
      <c r="D68" s="149"/>
      <c r="E68" s="149"/>
      <c r="F68" s="149">
        <f>'BGS PTY18 Cost Alloc'!F270</f>
        <v>129032.88844728738</v>
      </c>
      <c r="G68" s="149"/>
      <c r="H68" s="144"/>
      <c r="I68" s="149"/>
      <c r="J68" s="149"/>
      <c r="K68" s="149"/>
      <c r="L68" s="149"/>
    </row>
    <row r="69" spans="1:12" x14ac:dyDescent="0.2">
      <c r="A69" s="22"/>
      <c r="C69" s="149"/>
      <c r="D69" s="149"/>
      <c r="E69" s="149"/>
      <c r="F69" s="149"/>
      <c r="G69" s="149"/>
      <c r="H69" s="144"/>
      <c r="I69" s="149"/>
      <c r="J69" s="149"/>
      <c r="K69" s="149"/>
      <c r="L69" s="149"/>
    </row>
    <row r="70" spans="1:12" x14ac:dyDescent="0.2">
      <c r="A70" s="22"/>
      <c r="B70" s="28" t="s">
        <v>18</v>
      </c>
      <c r="C70" s="149"/>
      <c r="D70" s="149"/>
      <c r="E70" s="149">
        <f>'BGS PTY18 Cost Alloc'!E272</f>
        <v>365.03097466559149</v>
      </c>
      <c r="F70" s="149">
        <f>'BGS PTY18 Cost Alloc'!F272</f>
        <v>443345.96984305914</v>
      </c>
      <c r="G70" s="149">
        <f>'BGS PTY18 Cost Alloc'!G272</f>
        <v>311546.12947518629</v>
      </c>
      <c r="I70" s="149">
        <f>'BGS PTY18 Cost Alloc'!I272</f>
        <v>3981.5185193116104</v>
      </c>
      <c r="J70" s="149"/>
      <c r="K70" s="149"/>
      <c r="L70" s="149"/>
    </row>
    <row r="71" spans="1:12" x14ac:dyDescent="0.2">
      <c r="A71" s="22"/>
      <c r="B71" s="77" t="s">
        <v>72</v>
      </c>
      <c r="C71" s="149"/>
      <c r="D71" s="149"/>
      <c r="E71" s="149">
        <f>'BGS PTY18 Cost Alloc'!E273</f>
        <v>7101.5809421808972</v>
      </c>
      <c r="F71" s="3"/>
      <c r="G71" s="3"/>
      <c r="H71" s="149">
        <f>'BGS PTY18 Cost Alloc'!H273</f>
        <v>4372.990289311374</v>
      </c>
      <c r="I71" s="3"/>
      <c r="J71" s="149"/>
      <c r="K71" s="149"/>
      <c r="L71" s="149"/>
    </row>
    <row r="72" spans="1:12" x14ac:dyDescent="0.2">
      <c r="A72" s="22"/>
      <c r="B72" s="77" t="s">
        <v>73</v>
      </c>
      <c r="C72" s="3"/>
      <c r="D72" s="3"/>
      <c r="E72" s="149">
        <f>'BGS PTY18 Cost Alloc'!E274</f>
        <v>5657.6599175202618</v>
      </c>
      <c r="H72" s="149">
        <f>'BGS PTY18 Cost Alloc'!H274</f>
        <v>2868.4252723893719</v>
      </c>
      <c r="J72" s="149"/>
      <c r="K72" s="149"/>
      <c r="L72" s="149"/>
    </row>
    <row r="73" spans="1:12" x14ac:dyDescent="0.2">
      <c r="A73" s="22"/>
      <c r="B73" s="5"/>
      <c r="C73"/>
      <c r="D73"/>
      <c r="E73"/>
      <c r="F73"/>
      <c r="G73"/>
      <c r="H73"/>
      <c r="I73"/>
      <c r="J73"/>
      <c r="K73"/>
      <c r="L73"/>
    </row>
    <row r="74" spans="1:12" x14ac:dyDescent="0.2">
      <c r="A74" s="22"/>
      <c r="B74" t="s">
        <v>135</v>
      </c>
      <c r="C74"/>
      <c r="D74"/>
      <c r="E74"/>
      <c r="F74"/>
      <c r="G74"/>
      <c r="H74"/>
      <c r="I74"/>
      <c r="J74"/>
      <c r="K74"/>
      <c r="L74"/>
    </row>
    <row r="75" spans="1:12" x14ac:dyDescent="0.2">
      <c r="A75" s="22"/>
      <c r="B75" s="5" t="s">
        <v>25</v>
      </c>
      <c r="D75"/>
      <c r="E75" s="3">
        <f>SUM(E64:E68)</f>
        <v>5815.1635262055624</v>
      </c>
      <c r="F75" s="3">
        <f>SUM(F64:F68)</f>
        <v>261462.83665054993</v>
      </c>
      <c r="G75" s="3">
        <f>SUM(G64:G68)</f>
        <v>156990.56923217865</v>
      </c>
      <c r="H75" s="3">
        <f>SUM(H64:H68)</f>
        <v>2729.6371296550287</v>
      </c>
      <c r="I75" s="3">
        <f>SUM(I64:I68)</f>
        <v>1726.2011748688508</v>
      </c>
      <c r="J75" s="151">
        <f>SUM(E75:I75)</f>
        <v>428724.407713458</v>
      </c>
      <c r="K75" s="151"/>
      <c r="L75" s="151"/>
    </row>
    <row r="76" spans="1:12" x14ac:dyDescent="0.2">
      <c r="A76" s="22"/>
      <c r="B76" s="5" t="s">
        <v>26</v>
      </c>
      <c r="D76"/>
      <c r="E76" s="3">
        <f>SUM(E70:E72)</f>
        <v>13124.271834366751</v>
      </c>
      <c r="F76" s="3">
        <f>SUM(F70:F72)</f>
        <v>443345.96984305914</v>
      </c>
      <c r="G76" s="3">
        <f>SUM(G70:G72)</f>
        <v>311546.12947518629</v>
      </c>
      <c r="H76" s="3">
        <f>SUM(H70:H72)</f>
        <v>7241.4155617007455</v>
      </c>
      <c r="I76" s="3">
        <f>SUM(I70:I72)</f>
        <v>3981.5185193116104</v>
      </c>
      <c r="J76" s="151">
        <f>SUM(E76:I76)</f>
        <v>779239.30523362441</v>
      </c>
      <c r="K76" s="151"/>
      <c r="L76" s="151"/>
    </row>
    <row r="77" spans="1:12" x14ac:dyDescent="0.2">
      <c r="A77" s="18"/>
      <c r="B77" s="5" t="s">
        <v>13</v>
      </c>
      <c r="D77"/>
      <c r="E77" s="3">
        <f>SUM(E75:E76)</f>
        <v>18939.435360572315</v>
      </c>
      <c r="F77" s="3">
        <f>SUM(F75:F76)</f>
        <v>704808.8064936091</v>
      </c>
      <c r="G77" s="3">
        <f>SUM(G75:G76)</f>
        <v>468536.69870736497</v>
      </c>
      <c r="H77" s="3">
        <f>SUM(H75:H76)</f>
        <v>9971.0526913557733</v>
      </c>
      <c r="I77" s="3">
        <f>SUM(I75:I76)</f>
        <v>5707.7196941804614</v>
      </c>
      <c r="J77" s="3">
        <f>SUM(E77:I77)</f>
        <v>1207963.7129470827</v>
      </c>
      <c r="K77" s="3"/>
      <c r="L77" s="3"/>
    </row>
    <row r="81" spans="1:31" x14ac:dyDescent="0.2">
      <c r="A81" s="18" t="s">
        <v>259</v>
      </c>
      <c r="B81" s="163" t="s">
        <v>239</v>
      </c>
      <c r="C81" s="20"/>
      <c r="E81" s="17"/>
    </row>
    <row r="82" spans="1:31" x14ac:dyDescent="0.2">
      <c r="A82" s="22"/>
      <c r="B82" s="13" t="s">
        <v>238</v>
      </c>
      <c r="C82" s="23"/>
      <c r="D82" s="23"/>
    </row>
    <row r="83" spans="1:31" x14ac:dyDescent="0.2">
      <c r="A83" s="22"/>
    </row>
    <row r="84" spans="1:31" x14ac:dyDescent="0.2">
      <c r="A84" s="22"/>
      <c r="B84" t="s">
        <v>134</v>
      </c>
      <c r="C84"/>
      <c r="D84"/>
      <c r="E84" s="26" t="s">
        <v>61</v>
      </c>
      <c r="F84" s="26" t="s">
        <v>62</v>
      </c>
      <c r="G84" s="26" t="s">
        <v>65</v>
      </c>
      <c r="H84" s="26" t="s">
        <v>203</v>
      </c>
      <c r="I84" s="26" t="s">
        <v>55</v>
      </c>
      <c r="J84"/>
      <c r="K84"/>
      <c r="L84"/>
    </row>
    <row r="85" spans="1:31" x14ac:dyDescent="0.2">
      <c r="A85" s="22"/>
      <c r="B85" s="28" t="s">
        <v>17</v>
      </c>
      <c r="C85" s="149"/>
      <c r="D85" s="149"/>
      <c r="E85" s="149">
        <f>(E11*$F$7+E32*$F$28+E64*$F$60)/($F$7+$F$28+$F$60)</f>
        <v>187.54338071382284</v>
      </c>
      <c r="F85" s="149"/>
      <c r="G85" s="149">
        <f>(G11*$F$7+G32*$F$28+G64*$F$60)/($F$7+$F$28+$F$60)</f>
        <v>175267.29386993602</v>
      </c>
      <c r="H85" s="144"/>
      <c r="I85" s="149">
        <f>(I11*$F$7+I32*$F$28+I64*$F$60)/($F$7+$F$28+$F$60)</f>
        <v>1967.5580349129148</v>
      </c>
      <c r="J85" s="149"/>
      <c r="K85" s="149"/>
      <c r="L85" s="149"/>
    </row>
    <row r="86" spans="1:31" x14ac:dyDescent="0.2">
      <c r="A86" s="22"/>
      <c r="B86" s="77" t="s">
        <v>72</v>
      </c>
      <c r="C86" s="149"/>
      <c r="D86" s="149"/>
      <c r="E86" s="149">
        <f>(E12*$F$7+E33*$F$28+E65*$F$60)/($F$7+$F$28+$F$60)</f>
        <v>3926.2517195465739</v>
      </c>
      <c r="F86" s="149"/>
      <c r="G86" s="149"/>
      <c r="H86" s="149">
        <f>(H12*$F$7+H33*$F$28+H65*$F$60)/($F$7+$F$28+$F$60)</f>
        <v>2065.0548395752762</v>
      </c>
      <c r="I86" s="149"/>
      <c r="J86" s="149"/>
      <c r="K86" s="149"/>
      <c r="L86" s="149"/>
    </row>
    <row r="87" spans="1:31" x14ac:dyDescent="0.2">
      <c r="A87" s="22"/>
      <c r="B87" s="77" t="s">
        <v>73</v>
      </c>
      <c r="C87" s="149"/>
      <c r="D87" s="149"/>
      <c r="E87" s="149">
        <f>(E13*$F$7+E34*$F$28+E66*$F$60)/($F$7+$F$28+$F$60)</f>
        <v>2319.0488865039656</v>
      </c>
      <c r="F87" s="149"/>
      <c r="G87" s="149"/>
      <c r="H87" s="149">
        <f>(H13*$F$7+H34*$F$28+H66*$F$60)/($F$7+$F$28+$F$60)</f>
        <v>952.33790173962598</v>
      </c>
      <c r="I87" s="149"/>
      <c r="J87" s="149"/>
      <c r="K87" s="149"/>
      <c r="L87" s="149"/>
      <c r="O87" s="47"/>
      <c r="P87" s="47"/>
      <c r="Q87" s="44"/>
      <c r="R87" s="44"/>
      <c r="S87" s="44"/>
      <c r="T87" s="47"/>
      <c r="U87" s="47"/>
      <c r="V87" s="44"/>
      <c r="W87" s="44"/>
      <c r="X87" s="44"/>
      <c r="Y87" s="47"/>
      <c r="Z87" s="47"/>
      <c r="AA87" s="44"/>
      <c r="AB87" s="44"/>
      <c r="AC87" s="44"/>
      <c r="AD87" s="47"/>
      <c r="AE87" s="47"/>
    </row>
    <row r="88" spans="1:31" x14ac:dyDescent="0.2">
      <c r="A88" s="22"/>
      <c r="B88" s="89" t="s">
        <v>142</v>
      </c>
      <c r="C88" s="149"/>
      <c r="D88" s="149"/>
      <c r="E88" s="149"/>
      <c r="F88" s="149">
        <f>(F14*$F$7+F35*$F$28+F67*$F$60)/($F$7+$F$28+$F$60)</f>
        <v>148611.75140698053</v>
      </c>
      <c r="G88" s="149"/>
      <c r="H88" s="144"/>
      <c r="I88" s="149"/>
      <c r="J88" s="149"/>
      <c r="K88" s="149"/>
      <c r="L88" s="149"/>
      <c r="O88" s="47"/>
      <c r="P88" s="47"/>
      <c r="Q88" s="47"/>
      <c r="R88" s="47"/>
      <c r="S88" s="47"/>
      <c r="T88" s="47"/>
      <c r="U88" s="47"/>
      <c r="V88" s="346"/>
      <c r="W88" s="346"/>
      <c r="X88" s="346"/>
      <c r="Y88" s="47"/>
      <c r="Z88" s="47"/>
      <c r="AA88" s="346"/>
      <c r="AB88" s="346"/>
      <c r="AC88" s="346"/>
      <c r="AD88" s="47"/>
      <c r="AE88" s="47"/>
    </row>
    <row r="89" spans="1:31" x14ac:dyDescent="0.2">
      <c r="A89" s="22"/>
      <c r="B89" s="89" t="s">
        <v>144</v>
      </c>
      <c r="C89" s="149"/>
      <c r="D89" s="149"/>
      <c r="E89" s="149"/>
      <c r="F89" s="149">
        <f>(F15*$F$7+F36*$F$28+F68*$F$60)/($F$7+$F$28+$F$60)</f>
        <v>142997.43329073561</v>
      </c>
      <c r="G89" s="149"/>
      <c r="H89" s="144"/>
      <c r="I89" s="149"/>
      <c r="J89" s="149"/>
      <c r="K89" s="149"/>
      <c r="L89" s="149"/>
      <c r="O89" s="163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 x14ac:dyDescent="0.2">
      <c r="A90" s="22"/>
      <c r="C90" s="149"/>
      <c r="D90" s="149"/>
      <c r="E90" s="149"/>
      <c r="F90" s="149"/>
      <c r="G90" s="149"/>
      <c r="H90" s="144"/>
      <c r="I90" s="149"/>
      <c r="J90" s="149"/>
      <c r="K90" s="149"/>
      <c r="L90" s="149"/>
      <c r="O90" s="365"/>
      <c r="P90" s="47"/>
      <c r="Q90" s="351"/>
      <c r="R90" s="351"/>
      <c r="S90" s="351"/>
      <c r="T90" s="351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 x14ac:dyDescent="0.2">
      <c r="A91" s="22"/>
      <c r="B91" s="28" t="s">
        <v>18</v>
      </c>
      <c r="C91" s="149"/>
      <c r="D91" s="149"/>
      <c r="E91" s="149">
        <f>(E17*$F$7+E38*$F$28+E70*$F$60)/($F$7+$F$28+$F$60)</f>
        <v>372.66171922871746</v>
      </c>
      <c r="F91" s="149">
        <f>(F17*$F$7+F38*$F$28+F70*$F$60)/($F$7+$F$28+$F$60)</f>
        <v>452633.81546452304</v>
      </c>
      <c r="G91" s="149">
        <f>(G17*$F$7+G38*$F$28+G70*$F$60)/($F$7+$F$28+$F$60)</f>
        <v>318536.96065838065</v>
      </c>
      <c r="I91" s="149">
        <f>(I17*$F$7+I38*$F$28+I70*$F$60)/($F$7+$F$28+$F$60)</f>
        <v>4025.3924267855864</v>
      </c>
      <c r="J91" s="149"/>
      <c r="K91" s="149"/>
      <c r="L91" s="149"/>
      <c r="O91" s="47"/>
      <c r="P91" s="47"/>
      <c r="Q91" s="47"/>
      <c r="R91" s="47"/>
      <c r="S91" s="163"/>
      <c r="T91" s="47"/>
      <c r="U91" s="47"/>
      <c r="V91" s="47"/>
      <c r="W91" s="47"/>
    </row>
    <row r="92" spans="1:31" x14ac:dyDescent="0.2">
      <c r="A92" s="22"/>
      <c r="B92" s="77" t="s">
        <v>72</v>
      </c>
      <c r="C92" s="149"/>
      <c r="D92" s="149"/>
      <c r="E92" s="149">
        <f>(E18*$F$7+E39*$F$28+E71*$F$60)/($F$7+$F$28+$F$60)</f>
        <v>7230.445514253267</v>
      </c>
      <c r="F92" s="3"/>
      <c r="G92" s="3"/>
      <c r="H92" s="149">
        <f>(H18*$F$7+H39*$F$28+H71*$F$60)/($F$7+$F$28+$F$60)</f>
        <v>4525.8406793392687</v>
      </c>
      <c r="I92" s="3"/>
      <c r="J92" s="149"/>
      <c r="K92" s="149"/>
      <c r="L92" s="149"/>
      <c r="O92" s="44"/>
      <c r="P92" s="44"/>
      <c r="Q92" s="47"/>
      <c r="R92" s="47"/>
      <c r="S92" s="44"/>
      <c r="T92" s="44"/>
      <c r="U92" s="44"/>
      <c r="V92" s="47"/>
      <c r="W92" s="47"/>
    </row>
    <row r="93" spans="1:31" x14ac:dyDescent="0.2">
      <c r="A93" s="22"/>
      <c r="B93" s="77" t="s">
        <v>73</v>
      </c>
      <c r="C93" s="3"/>
      <c r="D93" s="3"/>
      <c r="E93" s="149">
        <f>(E19*$F$7+E40*$F$28+E72*$F$60)/($F$7+$F$28+$F$60)</f>
        <v>5795.531488276948</v>
      </c>
      <c r="H93" s="149">
        <f>(H19*$F$7+H40*$F$28+H72*$F$60)/($F$7+$F$28+$F$60)</f>
        <v>2877.4258686008902</v>
      </c>
      <c r="J93" s="149"/>
      <c r="K93" s="149"/>
      <c r="L93" s="149"/>
      <c r="O93" s="347"/>
      <c r="P93" s="347"/>
      <c r="Q93" s="348"/>
      <c r="R93" s="47"/>
      <c r="S93" s="349"/>
      <c r="T93" s="349"/>
      <c r="U93" s="349"/>
      <c r="V93" s="348"/>
      <c r="W93" s="47"/>
    </row>
    <row r="94" spans="1:31" x14ac:dyDescent="0.2">
      <c r="A94" s="22"/>
      <c r="B94" s="5"/>
      <c r="C94"/>
      <c r="D94"/>
      <c r="E94"/>
      <c r="F94"/>
      <c r="G94"/>
      <c r="H94"/>
      <c r="I94"/>
      <c r="J94"/>
      <c r="K94"/>
      <c r="L94"/>
      <c r="O94" s="47"/>
      <c r="P94" s="350"/>
      <c r="Q94" s="350"/>
      <c r="R94" s="47"/>
      <c r="S94" s="47"/>
      <c r="T94" s="47"/>
      <c r="U94" s="47"/>
      <c r="V94" s="350"/>
      <c r="W94" s="47"/>
    </row>
    <row r="95" spans="1:31" x14ac:dyDescent="0.2">
      <c r="A95" s="22"/>
      <c r="B95" t="s">
        <v>135</v>
      </c>
      <c r="C95"/>
      <c r="D95"/>
      <c r="E95"/>
      <c r="F95"/>
      <c r="G95"/>
      <c r="H95"/>
      <c r="I95"/>
      <c r="J95"/>
      <c r="K95"/>
      <c r="L95"/>
      <c r="O95" s="47"/>
      <c r="P95" s="47"/>
      <c r="Q95" s="47"/>
      <c r="R95" s="47"/>
      <c r="S95" s="47"/>
      <c r="T95" s="47"/>
      <c r="U95" s="47"/>
      <c r="V95" s="47"/>
      <c r="W95" s="47"/>
    </row>
    <row r="96" spans="1:31" x14ac:dyDescent="0.2">
      <c r="A96" s="22"/>
      <c r="B96" s="5" t="s">
        <v>25</v>
      </c>
      <c r="D96"/>
      <c r="E96" s="3">
        <f>SUM(E85:E89)</f>
        <v>6432.8439867643629</v>
      </c>
      <c r="F96" s="3">
        <f>SUM(F85:F89)</f>
        <v>291609.18469771615</v>
      </c>
      <c r="G96" s="3">
        <f>SUM(G85:G89)</f>
        <v>175267.29386993602</v>
      </c>
      <c r="H96" s="3">
        <f>SUM(H85:H89)</f>
        <v>3017.3927413149022</v>
      </c>
      <c r="I96" s="3">
        <f>SUM(I85:I89)</f>
        <v>1967.5580349129148</v>
      </c>
      <c r="J96" s="151">
        <f>SUM(E96:I96)</f>
        <v>478294.27333064436</v>
      </c>
      <c r="K96" s="151"/>
      <c r="L96" s="151"/>
      <c r="O96" s="47"/>
      <c r="P96" s="47"/>
      <c r="Q96" s="47"/>
      <c r="R96" s="335"/>
      <c r="S96" s="47"/>
      <c r="T96" s="47"/>
      <c r="U96" s="47"/>
      <c r="V96" s="47"/>
      <c r="W96" s="47"/>
    </row>
    <row r="97" spans="1:23" x14ac:dyDescent="0.2">
      <c r="A97" s="22"/>
      <c r="B97" s="5" t="s">
        <v>26</v>
      </c>
      <c r="D97"/>
      <c r="E97" s="3">
        <f>SUM(E91:E93)</f>
        <v>13398.638721758933</v>
      </c>
      <c r="F97" s="3">
        <f>SUM(F91:F93)</f>
        <v>452633.81546452304</v>
      </c>
      <c r="G97" s="3">
        <f>SUM(G91:G93)</f>
        <v>318536.96065838065</v>
      </c>
      <c r="H97" s="3">
        <f>SUM(H91:H93)</f>
        <v>7403.2665479401585</v>
      </c>
      <c r="I97" s="3">
        <f>SUM(I91:I93)</f>
        <v>4025.3924267855864</v>
      </c>
      <c r="J97" s="151">
        <f>SUM(E97:I97)</f>
        <v>795998.0738193884</v>
      </c>
      <c r="K97" s="151"/>
      <c r="L97" s="151"/>
      <c r="O97" s="351"/>
      <c r="P97" s="351"/>
      <c r="Q97" s="47"/>
      <c r="R97" s="328"/>
      <c r="S97" s="351"/>
      <c r="T97" s="351"/>
      <c r="U97" s="351"/>
      <c r="V97" s="47"/>
      <c r="W97" s="47"/>
    </row>
    <row r="98" spans="1:23" x14ac:dyDescent="0.2">
      <c r="A98" s="18"/>
      <c r="B98" s="5" t="s">
        <v>13</v>
      </c>
      <c r="D98"/>
      <c r="E98" s="3">
        <f>SUM(E96:E97)</f>
        <v>19831.482708523297</v>
      </c>
      <c r="F98" s="3">
        <f>SUM(F96:F97)</f>
        <v>744243.00016223919</v>
      </c>
      <c r="G98" s="3">
        <f>SUM(G96:G97)</f>
        <v>493804.25452831667</v>
      </c>
      <c r="H98" s="3">
        <f>SUM(H96:H97)</f>
        <v>10420.659289255062</v>
      </c>
      <c r="I98" s="3">
        <f>SUM(I96:I97)</f>
        <v>5992.9504616985014</v>
      </c>
      <c r="J98" s="3">
        <f>SUM(E98:I98)</f>
        <v>1274292.3471500326</v>
      </c>
      <c r="K98" s="3"/>
      <c r="L98" s="3"/>
      <c r="O98" s="351"/>
      <c r="P98" s="351"/>
      <c r="Q98" s="47"/>
      <c r="R98" s="328"/>
      <c r="S98" s="351"/>
      <c r="T98" s="351"/>
      <c r="U98" s="351"/>
      <c r="V98" s="47"/>
      <c r="W98" s="47"/>
    </row>
    <row r="99" spans="1:23" x14ac:dyDescent="0.2">
      <c r="B99" s="294"/>
      <c r="O99" s="47"/>
      <c r="P99" s="47"/>
      <c r="Q99" s="47"/>
      <c r="R99" s="19"/>
      <c r="S99" s="47"/>
      <c r="T99" s="47"/>
      <c r="U99" s="47"/>
      <c r="V99" s="47"/>
      <c r="W99" s="47"/>
    </row>
    <row r="100" spans="1:23" ht="15.75" x14ac:dyDescent="0.25">
      <c r="B100" s="414" t="s">
        <v>69</v>
      </c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M100" s="414"/>
      <c r="N100" s="414"/>
      <c r="O100" s="44"/>
      <c r="P100" s="44"/>
      <c r="Q100" s="47"/>
      <c r="R100" s="44"/>
      <c r="S100" s="44"/>
      <c r="T100" s="44"/>
      <c r="U100" s="44"/>
      <c r="V100" s="47"/>
      <c r="W100" s="47"/>
    </row>
    <row r="101" spans="1:23" ht="15.75" x14ac:dyDescent="0.25">
      <c r="B101" s="414" t="s">
        <v>187</v>
      </c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352"/>
      <c r="P101" s="352"/>
      <c r="Q101" s="353"/>
      <c r="R101" s="363"/>
      <c r="S101" s="352"/>
      <c r="T101" s="352"/>
      <c r="U101" s="352"/>
      <c r="V101" s="353"/>
      <c r="W101" s="47"/>
    </row>
    <row r="102" spans="1:23" x14ac:dyDescent="0.2">
      <c r="E102" s="1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:23" x14ac:dyDescent="0.2">
      <c r="A103" s="18" t="s">
        <v>260</v>
      </c>
      <c r="B103" s="163" t="s">
        <v>240</v>
      </c>
      <c r="C103" s="20"/>
      <c r="E103" s="165"/>
      <c r="F103" s="38"/>
      <c r="O103" s="354"/>
      <c r="P103" s="354"/>
      <c r="Q103" s="328"/>
      <c r="R103" s="47"/>
      <c r="S103" s="354"/>
      <c r="T103" s="354"/>
      <c r="U103" s="354"/>
      <c r="V103" s="328"/>
      <c r="W103" s="47"/>
    </row>
    <row r="104" spans="1:23" x14ac:dyDescent="0.2">
      <c r="B104" s="17" t="s">
        <v>325</v>
      </c>
      <c r="O104" s="47"/>
      <c r="P104" s="47"/>
      <c r="Q104" s="47"/>
      <c r="R104" s="47"/>
      <c r="S104" s="353"/>
      <c r="T104" s="353"/>
      <c r="U104" s="353"/>
      <c r="V104" s="47"/>
      <c r="W104" s="47"/>
    </row>
    <row r="105" spans="1:23" x14ac:dyDescent="0.2">
      <c r="E105" s="26" t="s">
        <v>61</v>
      </c>
      <c r="F105" s="26" t="s">
        <v>62</v>
      </c>
      <c r="G105" s="26" t="s">
        <v>65</v>
      </c>
      <c r="H105" s="26" t="s">
        <v>203</v>
      </c>
      <c r="I105" s="26" t="s">
        <v>55</v>
      </c>
      <c r="O105" s="131"/>
      <c r="P105" s="131"/>
      <c r="Q105" s="47"/>
      <c r="R105" s="47"/>
      <c r="S105" s="131"/>
      <c r="T105" s="131"/>
      <c r="U105" s="131"/>
      <c r="V105" s="47"/>
      <c r="W105" s="47"/>
    </row>
    <row r="106" spans="1:23" x14ac:dyDescent="0.2">
      <c r="O106" s="355"/>
      <c r="P106" s="355"/>
      <c r="Q106" s="328"/>
      <c r="R106" s="47"/>
      <c r="S106" s="355"/>
      <c r="T106" s="355"/>
      <c r="U106" s="355"/>
      <c r="V106" s="328"/>
      <c r="W106" s="47"/>
    </row>
    <row r="107" spans="1:23" x14ac:dyDescent="0.2">
      <c r="B107" s="28" t="s">
        <v>17</v>
      </c>
      <c r="E107" s="55">
        <f>SUM('BGS PTY18 Cost Alloc'!W65:W68)</f>
        <v>2120584.0466813003</v>
      </c>
      <c r="G107" s="55">
        <f>SUM('BGS PTY18 Cost Alloc'!G65:G68)*1000</f>
        <v>2112534000</v>
      </c>
      <c r="I107" s="55">
        <f>SUM('BGS PTY18 Cost Alloc'!I65:I68)*1000</f>
        <v>38360000</v>
      </c>
      <c r="O107" s="356"/>
      <c r="P107" s="356"/>
      <c r="Q107" s="47"/>
      <c r="R107" s="47"/>
      <c r="S107" s="356"/>
      <c r="T107" s="356"/>
      <c r="U107" s="356"/>
      <c r="V107" s="47"/>
      <c r="W107" s="47"/>
    </row>
    <row r="108" spans="1:23" x14ac:dyDescent="0.2">
      <c r="B108" s="77" t="s">
        <v>72</v>
      </c>
      <c r="E108" s="55">
        <f>ROUND(SUMPRODUCT('BGS PTY18 Cost Alloc'!E65:E68,'BGS PTY18 Cost Alloc'!E38:E41)*1000-AVERAGE('BGS PTY18 Cost Alloc'!E38:E41)*E107,0)</f>
        <v>28770185</v>
      </c>
      <c r="H108" s="55">
        <f>SUMPRODUCT('BGS PTY18 Cost Alloc'!H65:H68,'BGS PTY18 Cost Alloc'!H38:H41)*1000</f>
        <v>14886868.499999998</v>
      </c>
      <c r="O108" s="356"/>
      <c r="P108" s="356"/>
      <c r="Q108" s="47"/>
      <c r="R108" s="47"/>
      <c r="S108" s="356"/>
      <c r="T108" s="356"/>
      <c r="U108" s="356"/>
      <c r="V108" s="47"/>
      <c r="W108" s="47"/>
    </row>
    <row r="109" spans="1:23" x14ac:dyDescent="0.2">
      <c r="B109" s="77" t="s">
        <v>73</v>
      </c>
      <c r="E109" s="55">
        <f>ROUND(SUM('BGS PTY18 Cost Alloc'!E65:E68)*1000,0)-E107-E108</f>
        <v>41845230.9533187</v>
      </c>
      <c r="H109" s="55">
        <f>SUM('BGS PTY18 Cost Alloc'!H65:H68)*1000-H108</f>
        <v>17149131.5</v>
      </c>
      <c r="O109" s="357"/>
      <c r="P109" s="357"/>
      <c r="Q109" s="47"/>
      <c r="R109" s="47"/>
      <c r="S109" s="357"/>
      <c r="T109" s="357"/>
      <c r="U109" s="357"/>
      <c r="V109" s="47"/>
      <c r="W109" s="47"/>
    </row>
    <row r="110" spans="1:23" x14ac:dyDescent="0.2">
      <c r="B110" s="89" t="s">
        <v>142</v>
      </c>
      <c r="F110" s="55">
        <f>ROUND('BGS PTY18 Cost Alloc'!R65,0)*1000</f>
        <v>1975322000</v>
      </c>
      <c r="O110" s="358"/>
      <c r="P110" s="358"/>
      <c r="Q110" s="47"/>
      <c r="R110" s="47"/>
      <c r="S110" s="358"/>
      <c r="T110" s="358"/>
      <c r="U110" s="358"/>
      <c r="V110" s="47"/>
      <c r="W110" s="47"/>
    </row>
    <row r="111" spans="1:23" x14ac:dyDescent="0.2">
      <c r="B111" s="89" t="s">
        <v>144</v>
      </c>
      <c r="F111" s="55">
        <f>ROUND('BGS PTY18 Cost Alloc'!R66,0)*1000</f>
        <v>1704660000</v>
      </c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:23" x14ac:dyDescent="0.2"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:32" x14ac:dyDescent="0.2">
      <c r="B113" s="28" t="s">
        <v>18</v>
      </c>
      <c r="E113" s="55">
        <f>'BGS PTY18 Cost Alloc'!W72-E107</f>
        <v>4333889.1105293985</v>
      </c>
      <c r="F113" s="55">
        <f>ROUND('BGS PTY18 Cost Alloc'!F72,0)*1000-SUM(F110:F111)</f>
        <v>5410210000</v>
      </c>
      <c r="G113" s="55">
        <f>'BGS PTY18 Cost Alloc'!G72*1000-G107</f>
        <v>3839355000</v>
      </c>
      <c r="I113" s="55">
        <f>'BGS PTY18 Cost Alloc'!I72*1000-'Composite Cost Allocation'!I107</f>
        <v>76720000</v>
      </c>
      <c r="P113" s="325"/>
      <c r="Q113" s="281"/>
      <c r="R113" s="281"/>
      <c r="S113" s="281"/>
      <c r="T113" s="334"/>
      <c r="U113" s="359"/>
      <c r="V113" s="360"/>
      <c r="W113" s="360"/>
      <c r="X113" s="360"/>
      <c r="Y113" s="47"/>
      <c r="Z113" s="47"/>
      <c r="AA113" s="360"/>
      <c r="AB113" s="360"/>
      <c r="AC113" s="360"/>
      <c r="AD113" s="47"/>
      <c r="AE113" s="47"/>
    </row>
    <row r="114" spans="1:32" x14ac:dyDescent="0.2">
      <c r="B114" s="77" t="s">
        <v>72</v>
      </c>
      <c r="E114" s="55">
        <f>SUMPRODUCT('BGS PTY18 Cost Alloc'!E60:E71,'BGS PTY18 Cost Alloc'!E33:E44)*1000-E108-SUMPRODUCT('BGS PTY18 Cost Alloc'!W60:W71,'BGS PTY18 Cost Alloc'!E33:E44)</f>
        <v>53380471.887658589</v>
      </c>
      <c r="H114" s="55">
        <f>SUMPRODUCT('BGS PTY18 Cost Alloc'!H60:H71,'BGS PTY18 Cost Alloc'!H33:H44)*1000-H108</f>
        <v>38107132.399999999</v>
      </c>
      <c r="P114" s="325"/>
      <c r="Q114" s="281"/>
      <c r="R114" s="281"/>
      <c r="S114" s="281"/>
      <c r="T114" s="334"/>
      <c r="U114" s="359"/>
      <c r="V114" s="360"/>
      <c r="W114" s="360"/>
      <c r="X114" s="360"/>
      <c r="Y114" s="47"/>
      <c r="Z114" s="361"/>
      <c r="AA114" s="360"/>
      <c r="AB114" s="360"/>
      <c r="AC114" s="360"/>
      <c r="AD114" s="47"/>
      <c r="AE114" s="47"/>
    </row>
    <row r="115" spans="1:32" x14ac:dyDescent="0.2">
      <c r="B115" s="77" t="s">
        <v>73</v>
      </c>
      <c r="E115" s="55">
        <f>'BGS PTY18 Cost Alloc'!E72*1000-E107-E108-E109-E113-E114</f>
        <v>98110639.001812011</v>
      </c>
      <c r="H115" s="55">
        <f>'BGS PTY18 Cost Alloc'!H72*1000-H108-H109-H114</f>
        <v>48778867.600000001</v>
      </c>
      <c r="U115" s="47"/>
      <c r="V115" s="47"/>
      <c r="W115" s="47"/>
      <c r="X115" s="47"/>
      <c r="Y115" s="47"/>
      <c r="Z115" s="361"/>
      <c r="AA115" s="361"/>
      <c r="AB115" s="361"/>
      <c r="AC115" s="361"/>
      <c r="AD115" s="361"/>
      <c r="AE115" s="361"/>
    </row>
    <row r="116" spans="1:32" x14ac:dyDescent="0.2">
      <c r="J116" s="26" t="s">
        <v>13</v>
      </c>
      <c r="K116" s="26"/>
      <c r="L116" s="26"/>
      <c r="U116" s="47"/>
      <c r="V116" s="328"/>
      <c r="W116" s="47"/>
      <c r="X116" s="47"/>
      <c r="Y116" s="47"/>
      <c r="Z116" s="361"/>
      <c r="AA116" s="361"/>
      <c r="AB116" s="361"/>
      <c r="AC116" s="361"/>
      <c r="AD116" s="361"/>
      <c r="AE116" s="361"/>
    </row>
    <row r="117" spans="1:32" x14ac:dyDescent="0.2">
      <c r="B117" s="89" t="s">
        <v>162</v>
      </c>
      <c r="E117" s="55">
        <f>SUM(E107:E111)</f>
        <v>72736000</v>
      </c>
      <c r="F117" s="55">
        <f>SUM(F107:F111)</f>
        <v>3679982000</v>
      </c>
      <c r="G117" s="55">
        <f>SUM(G107:G111)</f>
        <v>2112534000</v>
      </c>
      <c r="H117" s="55">
        <f>SUM(H107:H111)</f>
        <v>32036000</v>
      </c>
      <c r="I117" s="55">
        <f>SUM(I107:I111)</f>
        <v>38360000</v>
      </c>
      <c r="J117" s="55">
        <f>SUM(E117:I117)</f>
        <v>5935648000</v>
      </c>
      <c r="K117" s="55"/>
      <c r="L117" s="55"/>
      <c r="Q117" s="331"/>
      <c r="R117" s="332"/>
      <c r="U117" s="47"/>
      <c r="V117" s="328"/>
      <c r="W117" s="364"/>
      <c r="X117" s="47"/>
      <c r="Y117" s="47"/>
      <c r="Z117" s="361"/>
      <c r="AA117" s="361"/>
      <c r="AB117" s="361"/>
      <c r="AC117" s="361"/>
      <c r="AD117" s="361"/>
      <c r="AE117" s="361"/>
    </row>
    <row r="118" spans="1:32" x14ac:dyDescent="0.2">
      <c r="B118" s="89" t="s">
        <v>163</v>
      </c>
      <c r="E118" s="138">
        <f>SUM(E113:E115)</f>
        <v>155825000</v>
      </c>
      <c r="F118" s="138">
        <f>SUM(F113:F115)</f>
        <v>5410210000</v>
      </c>
      <c r="G118" s="280">
        <f>SUM(G113:G115)</f>
        <v>3839355000</v>
      </c>
      <c r="H118" s="280">
        <f>SUM(H113:H115)</f>
        <v>86886000</v>
      </c>
      <c r="I118" s="280">
        <f>SUM(I113:I115)</f>
        <v>76720000</v>
      </c>
      <c r="J118" s="138">
        <f>SUM(E118:I118)</f>
        <v>9568996000</v>
      </c>
      <c r="K118" s="138"/>
      <c r="L118" s="138"/>
      <c r="U118" s="47"/>
      <c r="V118" s="328"/>
      <c r="W118" s="364"/>
      <c r="X118" s="47"/>
      <c r="Y118" s="47"/>
      <c r="Z118" s="47"/>
      <c r="AA118" s="361"/>
      <c r="AB118" s="361"/>
      <c r="AC118" s="361"/>
      <c r="AD118" s="361"/>
      <c r="AE118" s="361"/>
    </row>
    <row r="119" spans="1:32" x14ac:dyDescent="0.2">
      <c r="B119" s="89" t="s">
        <v>164</v>
      </c>
      <c r="E119" s="55">
        <f>SUM(E117:E118)</f>
        <v>228561000</v>
      </c>
      <c r="F119" s="55">
        <f>SUM(F117:F118)</f>
        <v>9090192000</v>
      </c>
      <c r="G119" s="55">
        <f>SUM(G117:G118)</f>
        <v>5951889000</v>
      </c>
      <c r="H119" s="55">
        <f>SUM(H117:H118)</f>
        <v>118922000</v>
      </c>
      <c r="I119" s="55">
        <f>SUM(I117:I118)</f>
        <v>115080000</v>
      </c>
      <c r="J119" s="55">
        <f>SUM(E119:I119)</f>
        <v>15504644000</v>
      </c>
      <c r="K119" s="55"/>
      <c r="L119" s="55"/>
      <c r="O119" s="336"/>
      <c r="P119" s="337" t="s">
        <v>300</v>
      </c>
      <c r="Q119" s="340">
        <v>0.99402481826277389</v>
      </c>
      <c r="R119" s="340">
        <v>0.99295722095693839</v>
      </c>
      <c r="S119" s="340">
        <v>0.99583359942309757</v>
      </c>
      <c r="T119" s="339"/>
      <c r="U119" s="362"/>
      <c r="V119" s="328"/>
      <c r="W119" s="351"/>
      <c r="X119" s="47"/>
      <c r="Y119" s="47"/>
      <c r="Z119" s="47"/>
      <c r="AA119" s="47"/>
      <c r="AB119" s="47"/>
      <c r="AC119" s="47"/>
      <c r="AD119" s="47"/>
      <c r="AE119" s="47"/>
      <c r="AF119" s="326"/>
    </row>
    <row r="120" spans="1:32" x14ac:dyDescent="0.2">
      <c r="AC120" s="326"/>
    </row>
    <row r="121" spans="1:32" x14ac:dyDescent="0.2">
      <c r="AF121" s="326"/>
    </row>
    <row r="123" spans="1:32" x14ac:dyDescent="0.2">
      <c r="A123" s="18" t="s">
        <v>261</v>
      </c>
      <c r="B123" s="16" t="s">
        <v>96</v>
      </c>
    </row>
    <row r="124" spans="1:32" x14ac:dyDescent="0.2">
      <c r="A124" s="22"/>
      <c r="B124" s="16"/>
    </row>
    <row r="125" spans="1:32" x14ac:dyDescent="0.2">
      <c r="A125" s="22"/>
      <c r="B125" s="16" t="s">
        <v>97</v>
      </c>
    </row>
    <row r="126" spans="1:32" x14ac:dyDescent="0.2">
      <c r="A126" s="22"/>
      <c r="B126" s="17" t="s">
        <v>248</v>
      </c>
    </row>
    <row r="127" spans="1:32" x14ac:dyDescent="0.2">
      <c r="A127" s="22"/>
      <c r="B127" s="17" t="s">
        <v>21</v>
      </c>
    </row>
    <row r="128" spans="1:32" x14ac:dyDescent="0.2">
      <c r="A128" s="22"/>
      <c r="C128" s="26"/>
      <c r="D128" s="26"/>
      <c r="E128" s="26" t="str">
        <f>E105</f>
        <v>RT{1}</v>
      </c>
      <c r="F128" s="26" t="str">
        <f>F105</f>
        <v>RS{2}</v>
      </c>
      <c r="G128" s="26" t="str">
        <f>G105</f>
        <v>GS{3}</v>
      </c>
      <c r="H128" s="26" t="str">
        <f>H105</f>
        <v>GST {4}</v>
      </c>
      <c r="I128" s="26" t="str">
        <f>I105</f>
        <v>OL/SL</v>
      </c>
      <c r="J128" s="26"/>
      <c r="K128" s="26"/>
      <c r="L128" s="26"/>
    </row>
    <row r="129" spans="1:16" x14ac:dyDescent="0.2">
      <c r="A129" s="22"/>
      <c r="C129" s="26"/>
      <c r="D129" s="26"/>
      <c r="E129" s="74"/>
      <c r="F129" s="26"/>
      <c r="G129" s="26"/>
    </row>
    <row r="130" spans="1:16" x14ac:dyDescent="0.2">
      <c r="A130" s="22"/>
      <c r="B130" s="28" t="s">
        <v>17</v>
      </c>
      <c r="C130" s="74"/>
      <c r="D130" s="74"/>
      <c r="E130" s="74">
        <f>E85*1000/(E107/1000)</f>
        <v>88.439494302207436</v>
      </c>
      <c r="F130" s="74"/>
      <c r="G130" s="80">
        <f>G85*1000/(G107/1000)*S119</f>
        <v>82.619763807656682</v>
      </c>
      <c r="H130" s="74"/>
      <c r="I130" s="74">
        <f>I85*1000/(I107/1000)</f>
        <v>51.29191957541488</v>
      </c>
      <c r="J130" s="74"/>
      <c r="K130" s="74"/>
      <c r="L130" s="74"/>
      <c r="M130" s="74"/>
    </row>
    <row r="131" spans="1:16" x14ac:dyDescent="0.2">
      <c r="A131" s="22"/>
      <c r="B131" s="77" t="s">
        <v>72</v>
      </c>
      <c r="C131" s="74"/>
      <c r="D131" s="74"/>
      <c r="E131" s="74">
        <f>E86*1000/(E108/1000)*Q119</f>
        <v>135.65403392352832</v>
      </c>
      <c r="F131" s="74"/>
      <c r="G131" s="80"/>
      <c r="H131" s="74">
        <f>H86*1000/(H108/1000)</f>
        <v>138.71653662926332</v>
      </c>
      <c r="I131" s="74"/>
      <c r="J131" s="74"/>
      <c r="K131" s="74"/>
      <c r="L131" s="74"/>
      <c r="P131" s="74"/>
    </row>
    <row r="132" spans="1:16" x14ac:dyDescent="0.2">
      <c r="A132" s="22"/>
      <c r="B132" s="77" t="s">
        <v>73</v>
      </c>
      <c r="C132" s="74"/>
      <c r="D132" s="74"/>
      <c r="E132" s="74">
        <f>E87*1000/(E109/1000)*Q119</f>
        <v>55.08852730484859</v>
      </c>
      <c r="F132" s="74"/>
      <c r="G132" s="80"/>
      <c r="H132" s="74">
        <f>H87*1000/(H109/1000)</f>
        <v>55.532719061581979</v>
      </c>
      <c r="I132" s="74"/>
      <c r="J132" s="74"/>
      <c r="K132" s="74"/>
      <c r="L132" s="74"/>
    </row>
    <row r="133" spans="1:16" x14ac:dyDescent="0.2">
      <c r="A133" s="22"/>
      <c r="B133" s="89" t="s">
        <v>142</v>
      </c>
      <c r="C133" s="74"/>
      <c r="D133" s="74"/>
      <c r="E133" s="74"/>
      <c r="F133" s="74">
        <f>F88*1000/(F110/1000)*R119</f>
        <v>74.704332599251558</v>
      </c>
      <c r="G133" s="80"/>
      <c r="H133" s="74"/>
      <c r="I133" s="74"/>
      <c r="J133" s="74"/>
      <c r="K133" s="74"/>
      <c r="L133" s="74"/>
    </row>
    <row r="134" spans="1:16" x14ac:dyDescent="0.2">
      <c r="A134" s="22"/>
      <c r="B134" s="89" t="s">
        <v>144</v>
      </c>
      <c r="C134" s="74"/>
      <c r="D134" s="74"/>
      <c r="E134" s="74"/>
      <c r="F134" s="74">
        <f>F89*1000/(F111/1000)*R119</f>
        <v>83.295398474970966</v>
      </c>
      <c r="G134" s="80"/>
      <c r="H134" s="74"/>
      <c r="I134" s="74"/>
      <c r="J134" s="74"/>
      <c r="K134" s="74"/>
      <c r="L134" s="74"/>
    </row>
    <row r="135" spans="1:16" x14ac:dyDescent="0.2">
      <c r="A135" s="22"/>
      <c r="C135" s="74"/>
      <c r="D135" s="74"/>
      <c r="E135" s="74"/>
      <c r="F135" s="74"/>
      <c r="G135" s="80"/>
      <c r="H135" s="74"/>
      <c r="I135" s="74"/>
      <c r="J135" s="74"/>
      <c r="K135" s="74"/>
      <c r="L135" s="74"/>
    </row>
    <row r="136" spans="1:16" x14ac:dyDescent="0.2">
      <c r="A136" s="22"/>
      <c r="B136" s="28" t="s">
        <v>18</v>
      </c>
      <c r="C136" s="74"/>
      <c r="D136" s="74"/>
      <c r="E136" s="74">
        <f>E91*1000/(E113/1000)</f>
        <v>85.98782980471681</v>
      </c>
      <c r="F136" s="74">
        <f>F91*1000/(F113/1000)*R119</f>
        <v>83.073672836135458</v>
      </c>
      <c r="G136" s="80">
        <f>G91*1000/(G113/1000)*S119</f>
        <v>82.620598533276763</v>
      </c>
      <c r="H136" s="74"/>
      <c r="I136" s="74">
        <f>I91*1000/(I113/1000)</f>
        <v>52.468618701584809</v>
      </c>
      <c r="J136" s="74"/>
      <c r="K136" s="74"/>
      <c r="L136" s="74"/>
      <c r="M136" s="74"/>
    </row>
    <row r="137" spans="1:16" x14ac:dyDescent="0.2">
      <c r="A137" s="22"/>
      <c r="B137" s="77" t="s">
        <v>72</v>
      </c>
      <c r="C137" s="74"/>
      <c r="D137" s="74"/>
      <c r="E137" s="74">
        <f>E92*1000/(E114/1000)*Q119</f>
        <v>134.64179004243988</v>
      </c>
      <c r="F137" s="74"/>
      <c r="G137" s="80"/>
      <c r="H137" s="74">
        <f>H92*1000/(H114/1000)</f>
        <v>118.76623598524222</v>
      </c>
      <c r="I137" s="74"/>
      <c r="J137" s="74"/>
      <c r="K137" s="74"/>
      <c r="L137" s="74"/>
      <c r="P137" s="74"/>
    </row>
    <row r="138" spans="1:16" x14ac:dyDescent="0.2">
      <c r="A138" s="22"/>
      <c r="B138" s="77" t="s">
        <v>73</v>
      </c>
      <c r="C138" s="74"/>
      <c r="D138" s="74"/>
      <c r="E138" s="74">
        <f>E93*1000/(E115/1000)*Q119</f>
        <v>58.718424352167133</v>
      </c>
      <c r="F138" s="74"/>
      <c r="G138" s="80"/>
      <c r="H138" s="74">
        <f>H93*1000/(H115/1000)</f>
        <v>58.989189585058959</v>
      </c>
      <c r="I138" s="74"/>
      <c r="J138" s="74"/>
      <c r="K138" s="74"/>
      <c r="L138" s="74"/>
    </row>
    <row r="139" spans="1:16" x14ac:dyDescent="0.2">
      <c r="A139" s="22"/>
      <c r="C139" s="74"/>
      <c r="D139" s="74"/>
      <c r="E139" s="74"/>
      <c r="F139" s="74"/>
      <c r="G139" s="80"/>
      <c r="H139" s="74"/>
      <c r="I139" s="74"/>
      <c r="J139" s="74"/>
      <c r="K139" s="74"/>
      <c r="L139" s="74"/>
    </row>
    <row r="140" spans="1:16" x14ac:dyDescent="0.2">
      <c r="A140" s="22"/>
      <c r="B140" s="13" t="s">
        <v>98</v>
      </c>
      <c r="C140" s="74"/>
      <c r="D140" s="74"/>
      <c r="E140" s="80">
        <f>E98*1000/(E119/1000)*Q119</f>
        <v>86.248248805444547</v>
      </c>
      <c r="F140" s="80">
        <f>F98*1000/(F119/1000)*R119</f>
        <v>81.296573401062517</v>
      </c>
      <c r="G140" s="80">
        <f>G98*1000/(G119/1000)*S119</f>
        <v>82.620302259899844</v>
      </c>
      <c r="H140" s="80">
        <f>H98*1000/(H119/1000)</f>
        <v>87.626000985982927</v>
      </c>
      <c r="I140" s="80">
        <f>I98*1000/(I119/1000)</f>
        <v>52.076385659528164</v>
      </c>
      <c r="J140" s="74"/>
      <c r="K140" s="74"/>
      <c r="L140" s="74"/>
      <c r="M140" s="74"/>
    </row>
    <row r="141" spans="1:16" x14ac:dyDescent="0.2">
      <c r="A141" s="22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P141" s="74"/>
    </row>
    <row r="142" spans="1:16" x14ac:dyDescent="0.2">
      <c r="A142" s="22"/>
      <c r="B142" s="16" t="s">
        <v>99</v>
      </c>
      <c r="P142" s="74"/>
    </row>
    <row r="143" spans="1:16" x14ac:dyDescent="0.2">
      <c r="A143" s="22"/>
      <c r="B143" s="17" t="s">
        <v>100</v>
      </c>
    </row>
    <row r="144" spans="1:16" x14ac:dyDescent="0.2">
      <c r="A144" s="22"/>
      <c r="B144" s="17" t="s">
        <v>21</v>
      </c>
    </row>
    <row r="145" spans="1:17" x14ac:dyDescent="0.2">
      <c r="A145" s="22"/>
      <c r="B145" s="77"/>
      <c r="C145" s="74"/>
      <c r="D145" s="74"/>
      <c r="I145" s="89"/>
      <c r="J145" s="80"/>
      <c r="K145" s="80"/>
      <c r="L145" s="80"/>
      <c r="M145" s="93"/>
    </row>
    <row r="146" spans="1:17" x14ac:dyDescent="0.2">
      <c r="A146" s="22"/>
      <c r="C146" s="74"/>
      <c r="D146" s="74"/>
      <c r="P146" s="93"/>
    </row>
    <row r="147" spans="1:17" x14ac:dyDescent="0.2">
      <c r="A147" s="22"/>
      <c r="B147" s="37" t="s">
        <v>101</v>
      </c>
      <c r="C147" s="74"/>
      <c r="D147" s="74"/>
      <c r="I147" s="96"/>
      <c r="M147" s="93"/>
    </row>
    <row r="148" spans="1:17" x14ac:dyDescent="0.2">
      <c r="A148" s="22"/>
      <c r="B148" s="77"/>
      <c r="C148" s="74"/>
      <c r="D148" s="74"/>
      <c r="I148" s="89"/>
      <c r="J148" s="97"/>
      <c r="K148" s="97"/>
      <c r="L148" s="97"/>
      <c r="M148" s="93"/>
      <c r="P148" s="93"/>
    </row>
    <row r="149" spans="1:17" x14ac:dyDescent="0.2">
      <c r="A149" s="22"/>
      <c r="B149" s="16" t="s">
        <v>102</v>
      </c>
      <c r="C149" s="74"/>
      <c r="D149" s="74"/>
    </row>
    <row r="150" spans="1:17" x14ac:dyDescent="0.2">
      <c r="A150" s="22"/>
      <c r="B150" s="89" t="s">
        <v>103</v>
      </c>
      <c r="C150" s="84">
        <f>J98</f>
        <v>1274292.3471500326</v>
      </c>
      <c r="G150" s="81"/>
    </row>
    <row r="151" spans="1:17" x14ac:dyDescent="0.2">
      <c r="A151" s="22"/>
      <c r="C151" s="89" t="s">
        <v>104</v>
      </c>
      <c r="D151" s="95">
        <f>+C150/SUMPRODUCT('BGS PTY18 Cost Alloc'!E72:I72,'BGS PTY18 Cost Alloc'!E95:I95)*1000</f>
        <v>73.513275207743078</v>
      </c>
      <c r="E151" s="13" t="s">
        <v>105</v>
      </c>
      <c r="I151" s="13" t="s">
        <v>255</v>
      </c>
    </row>
    <row r="152" spans="1:17" x14ac:dyDescent="0.2">
      <c r="A152" s="22"/>
      <c r="B152" s="236"/>
      <c r="C152" s="243" t="s">
        <v>270</v>
      </c>
      <c r="D152" s="244">
        <f>C150/SUMPRODUCT('BGS PTY18 Cost Alloc'!E72:I72,'BGS PTY18 Cost Alloc'!E98:I98)*1000</f>
        <v>74.081386396356606</v>
      </c>
      <c r="E152" s="236" t="s">
        <v>268</v>
      </c>
      <c r="F152" s="236"/>
      <c r="G152" s="236"/>
      <c r="H152" s="236"/>
      <c r="I152" s="236"/>
      <c r="J152" s="246"/>
      <c r="K152" s="246"/>
      <c r="L152" s="246"/>
    </row>
    <row r="153" spans="1:17" ht="15.75" x14ac:dyDescent="0.25">
      <c r="A153" s="22"/>
      <c r="B153" s="414" t="str">
        <f>$B$1</f>
        <v xml:space="preserve">Jersey Central Power &amp; Light </v>
      </c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M153" s="414"/>
      <c r="N153" s="414"/>
    </row>
    <row r="154" spans="1:17" ht="15.75" x14ac:dyDescent="0.25">
      <c r="A154" s="22"/>
      <c r="B154" s="414" t="str">
        <f>$B$2</f>
        <v>Attachment 2</v>
      </c>
      <c r="C154" s="414"/>
      <c r="D154" s="414"/>
      <c r="E154" s="414"/>
      <c r="F154" s="414"/>
      <c r="G154" s="414"/>
      <c r="H154" s="414"/>
      <c r="I154" s="414"/>
      <c r="J154" s="414"/>
      <c r="K154" s="414"/>
      <c r="L154" s="414"/>
      <c r="M154" s="414"/>
      <c r="N154" s="414"/>
      <c r="P154" s="333"/>
      <c r="Q154" s="333"/>
    </row>
    <row r="155" spans="1:17" ht="15.75" x14ac:dyDescent="0.25">
      <c r="A155" s="22"/>
      <c r="B155" s="338"/>
      <c r="C155" s="338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P155" s="338"/>
      <c r="Q155" s="338"/>
    </row>
    <row r="156" spans="1:17" x14ac:dyDescent="0.2">
      <c r="A156" s="18" t="s">
        <v>262</v>
      </c>
      <c r="B156" s="242" t="s">
        <v>273</v>
      </c>
      <c r="C156" s="236"/>
      <c r="D156" s="236"/>
      <c r="E156" s="236"/>
      <c r="F156" s="236"/>
      <c r="G156" s="236"/>
      <c r="H156" s="236"/>
      <c r="I156" s="236"/>
      <c r="J156" s="16" t="s">
        <v>255</v>
      </c>
      <c r="K156" s="16"/>
      <c r="L156" s="16"/>
      <c r="M156" s="16"/>
      <c r="N156" s="16"/>
    </row>
    <row r="157" spans="1:17" x14ac:dyDescent="0.2">
      <c r="A157" s="22"/>
      <c r="B157" s="242"/>
      <c r="C157" s="236"/>
      <c r="D157" s="236"/>
      <c r="E157" s="236"/>
      <c r="F157" s="236"/>
      <c r="G157" s="236"/>
      <c r="H157" s="236"/>
      <c r="I157" s="236"/>
      <c r="P157" s="16"/>
      <c r="Q157" s="16"/>
    </row>
    <row r="158" spans="1:17" x14ac:dyDescent="0.2">
      <c r="A158" s="22"/>
      <c r="B158" s="242" t="s">
        <v>97</v>
      </c>
      <c r="C158" s="236"/>
      <c r="D158" s="236"/>
      <c r="E158" s="236"/>
      <c r="F158" s="236"/>
      <c r="G158" s="236"/>
      <c r="H158" s="236"/>
      <c r="I158" s="236"/>
    </row>
    <row r="159" spans="1:17" x14ac:dyDescent="0.2">
      <c r="A159" s="22"/>
      <c r="B159" s="251" t="s">
        <v>249</v>
      </c>
      <c r="C159" s="236"/>
      <c r="D159" s="236"/>
      <c r="E159" s="236"/>
      <c r="F159" s="236"/>
      <c r="G159" s="236"/>
      <c r="H159" s="236"/>
      <c r="I159" s="236"/>
    </row>
    <row r="160" spans="1:17" x14ac:dyDescent="0.2">
      <c r="A160" s="22"/>
      <c r="B160" s="242"/>
      <c r="C160" s="236"/>
      <c r="D160" s="236"/>
      <c r="E160" s="236"/>
      <c r="F160" s="236"/>
      <c r="G160" s="236"/>
      <c r="H160" s="236"/>
      <c r="I160" s="236"/>
    </row>
    <row r="161" spans="1:17" x14ac:dyDescent="0.2">
      <c r="A161" s="22"/>
      <c r="B161" s="236"/>
      <c r="C161" s="239"/>
      <c r="D161" s="239"/>
      <c r="E161" s="239" t="str">
        <f>+E$10</f>
        <v>RT{1}</v>
      </c>
      <c r="F161" s="239" t="str">
        <f>+F$10</f>
        <v>RS{2}</v>
      </c>
      <c r="G161" s="239" t="str">
        <f>+G$10</f>
        <v>GS{3}</v>
      </c>
      <c r="H161" s="239" t="str">
        <f>+H$10</f>
        <v>GST {4}</v>
      </c>
      <c r="I161" s="239" t="str">
        <f>+I$10</f>
        <v>OL/SL</v>
      </c>
      <c r="J161" s="26"/>
      <c r="K161" s="26"/>
      <c r="L161" s="26"/>
      <c r="M161" s="26"/>
      <c r="N161" s="26"/>
    </row>
    <row r="162" spans="1:17" x14ac:dyDescent="0.2">
      <c r="A162" s="22"/>
      <c r="B162" s="236"/>
      <c r="C162" s="239"/>
      <c r="D162" s="239"/>
      <c r="E162" s="239"/>
      <c r="F162" s="239"/>
      <c r="G162" s="239"/>
      <c r="H162" s="236"/>
      <c r="I162" s="236"/>
      <c r="P162" s="26"/>
      <c r="Q162" s="26"/>
    </row>
    <row r="163" spans="1:17" x14ac:dyDescent="0.2">
      <c r="A163" s="22"/>
      <c r="B163" s="252" t="s">
        <v>17</v>
      </c>
      <c r="C163" s="253"/>
      <c r="D163" s="253"/>
      <c r="E163" s="254">
        <f>+ROUND(E130/$D$152,3)</f>
        <v>1.194</v>
      </c>
      <c r="F163" s="413">
        <f>ROUND((F88+F89)*R119*1000000/(F110+F111)/D152,3)</f>
        <v>1.0620000000000001</v>
      </c>
      <c r="G163" s="254">
        <f>+ROUND(G130/$D$152,3)</f>
        <v>1.115</v>
      </c>
      <c r="H163" s="254"/>
      <c r="I163" s="254">
        <f>+ROUND(I130/$D$152,3)</f>
        <v>0.69199999999999995</v>
      </c>
      <c r="J163" s="98"/>
      <c r="K163" s="98"/>
      <c r="L163" s="98"/>
      <c r="M163" s="98"/>
      <c r="N163" s="98"/>
    </row>
    <row r="164" spans="1:17" x14ac:dyDescent="0.2">
      <c r="A164" s="22"/>
      <c r="B164" s="255" t="s">
        <v>72</v>
      </c>
      <c r="C164" s="256"/>
      <c r="D164" s="256"/>
      <c r="E164" s="254">
        <f>+ROUND(E131/$D$152,3)</f>
        <v>1.831</v>
      </c>
      <c r="F164" s="257"/>
      <c r="G164" s="257"/>
      <c r="H164" s="254">
        <f>+ROUND(H131/$D$152,3)</f>
        <v>1.8720000000000001</v>
      </c>
      <c r="I164" s="257"/>
      <c r="J164" s="100"/>
      <c r="K164" s="100"/>
      <c r="L164" s="100"/>
      <c r="M164" s="100"/>
      <c r="N164" s="100"/>
      <c r="P164" s="98"/>
      <c r="Q164" s="98"/>
    </row>
    <row r="165" spans="1:17" x14ac:dyDescent="0.2">
      <c r="A165" s="22"/>
      <c r="B165" s="255" t="s">
        <v>73</v>
      </c>
      <c r="C165" s="256"/>
      <c r="D165" s="256"/>
      <c r="E165" s="254">
        <f>+ROUND(E132/$D$152,3)</f>
        <v>0.74399999999999999</v>
      </c>
      <c r="F165" s="257"/>
      <c r="G165" s="257"/>
      <c r="H165" s="254">
        <f>+ROUND(H132/$D$152,3)</f>
        <v>0.75</v>
      </c>
      <c r="I165" s="257"/>
      <c r="J165" s="100"/>
      <c r="K165" s="100"/>
      <c r="L165" s="100"/>
      <c r="M165" s="100"/>
      <c r="N165" s="100"/>
      <c r="O165" s="124">
        <f>(F88+F89)*1000000/(F110+F111)</f>
        <v>79.242013873360278</v>
      </c>
      <c r="P165" s="100"/>
      <c r="Q165" s="100"/>
    </row>
    <row r="166" spans="1:17" x14ac:dyDescent="0.2">
      <c r="A166" s="22"/>
      <c r="B166" s="77"/>
      <c r="C166" s="100"/>
      <c r="D166" s="100"/>
      <c r="E166" s="123"/>
      <c r="G166" s="124"/>
      <c r="H166" s="123"/>
      <c r="I166" s="124"/>
      <c r="K166" s="124"/>
      <c r="L166" s="124"/>
      <c r="M166" s="124"/>
      <c r="N166" s="124"/>
      <c r="O166" s="124">
        <f>F88*1000000/F110</f>
        <v>75.234190378571455</v>
      </c>
      <c r="P166" s="100"/>
      <c r="Q166" s="100"/>
    </row>
    <row r="167" spans="1:17" x14ac:dyDescent="0.2">
      <c r="A167" s="22"/>
      <c r="B167" s="77"/>
      <c r="C167" s="100"/>
      <c r="D167" s="100"/>
      <c r="E167" s="123"/>
      <c r="G167" s="124"/>
      <c r="H167" s="123"/>
      <c r="I167" s="124"/>
      <c r="K167" s="124"/>
      <c r="L167" s="124"/>
      <c r="M167" s="124"/>
      <c r="N167" s="124"/>
      <c r="O167" s="124">
        <f>F89*1000000/F111</f>
        <v>83.886190378571456</v>
      </c>
      <c r="P167" s="124"/>
      <c r="Q167" s="124"/>
    </row>
    <row r="168" spans="1:17" x14ac:dyDescent="0.2">
      <c r="A168" s="22"/>
      <c r="C168" s="113"/>
      <c r="D168" s="113"/>
      <c r="E168" s="125" t="s">
        <v>156</v>
      </c>
      <c r="F168" s="123">
        <f>ROUND(O166-O165,3)</f>
        <v>-4.008</v>
      </c>
      <c r="G168" s="124"/>
      <c r="H168" s="123"/>
      <c r="I168" s="124"/>
      <c r="J168" s="100"/>
      <c r="K168" s="100"/>
      <c r="L168" s="100"/>
      <c r="M168" s="100"/>
      <c r="N168" s="100"/>
      <c r="P168" s="100"/>
      <c r="Q168" s="100"/>
    </row>
    <row r="169" spans="1:17" x14ac:dyDescent="0.2">
      <c r="A169" s="22"/>
      <c r="C169" s="113"/>
      <c r="D169" s="113"/>
      <c r="E169" s="125" t="s">
        <v>157</v>
      </c>
      <c r="F169" s="123">
        <f>ROUND(O167-O165,3)</f>
        <v>4.6440000000000001</v>
      </c>
      <c r="G169" s="124"/>
      <c r="H169" s="123"/>
      <c r="I169" s="124"/>
      <c r="J169" s="100"/>
      <c r="K169" s="100"/>
      <c r="L169" s="100"/>
      <c r="M169" s="100"/>
      <c r="N169" s="100"/>
      <c r="P169" s="100"/>
      <c r="Q169" s="100"/>
    </row>
    <row r="170" spans="1:17" x14ac:dyDescent="0.2">
      <c r="A170" s="22"/>
      <c r="C170" s="100"/>
      <c r="D170" s="100"/>
      <c r="E170" s="124"/>
      <c r="F170" s="124"/>
      <c r="G170" s="124"/>
      <c r="H170" s="124"/>
      <c r="I170" s="124"/>
      <c r="J170" s="100"/>
      <c r="K170" s="100"/>
      <c r="L170" s="100"/>
      <c r="M170" s="100"/>
      <c r="N170" s="100"/>
      <c r="P170" s="100"/>
      <c r="Q170" s="100"/>
    </row>
    <row r="171" spans="1:17" x14ac:dyDescent="0.2">
      <c r="A171" s="22"/>
      <c r="B171" s="252" t="s">
        <v>18</v>
      </c>
      <c r="C171" s="253"/>
      <c r="D171" s="253"/>
      <c r="E171" s="254">
        <f>ROUND(E136/$D$152,3)</f>
        <v>1.161</v>
      </c>
      <c r="F171" s="254">
        <f>ROUND(F136/$D$152,3)</f>
        <v>1.121</v>
      </c>
      <c r="G171" s="254">
        <f>ROUND(G136/$D$152,3)</f>
        <v>1.115</v>
      </c>
      <c r="H171" s="254"/>
      <c r="I171" s="254">
        <f>ROUND(I136/$D$152,3)</f>
        <v>0.70799999999999996</v>
      </c>
      <c r="J171" s="98"/>
      <c r="K171" s="98"/>
      <c r="L171" s="98"/>
      <c r="M171" s="98"/>
      <c r="N171" s="98"/>
      <c r="P171" s="100"/>
      <c r="Q171" s="100"/>
    </row>
    <row r="172" spans="1:17" x14ac:dyDescent="0.2">
      <c r="A172" s="22"/>
      <c r="B172" s="255" t="s">
        <v>72</v>
      </c>
      <c r="C172" s="256"/>
      <c r="D172" s="256"/>
      <c r="E172" s="254">
        <f>ROUND(E137/$D$152,3)</f>
        <v>1.8169999999999999</v>
      </c>
      <c r="F172" s="257"/>
      <c r="G172" s="257"/>
      <c r="H172" s="254">
        <f>ROUND(H137/$D$152,3)</f>
        <v>1.603</v>
      </c>
      <c r="I172" s="257"/>
      <c r="J172" s="100"/>
      <c r="K172" s="100"/>
      <c r="L172" s="100"/>
      <c r="M172" s="100"/>
      <c r="N172" s="100"/>
      <c r="P172" s="98"/>
      <c r="Q172" s="98"/>
    </row>
    <row r="173" spans="1:17" x14ac:dyDescent="0.2">
      <c r="A173" s="22"/>
      <c r="B173" s="255" t="s">
        <v>73</v>
      </c>
      <c r="C173" s="256"/>
      <c r="D173" s="256"/>
      <c r="E173" s="254">
        <f>ROUND(E138/$D$152,3)</f>
        <v>0.79300000000000004</v>
      </c>
      <c r="F173" s="257"/>
      <c r="G173" s="257"/>
      <c r="H173" s="254">
        <f>ROUND(H138/$D$152,3)</f>
        <v>0.79600000000000004</v>
      </c>
      <c r="I173" s="257"/>
      <c r="J173" s="100"/>
      <c r="K173" s="100"/>
      <c r="L173" s="100"/>
      <c r="M173" s="100"/>
      <c r="N173" s="100"/>
      <c r="P173" s="100"/>
      <c r="Q173" s="100"/>
    </row>
    <row r="174" spans="1:17" x14ac:dyDescent="0.2">
      <c r="A174" s="22"/>
      <c r="B174" s="236"/>
      <c r="C174" s="258"/>
      <c r="D174" s="258"/>
      <c r="E174" s="259"/>
      <c r="F174" s="259"/>
      <c r="G174" s="259"/>
      <c r="H174" s="259"/>
      <c r="I174" s="259"/>
      <c r="J174" s="99"/>
      <c r="K174" s="99"/>
      <c r="L174" s="99"/>
      <c r="M174" s="99"/>
      <c r="N174" s="99"/>
      <c r="P174" s="100"/>
      <c r="Q174" s="100"/>
    </row>
    <row r="175" spans="1:17" x14ac:dyDescent="0.2">
      <c r="A175" s="22"/>
      <c r="B175" s="236" t="s">
        <v>107</v>
      </c>
      <c r="C175" s="258"/>
      <c r="D175" s="258"/>
      <c r="E175" s="260">
        <f>ROUND(E140/$D$152,3)</f>
        <v>1.1639999999999999</v>
      </c>
      <c r="F175" s="260">
        <f>ROUND(F140/$D$152,3)</f>
        <v>1.097</v>
      </c>
      <c r="G175" s="260">
        <f>ROUND(G140/$D$152,3)</f>
        <v>1.115</v>
      </c>
      <c r="H175" s="260">
        <f>ROUND(H140/$D$152,3)</f>
        <v>1.1830000000000001</v>
      </c>
      <c r="I175" s="260">
        <f>ROUND(I140/$D$152,3)</f>
        <v>0.70299999999999996</v>
      </c>
      <c r="J175" s="99"/>
      <c r="K175" s="99"/>
      <c r="L175" s="99"/>
      <c r="M175" s="99"/>
      <c r="N175" s="99"/>
      <c r="P175" s="99"/>
      <c r="Q175" s="99"/>
    </row>
    <row r="176" spans="1:17" x14ac:dyDescent="0.2">
      <c r="A176" s="22"/>
      <c r="P176" s="99"/>
      <c r="Q176" s="99"/>
    </row>
    <row r="177" spans="1:10" x14ac:dyDescent="0.2">
      <c r="A177" s="22"/>
    </row>
    <row r="178" spans="1:10" x14ac:dyDescent="0.2">
      <c r="A178" s="22"/>
      <c r="B178" s="16" t="s">
        <v>99</v>
      </c>
    </row>
    <row r="179" spans="1:10" x14ac:dyDescent="0.2">
      <c r="A179" s="22"/>
      <c r="B179" s="17" t="s">
        <v>100</v>
      </c>
    </row>
    <row r="180" spans="1:10" x14ac:dyDescent="0.2">
      <c r="A180" s="22"/>
      <c r="B180" s="21"/>
    </row>
    <row r="181" spans="1:10" x14ac:dyDescent="0.2">
      <c r="A181" s="22"/>
      <c r="B181" s="37" t="s">
        <v>101</v>
      </c>
      <c r="C181" s="26"/>
      <c r="D181" s="26"/>
      <c r="E181" s="26"/>
      <c r="F181" s="26"/>
      <c r="I181" s="16"/>
    </row>
    <row r="182" spans="1:10" x14ac:dyDescent="0.2">
      <c r="A182" s="12" t="s">
        <v>255</v>
      </c>
    </row>
    <row r="183" spans="1:10" x14ac:dyDescent="0.2">
      <c r="J183" s="84"/>
    </row>
    <row r="184" spans="1:10" x14ac:dyDescent="0.2">
      <c r="J184" s="326"/>
    </row>
    <row r="185" spans="1:10" x14ac:dyDescent="0.2">
      <c r="J185" s="81"/>
    </row>
  </sheetData>
  <sheetProtection password="E165" sheet="1" objects="1" scenarios="1"/>
  <mergeCells count="11">
    <mergeCell ref="B153:N153"/>
    <mergeCell ref="B154:N154"/>
    <mergeCell ref="B1:N1"/>
    <mergeCell ref="B2:N2"/>
    <mergeCell ref="B5:N5"/>
    <mergeCell ref="B101:N101"/>
    <mergeCell ref="B54:N54"/>
    <mergeCell ref="B55:N55"/>
    <mergeCell ref="B56:N56"/>
    <mergeCell ref="B100:N100"/>
    <mergeCell ref="B3:N3"/>
  </mergeCells>
  <phoneticPr fontId="33" type="noConversion"/>
  <pageMargins left="0.97" right="0.79" top="0.69" bottom="0.67" header="0.33" footer="0.5"/>
  <pageSetup scale="60" fitToHeight="0" orientation="landscape" r:id="rId1"/>
  <headerFooter alignWithMargins="0">
    <oddFooter>&amp;L &amp;A&amp;CPage &amp;P of &amp;N</oddFooter>
  </headerFooter>
  <rowBreaks count="3" manualBreakCount="3">
    <brk id="53" max="13" man="1"/>
    <brk id="98" max="13" man="1"/>
    <brk id="152" max="13" man="1"/>
  </rowBreaks>
  <colBreaks count="1" manualBreakCount="1">
    <brk id="15" max="2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BGS PTY16 Cost Alloc</vt:lpstr>
      <vt:lpstr>BGS PTY17 Cost Alloc</vt:lpstr>
      <vt:lpstr>BGS PTY18 Cost Alloc</vt:lpstr>
      <vt:lpstr>Composite Cost Allocation</vt:lpstr>
      <vt:lpstr>'BGS PTY16 Cost Alloc'!Print_Area</vt:lpstr>
      <vt:lpstr>'BGS PTY17 Cost Alloc'!Print_Area</vt:lpstr>
      <vt:lpstr>'BGS PTY18 Cost Alloc'!Print_Area</vt:lpstr>
      <vt:lpstr>'Composite Cost Allocation'!Print_Area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 of BGS prices for year 5 - forwards based</dc:title>
  <dc:subject>6/21 1:10 PM</dc:subject>
  <dc:creator>Robert W. Taylor</dc:creator>
  <cp:lastModifiedBy>Author</cp:lastModifiedBy>
  <cp:lastPrinted>2019-06-19T16:22:48Z</cp:lastPrinted>
  <dcterms:created xsi:type="dcterms:W3CDTF">2002-02-27T17:48:59Z</dcterms:created>
  <dcterms:modified xsi:type="dcterms:W3CDTF">2019-06-28T12:10:42Z</dcterms:modified>
</cp:coreProperties>
</file>