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nera-nycfs\Work\Projects\Energy\20-21 BGS (114324)\2020 Auction\3 RSCP Rates\1 July Filing\1 Rcvd frm EDCs\0 to post\"/>
    </mc:Choice>
  </mc:AlternateContent>
  <xr:revisionPtr revIDLastSave="0" documentId="13_ncr:1_{E360D562-440F-49A6-AF5E-16D644E29548}" xr6:coauthVersionLast="36" xr6:coauthVersionMax="36" xr10:uidLastSave="{00000000-0000-0000-0000-000000000000}"/>
  <bookViews>
    <workbookView xWindow="-15" yWindow="-15" windowWidth="20730" windowHeight="6180" activeTab="1" xr2:uid="{00000000-000D-0000-FFFF-FFFF00000000}"/>
  </bookViews>
  <sheets>
    <sheet name="June 20 - May 21" sheetId="1" r:id="rId1"/>
    <sheet name="auction results and rates" sheetId="3" r:id="rId2"/>
  </sheets>
  <definedNames>
    <definedName name="Auction" localSheetId="0">'June 20 - May 21'!#REF!</definedName>
    <definedName name="_xlnm.Print_Area" localSheetId="1">'auction results and rates'!$A$5:$L$149</definedName>
    <definedName name="_xlnm.Print_Area" localSheetId="0">'June 20 - May 21'!$A$1:$M$340</definedName>
    <definedName name="_xlnm.Print_Titles" localSheetId="1">'auction results and rates'!$1:$4</definedName>
    <definedName name="Z_689761CC_C80B_4574_9251_22E069AE5A7E_.wvu.PrintArea" localSheetId="1" hidden="1">'auction results and rates'!$A$6:$M$103</definedName>
    <definedName name="Z_689761CC_C80B_4574_9251_22E069AE5A7E_.wvu.PrintArea" localSheetId="0" hidden="1">'June 20 - May 21'!$A$1:$M$306</definedName>
    <definedName name="Z_689761CC_C80B_4574_9251_22E069AE5A7E_.wvu.PrintTitles" localSheetId="1" hidden="1">'auction results and rates'!$1:$4</definedName>
    <definedName name="Z_E387223A_F425_4996_A843_D576BB2C4D04_.wvu.PrintArea" localSheetId="1" hidden="1">'auction results and rates'!$A$6:$M$103</definedName>
    <definedName name="Z_E387223A_F425_4996_A843_D576BB2C4D04_.wvu.PrintArea" localSheetId="0" hidden="1">'June 20 - May 21'!$A$1:$M$302</definedName>
    <definedName name="Z_E387223A_F425_4996_A843_D576BB2C4D04_.wvu.PrintTitles" localSheetId="1" hidden="1">'auction results and rates'!$1:$4</definedName>
    <definedName name="Z_E387223A_F425_4996_A843_D576BB2C4D04_.wvu.Rows" localSheetId="0" hidden="1">'June 20 - May 21'!$303:$305</definedName>
  </definedNames>
  <calcPr calcId="191029"/>
  <customWorkbookViews>
    <customWorkbookView name="BGS Filing" guid="{E387223A-F425-4996-A843-D576BB2C4D04}" maximized="1" windowWidth="994" windowHeight="507" activeSheetId="1"/>
    <customWorkbookView name="Retail Rate Development Detail" guid="{689761CC-C80B-4574-9251-22E069AE5A7E}" maximized="1" windowWidth="994" windowHeight="5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8" i="1" l="1"/>
  <c r="C328" i="1" l="1"/>
  <c r="D133" i="1" l="1"/>
  <c r="P130" i="1"/>
  <c r="C79" i="1" l="1"/>
  <c r="C292" i="1" l="1"/>
  <c r="O45" i="1" l="1"/>
  <c r="D176" i="1" l="1"/>
  <c r="D190" i="1" s="1"/>
  <c r="J79" i="1" l="1"/>
  <c r="I79" i="1"/>
  <c r="H79" i="1"/>
  <c r="F79" i="1"/>
  <c r="G79" i="1"/>
  <c r="D79" i="1"/>
  <c r="E79" i="1"/>
  <c r="F150" i="1" l="1"/>
  <c r="C296" i="1" l="1"/>
  <c r="E171" i="1"/>
  <c r="P18" i="1" l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D157" i="1" l="1"/>
  <c r="C293" i="1" l="1"/>
  <c r="E10" i="3" l="1"/>
  <c r="J166" i="1" l="1"/>
  <c r="C57" i="1" l="1"/>
  <c r="C176" i="1" s="1"/>
  <c r="C165" i="1" l="1"/>
  <c r="C294" i="1"/>
  <c r="F163" i="1" l="1"/>
  <c r="F164" i="1" s="1"/>
  <c r="C80" i="1" l="1"/>
  <c r="D57" i="1" l="1"/>
  <c r="D65" i="1" l="1"/>
  <c r="D66" i="1" l="1"/>
  <c r="D64" i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33" i="1"/>
  <c r="P34" i="1"/>
  <c r="P35" i="1"/>
  <c r="P36" i="1"/>
  <c r="P37" i="1"/>
  <c r="P38" i="1"/>
  <c r="P45" i="1"/>
  <c r="P46" i="1"/>
  <c r="P48" i="1"/>
  <c r="P49" i="1"/>
  <c r="P126" i="1"/>
  <c r="Q126" i="1" s="1"/>
  <c r="R126" i="1"/>
  <c r="S126" i="1"/>
  <c r="P129" i="1"/>
  <c r="Q129" i="1"/>
  <c r="P133" i="1"/>
  <c r="Q133" i="1"/>
  <c r="P131" i="1" l="1"/>
  <c r="O52" i="1"/>
  <c r="O53" i="1" s="1"/>
  <c r="P47" i="1"/>
  <c r="Q86" i="3" s="1"/>
  <c r="P134" i="1"/>
  <c r="P135" i="1" s="1"/>
  <c r="Q130" i="1"/>
  <c r="Q134" i="1"/>
  <c r="P50" i="1"/>
  <c r="Q85" i="3" s="1"/>
  <c r="R129" i="1"/>
  <c r="R133" i="1"/>
  <c r="I70" i="1"/>
  <c r="H70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D67" i="3"/>
  <c r="D83" i="3" s="1"/>
  <c r="E67" i="3"/>
  <c r="E83" i="3" s="1"/>
  <c r="F67" i="3"/>
  <c r="F83" i="3" s="1"/>
  <c r="G67" i="3"/>
  <c r="G83" i="3" s="1"/>
  <c r="H67" i="3"/>
  <c r="H83" i="3" s="1"/>
  <c r="I67" i="3"/>
  <c r="I83" i="3" s="1"/>
  <c r="J67" i="3"/>
  <c r="J83" i="3" s="1"/>
  <c r="C67" i="3"/>
  <c r="C83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I152" i="1"/>
  <c r="B74" i="1"/>
  <c r="B73" i="1"/>
  <c r="B72" i="1"/>
  <c r="B71" i="1"/>
  <c r="B70" i="1"/>
  <c r="B69" i="1"/>
  <c r="B68" i="1"/>
  <c r="B67" i="1"/>
  <c r="B66" i="1"/>
  <c r="B65" i="1"/>
  <c r="B64" i="1"/>
  <c r="B63" i="1"/>
  <c r="C161" i="1"/>
  <c r="C295" i="1"/>
  <c r="P86" i="3"/>
  <c r="H67" i="1"/>
  <c r="H74" i="1"/>
  <c r="H72" i="1"/>
  <c r="H66" i="1"/>
  <c r="I71" i="1"/>
  <c r="I69" i="1"/>
  <c r="D93" i="1" l="1"/>
  <c r="D111" i="1" s="1"/>
  <c r="C93" i="1"/>
  <c r="C111" i="1" s="1"/>
  <c r="R130" i="1"/>
  <c r="Q131" i="1"/>
  <c r="R134" i="1"/>
  <c r="Q135" i="1"/>
  <c r="C97" i="1"/>
  <c r="C115" i="1" s="1"/>
  <c r="J83" i="1"/>
  <c r="J84" i="1" s="1"/>
  <c r="Q87" i="3"/>
  <c r="P85" i="3"/>
  <c r="I83" i="1"/>
  <c r="I84" i="1" s="1"/>
  <c r="H83" i="1"/>
  <c r="H84" i="1" s="1"/>
  <c r="G83" i="1"/>
  <c r="G84" i="1" s="1"/>
  <c r="F83" i="1"/>
  <c r="F84" i="1" s="1"/>
  <c r="D97" i="1"/>
  <c r="D115" i="1" s="1"/>
  <c r="D83" i="1"/>
  <c r="D84" i="1" s="1"/>
  <c r="E83" i="1"/>
  <c r="E84" i="1" s="1"/>
  <c r="O54" i="1" l="1"/>
  <c r="P87" i="3"/>
  <c r="E68" i="1" l="1"/>
  <c r="D70" i="1"/>
  <c r="E70" i="1" s="1"/>
  <c r="D69" i="1"/>
  <c r="E69" i="1" s="1"/>
  <c r="D71" i="1"/>
  <c r="E71" i="1" s="1"/>
  <c r="D92" i="1" l="1"/>
  <c r="C92" i="1"/>
  <c r="C110" i="1" s="1"/>
  <c r="D94" i="1"/>
  <c r="C94" i="1"/>
  <c r="C112" i="1" s="1"/>
  <c r="D129" i="1" l="1"/>
  <c r="S129" i="1" s="1"/>
  <c r="D112" i="1"/>
  <c r="D130" i="1" s="1"/>
  <c r="C128" i="1"/>
  <c r="D110" i="1"/>
  <c r="D128" i="1" s="1"/>
  <c r="S130" i="1" l="1"/>
  <c r="D191" i="1"/>
  <c r="D235" i="1"/>
  <c r="T131" i="1"/>
  <c r="S131" i="1" l="1"/>
  <c r="D74" i="1" l="1"/>
  <c r="E74" i="1" s="1"/>
  <c r="E65" i="1"/>
  <c r="D67" i="1"/>
  <c r="E67" i="1" s="1"/>
  <c r="D72" i="1"/>
  <c r="E72" i="1" s="1"/>
  <c r="E64" i="1"/>
  <c r="D73" i="1"/>
  <c r="E73" i="1" s="1"/>
  <c r="E66" i="1"/>
  <c r="D98" i="1" l="1"/>
  <c r="C96" i="1"/>
  <c r="C100" i="1" s="1"/>
  <c r="D96" i="1"/>
  <c r="C98" i="1"/>
  <c r="C116" i="1" s="1"/>
  <c r="D100" i="1" l="1"/>
  <c r="D114" i="1"/>
  <c r="C114" i="1"/>
  <c r="D116" i="1"/>
  <c r="D134" i="1" l="1"/>
  <c r="D197" i="1" s="1"/>
  <c r="S133" i="1"/>
  <c r="C132" i="1"/>
  <c r="C118" i="1"/>
  <c r="D118" i="1"/>
  <c r="D132" i="1"/>
  <c r="T135" i="1"/>
  <c r="S134" i="1" l="1"/>
  <c r="S135" i="1" s="1"/>
  <c r="D240" i="1"/>
  <c r="C136" i="1"/>
  <c r="D136" i="1"/>
  <c r="K147" i="1" l="1"/>
  <c r="K145" i="1"/>
  <c r="K144" i="1"/>
  <c r="J157" i="1" l="1"/>
  <c r="J156" i="1"/>
  <c r="D180" i="1" l="1"/>
  <c r="C180" i="1"/>
  <c r="J158" i="1"/>
  <c r="D181" i="1"/>
  <c r="C181" i="1"/>
  <c r="C238" i="1" l="1"/>
  <c r="C195" i="1"/>
  <c r="C274" i="1" s="1"/>
  <c r="D179" i="1"/>
  <c r="C179" i="1"/>
  <c r="D239" i="1"/>
  <c r="D196" i="1"/>
  <c r="D199" i="1" s="1"/>
  <c r="D238" i="1"/>
  <c r="D195" i="1"/>
  <c r="D274" i="1" s="1"/>
  <c r="C233" i="1"/>
  <c r="C236" i="1" s="1"/>
  <c r="C189" i="1"/>
  <c r="C192" i="1" s="1"/>
  <c r="D233" i="1"/>
  <c r="D234" i="1"/>
  <c r="D241" i="1" s="1"/>
  <c r="D189" i="1"/>
  <c r="D273" i="1" s="1"/>
  <c r="D275" i="1" l="1"/>
  <c r="D278" i="1" s="1"/>
  <c r="D279" i="1"/>
  <c r="C241" i="1"/>
  <c r="C199" i="1"/>
  <c r="C218" i="1"/>
  <c r="C50" i="3" s="1"/>
  <c r="C193" i="1"/>
  <c r="C219" i="1" s="1"/>
  <c r="C51" i="3" s="1"/>
  <c r="C273" i="1"/>
  <c r="C275" i="1" s="1"/>
  <c r="C278" i="1" s="1"/>
  <c r="C260" i="1"/>
  <c r="C237" i="1"/>
  <c r="C261" i="1" s="1"/>
  <c r="C279" i="1" l="1"/>
  <c r="U48" i="1"/>
  <c r="V85" i="3" s="1"/>
  <c r="I93" i="1"/>
  <c r="I111" i="1" s="1"/>
  <c r="I180" i="1"/>
  <c r="I94" i="1"/>
  <c r="I112" i="1" s="1"/>
  <c r="I92" i="1"/>
  <c r="I110" i="1"/>
  <c r="I128" i="1" s="1"/>
  <c r="I57" i="1"/>
  <c r="U45" i="1"/>
  <c r="V86" i="3" s="1"/>
  <c r="V87" i="3" s="1"/>
  <c r="I97" i="1"/>
  <c r="I115" i="1" s="1"/>
  <c r="I181" i="1"/>
  <c r="I98" i="1"/>
  <c r="I116" i="1" s="1"/>
  <c r="I96" i="1"/>
  <c r="I100" i="1" s="1"/>
  <c r="I233" i="1" l="1"/>
  <c r="I114" i="1"/>
  <c r="I132" i="1"/>
  <c r="I118" i="1"/>
  <c r="I176" i="1"/>
  <c r="I189" i="1" s="1"/>
  <c r="I179" i="1"/>
  <c r="K54" i="1"/>
  <c r="K46" i="1" l="1"/>
  <c r="K50" i="1"/>
  <c r="J180" i="1"/>
  <c r="J92" i="1"/>
  <c r="J110" i="1" s="1"/>
  <c r="J128" i="1" s="1"/>
  <c r="J233" i="1" s="1"/>
  <c r="I273" i="1"/>
  <c r="S45" i="1"/>
  <c r="T86" i="3" s="1"/>
  <c r="G181" i="1"/>
  <c r="G96" i="1"/>
  <c r="G98" i="1"/>
  <c r="G116" i="1" s="1"/>
  <c r="I238" i="1"/>
  <c r="I136" i="1"/>
  <c r="I195" i="1"/>
  <c r="G180" i="1"/>
  <c r="G97" i="1"/>
  <c r="G115" i="1" s="1"/>
  <c r="V48" i="1"/>
  <c r="W85" i="3" s="1"/>
  <c r="F57" i="1"/>
  <c r="R48" i="1"/>
  <c r="S85" i="3" s="1"/>
  <c r="J93" i="1"/>
  <c r="J111" i="1" s="1"/>
  <c r="H93" i="1"/>
  <c r="H111" i="1" s="1"/>
  <c r="T48" i="1"/>
  <c r="U85" i="3" s="1"/>
  <c r="K49" i="1"/>
  <c r="K53" i="1"/>
  <c r="K51" i="1" l="1"/>
  <c r="F181" i="1"/>
  <c r="H92" i="1"/>
  <c r="H110" i="1" s="1"/>
  <c r="H128" i="1" s="1"/>
  <c r="G93" i="1"/>
  <c r="G111" i="1" s="1"/>
  <c r="E94" i="1"/>
  <c r="E112" i="1" s="1"/>
  <c r="Q48" i="1"/>
  <c r="F94" i="1"/>
  <c r="F112" i="1" s="1"/>
  <c r="F97" i="1"/>
  <c r="F115" i="1" s="1"/>
  <c r="G57" i="1"/>
  <c r="G179" i="1" s="1"/>
  <c r="H94" i="1"/>
  <c r="H112" i="1" s="1"/>
  <c r="G94" i="1"/>
  <c r="G112" i="1" s="1"/>
  <c r="S48" i="1"/>
  <c r="T85" i="3" s="1"/>
  <c r="T87" i="3" s="1"/>
  <c r="E180" i="1"/>
  <c r="F180" i="1"/>
  <c r="F98" i="1"/>
  <c r="F116" i="1" s="1"/>
  <c r="R45" i="1"/>
  <c r="S86" i="3" s="1"/>
  <c r="S87" i="3" s="1"/>
  <c r="H180" i="1"/>
  <c r="G92" i="1"/>
  <c r="G110" i="1" s="1"/>
  <c r="G128" i="1" s="1"/>
  <c r="G233" i="1" s="1"/>
  <c r="E110" i="1"/>
  <c r="E128" i="1" s="1"/>
  <c r="E93" i="1"/>
  <c r="E111" i="1" s="1"/>
  <c r="F93" i="1"/>
  <c r="F111" i="1" s="1"/>
  <c r="K55" i="1"/>
  <c r="K56" i="1"/>
  <c r="K52" i="1"/>
  <c r="K48" i="1"/>
  <c r="K47" i="1"/>
  <c r="F96" i="1"/>
  <c r="F100" i="1" s="1"/>
  <c r="J94" i="1"/>
  <c r="J112" i="1" s="1"/>
  <c r="E92" i="1"/>
  <c r="F92" i="1"/>
  <c r="F110" i="1" s="1"/>
  <c r="F128" i="1" s="1"/>
  <c r="K45" i="1"/>
  <c r="E57" i="1"/>
  <c r="Q45" i="1"/>
  <c r="E97" i="1"/>
  <c r="E115" i="1" s="1"/>
  <c r="E181" i="1"/>
  <c r="E96" i="1"/>
  <c r="E98" i="1"/>
  <c r="E116" i="1" s="1"/>
  <c r="I274" i="1"/>
  <c r="H57" i="1"/>
  <c r="T45" i="1"/>
  <c r="U86" i="3" s="1"/>
  <c r="U87" i="3" s="1"/>
  <c r="H97" i="1"/>
  <c r="H115" i="1" s="1"/>
  <c r="H181" i="1"/>
  <c r="H96" i="1"/>
  <c r="H114" i="1" s="1"/>
  <c r="H98" i="1"/>
  <c r="H116" i="1" s="1"/>
  <c r="I241" i="1"/>
  <c r="I199" i="1"/>
  <c r="F176" i="1"/>
  <c r="F179" i="1"/>
  <c r="G176" i="1"/>
  <c r="G189" i="1" s="1"/>
  <c r="J57" i="1"/>
  <c r="V45" i="1"/>
  <c r="W86" i="3" s="1"/>
  <c r="W87" i="3" s="1"/>
  <c r="J97" i="1"/>
  <c r="J115" i="1" s="1"/>
  <c r="J181" i="1"/>
  <c r="J98" i="1"/>
  <c r="J116" i="1" s="1"/>
  <c r="J96" i="1"/>
  <c r="J100" i="1" s="1"/>
  <c r="J114" i="1"/>
  <c r="G114" i="1"/>
  <c r="E100" i="1" l="1"/>
  <c r="F233" i="1"/>
  <c r="H233" i="1"/>
  <c r="F118" i="1"/>
  <c r="G100" i="1"/>
  <c r="R85" i="3"/>
  <c r="X85" i="3" s="1"/>
  <c r="Q57" i="1"/>
  <c r="W48" i="1"/>
  <c r="C17" i="3"/>
  <c r="F189" i="1"/>
  <c r="F273" i="1" s="1"/>
  <c r="E233" i="1"/>
  <c r="H100" i="1"/>
  <c r="K57" i="1"/>
  <c r="K176" i="1" s="1"/>
  <c r="C310" i="1" s="1"/>
  <c r="F114" i="1"/>
  <c r="F132" i="1" s="1"/>
  <c r="F136" i="1" s="1"/>
  <c r="G273" i="1"/>
  <c r="E176" i="1"/>
  <c r="E189" i="1" s="1"/>
  <c r="E179" i="1"/>
  <c r="H132" i="1"/>
  <c r="H118" i="1"/>
  <c r="I275" i="1"/>
  <c r="I278" i="1" s="1"/>
  <c r="E114" i="1"/>
  <c r="F238" i="1"/>
  <c r="F195" i="1"/>
  <c r="J118" i="1"/>
  <c r="J132" i="1"/>
  <c r="G132" i="1"/>
  <c r="G118" i="1"/>
  <c r="J176" i="1"/>
  <c r="J189" i="1" s="1"/>
  <c r="J179" i="1"/>
  <c r="H176" i="1"/>
  <c r="H189" i="1" s="1"/>
  <c r="H179" i="1"/>
  <c r="R86" i="3"/>
  <c r="Q56" i="1"/>
  <c r="W45" i="1"/>
  <c r="W50" i="1" s="1"/>
  <c r="C18" i="3"/>
  <c r="Q58" i="1" l="1"/>
  <c r="G102" i="1"/>
  <c r="C21" i="3"/>
  <c r="D21" i="3"/>
  <c r="H273" i="1"/>
  <c r="E118" i="1"/>
  <c r="C120" i="1" s="1"/>
  <c r="C137" i="1" s="1"/>
  <c r="E132" i="1"/>
  <c r="E273" i="1"/>
  <c r="G238" i="1"/>
  <c r="G136" i="1"/>
  <c r="G195" i="1"/>
  <c r="F274" i="1"/>
  <c r="H195" i="1"/>
  <c r="H238" i="1"/>
  <c r="H136" i="1"/>
  <c r="F241" i="1"/>
  <c r="F199" i="1"/>
  <c r="R87" i="3"/>
  <c r="X87" i="3" s="1"/>
  <c r="X86" i="3"/>
  <c r="D22" i="3"/>
  <c r="D23" i="3" s="1"/>
  <c r="C22" i="3"/>
  <c r="J273" i="1"/>
  <c r="J195" i="1"/>
  <c r="J136" i="1"/>
  <c r="J238" i="1"/>
  <c r="I279" i="1"/>
  <c r="C23" i="3" l="1"/>
  <c r="H274" i="1"/>
  <c r="F275" i="1"/>
  <c r="F278" i="1" s="1"/>
  <c r="F279" i="1"/>
  <c r="J241" i="1"/>
  <c r="J199" i="1"/>
  <c r="G241" i="1"/>
  <c r="G199" i="1"/>
  <c r="E238" i="1"/>
  <c r="E136" i="1"/>
  <c r="E195" i="1"/>
  <c r="J274" i="1"/>
  <c r="H241" i="1"/>
  <c r="H199" i="1"/>
  <c r="G274" i="1"/>
  <c r="C282" i="1"/>
  <c r="E287" i="1" s="1"/>
  <c r="H275" i="1" l="1"/>
  <c r="H278" i="1" s="1"/>
  <c r="H279" i="1"/>
  <c r="E274" i="1"/>
  <c r="G275" i="1"/>
  <c r="G278" i="1" s="1"/>
  <c r="J275" i="1"/>
  <c r="J278" i="1" s="1"/>
  <c r="J279" i="1"/>
  <c r="E241" i="1"/>
  <c r="E199" i="1"/>
  <c r="C203" i="1" s="1"/>
  <c r="G279" i="1" l="1"/>
  <c r="F205" i="1"/>
  <c r="F206" i="1"/>
  <c r="C283" i="1"/>
  <c r="E275" i="1"/>
  <c r="E278" i="1" s="1"/>
  <c r="C244" i="1"/>
  <c r="M287" i="1" l="1"/>
  <c r="E225" i="1"/>
  <c r="E59" i="3" s="1"/>
  <c r="D214" i="1"/>
  <c r="D45" i="3" s="1"/>
  <c r="D222" i="1"/>
  <c r="D56" i="3" s="1"/>
  <c r="D225" i="1"/>
  <c r="D59" i="3" s="1"/>
  <c r="D223" i="1"/>
  <c r="D57" i="3" s="1"/>
  <c r="C225" i="1"/>
  <c r="C59" i="3" s="1"/>
  <c r="D215" i="1"/>
  <c r="D46" i="3" s="1"/>
  <c r="D221" i="1"/>
  <c r="D55" i="3" s="1"/>
  <c r="C221" i="1"/>
  <c r="C55" i="3" s="1"/>
  <c r="C217" i="1"/>
  <c r="C49" i="3" s="1"/>
  <c r="D216" i="1"/>
  <c r="D47" i="3" s="1"/>
  <c r="I214" i="1"/>
  <c r="I45" i="3" s="1"/>
  <c r="I221" i="1"/>
  <c r="I55" i="3" s="1"/>
  <c r="G214" i="1"/>
  <c r="G45" i="3" s="1"/>
  <c r="F214" i="1"/>
  <c r="F45" i="3" s="1"/>
  <c r="I225" i="1"/>
  <c r="I59" i="3" s="1"/>
  <c r="F221" i="1"/>
  <c r="F55" i="3" s="1"/>
  <c r="H214" i="1"/>
  <c r="H45" i="3" s="1"/>
  <c r="E214" i="1"/>
  <c r="E45" i="3" s="1"/>
  <c r="J214" i="1"/>
  <c r="J45" i="3" s="1"/>
  <c r="H221" i="1"/>
  <c r="H55" i="3" s="1"/>
  <c r="J221" i="1"/>
  <c r="J55" i="3" s="1"/>
  <c r="G221" i="1"/>
  <c r="G55" i="3" s="1"/>
  <c r="F225" i="1"/>
  <c r="F59" i="3" s="1"/>
  <c r="E221" i="1"/>
  <c r="E55" i="3" s="1"/>
  <c r="G225" i="1"/>
  <c r="G59" i="3" s="1"/>
  <c r="J225" i="1"/>
  <c r="J59" i="3" s="1"/>
  <c r="H225" i="1"/>
  <c r="H59" i="3" s="1"/>
  <c r="C284" i="1"/>
  <c r="C287" i="1" s="1"/>
  <c r="E288" i="1"/>
  <c r="G247" i="1"/>
  <c r="G246" i="1"/>
  <c r="E279" i="1"/>
  <c r="C288" i="1" l="1"/>
  <c r="E13" i="3"/>
  <c r="E21" i="3" s="1"/>
  <c r="C95" i="3" s="1"/>
  <c r="C142" i="3" s="1"/>
  <c r="C26" i="3"/>
  <c r="M288" i="1"/>
  <c r="E14" i="3" s="1"/>
  <c r="E22" i="3" s="1"/>
  <c r="D266" i="1"/>
  <c r="J256" i="1"/>
  <c r="G256" i="1"/>
  <c r="D264" i="1"/>
  <c r="D263" i="1"/>
  <c r="C263" i="1"/>
  <c r="D257" i="1"/>
  <c r="H256" i="1"/>
  <c r="D256" i="1"/>
  <c r="C266" i="1"/>
  <c r="I256" i="1"/>
  <c r="D258" i="1"/>
  <c r="D265" i="1"/>
  <c r="F256" i="1"/>
  <c r="E256" i="1"/>
  <c r="C259" i="1"/>
  <c r="I263" i="1"/>
  <c r="I266" i="1"/>
  <c r="F263" i="1"/>
  <c r="F266" i="1"/>
  <c r="J263" i="1"/>
  <c r="G263" i="1"/>
  <c r="H263" i="1"/>
  <c r="H266" i="1"/>
  <c r="G266" i="1"/>
  <c r="J266" i="1"/>
  <c r="E263" i="1"/>
  <c r="E266" i="1"/>
  <c r="E23" i="3" l="1"/>
  <c r="C27" i="3"/>
  <c r="C96" i="3"/>
  <c r="C97" i="3" l="1"/>
  <c r="C143" i="3"/>
  <c r="C144" i="3" s="1"/>
  <c r="C29" i="3"/>
  <c r="C34" i="3"/>
  <c r="D69" i="3" l="1"/>
  <c r="D71" i="3"/>
  <c r="C33" i="3"/>
  <c r="C35" i="3" s="1"/>
  <c r="I69" i="3"/>
  <c r="G76" i="3"/>
  <c r="E69" i="3"/>
  <c r="C76" i="3"/>
  <c r="J69" i="3"/>
  <c r="H69" i="3"/>
  <c r="H76" i="3"/>
  <c r="C73" i="3"/>
  <c r="J76" i="3"/>
  <c r="D78" i="3"/>
  <c r="F69" i="3"/>
  <c r="C309" i="1"/>
  <c r="C311" i="1" s="1"/>
  <c r="D70" i="3"/>
  <c r="F76" i="3"/>
  <c r="G69" i="3"/>
  <c r="D76" i="3"/>
  <c r="I76" i="3"/>
  <c r="D77" i="3"/>
  <c r="E76" i="3"/>
  <c r="C74" i="3"/>
  <c r="I86" i="3" l="1"/>
  <c r="J86" i="3"/>
  <c r="D322" i="1"/>
  <c r="D340" i="1" s="1"/>
  <c r="J322" i="1"/>
  <c r="J340" i="1" s="1"/>
  <c r="H322" i="1"/>
  <c r="H340" i="1" s="1"/>
  <c r="E322" i="1"/>
  <c r="E340" i="1" s="1"/>
  <c r="G322" i="1"/>
  <c r="G340" i="1" s="1"/>
  <c r="C322" i="1"/>
  <c r="C340" i="1" s="1"/>
  <c r="I322" i="1"/>
  <c r="I340" i="1" s="1"/>
  <c r="F322" i="1"/>
  <c r="F340" i="1" s="1"/>
  <c r="C85" i="3"/>
  <c r="C86" i="3"/>
  <c r="D85" i="3"/>
  <c r="J85" i="3"/>
  <c r="E86" i="3"/>
  <c r="G85" i="3"/>
  <c r="F85" i="3"/>
  <c r="H86" i="3"/>
  <c r="E85" i="3"/>
  <c r="I85" i="3"/>
  <c r="D86" i="3"/>
  <c r="D87" i="3" s="1"/>
  <c r="F86" i="3"/>
  <c r="H85" i="3"/>
  <c r="G86" i="3"/>
  <c r="G87" i="3" s="1"/>
  <c r="J87" i="3" l="1"/>
  <c r="C90" i="3"/>
  <c r="E87" i="3"/>
  <c r="F87" i="3"/>
  <c r="C87" i="3"/>
  <c r="C89" i="3"/>
  <c r="C100" i="3" s="1"/>
  <c r="H87" i="3"/>
  <c r="I87" i="3"/>
  <c r="C101" i="3" l="1"/>
  <c r="C91" i="3"/>
  <c r="C102" i="3" s="1"/>
  <c r="J100" i="3" s="1"/>
  <c r="J98" i="3"/>
  <c r="E100" i="3"/>
  <c r="C318" i="1" l="1"/>
  <c r="C336" i="1" s="1"/>
  <c r="C120" i="3"/>
  <c r="E314" i="1"/>
  <c r="E332" i="1" s="1"/>
  <c r="J115" i="3"/>
  <c r="J132" i="3" s="1"/>
  <c r="D117" i="3"/>
  <c r="D115" i="3"/>
  <c r="H115" i="3"/>
  <c r="H132" i="3" s="1"/>
  <c r="C317" i="1"/>
  <c r="C335" i="1" s="1"/>
  <c r="J314" i="1"/>
  <c r="J332" i="1" s="1"/>
  <c r="C119" i="3"/>
  <c r="C132" i="3" s="1"/>
  <c r="D315" i="1"/>
  <c r="D333" i="1" s="1"/>
  <c r="G314" i="1"/>
  <c r="G332" i="1" s="1"/>
  <c r="F115" i="3"/>
  <c r="F132" i="3" s="1"/>
  <c r="E115" i="3"/>
  <c r="E132" i="3" s="1"/>
  <c r="F314" i="1"/>
  <c r="F332" i="1" s="1"/>
  <c r="G115" i="3"/>
  <c r="G132" i="3" s="1"/>
  <c r="D314" i="1"/>
  <c r="I314" i="1"/>
  <c r="I332" i="1" s="1"/>
  <c r="D316" i="1"/>
  <c r="D334" i="1" s="1"/>
  <c r="I115" i="3"/>
  <c r="I132" i="3" s="1"/>
  <c r="H314" i="1"/>
  <c r="H332" i="1" s="1"/>
  <c r="D116" i="3"/>
  <c r="D132" i="3" s="1"/>
  <c r="J99" i="3"/>
  <c r="E101" i="3"/>
  <c r="D321" i="1" l="1"/>
  <c r="D339" i="1" s="1"/>
  <c r="I319" i="1"/>
  <c r="I337" i="1" s="1"/>
  <c r="D319" i="1"/>
  <c r="D320" i="1"/>
  <c r="D338" i="1" s="1"/>
  <c r="C122" i="3"/>
  <c r="C133" i="3" s="1"/>
  <c r="D123" i="3"/>
  <c r="F122" i="3"/>
  <c r="F133" i="3" s="1"/>
  <c r="F134" i="3" s="1"/>
  <c r="J122" i="3"/>
  <c r="J133" i="3" s="1"/>
  <c r="J134" i="3" s="1"/>
  <c r="H319" i="1"/>
  <c r="H337" i="1" s="1"/>
  <c r="J319" i="1"/>
  <c r="J337" i="1" s="1"/>
  <c r="D124" i="3"/>
  <c r="I122" i="3"/>
  <c r="I133" i="3" s="1"/>
  <c r="I134" i="3" s="1"/>
  <c r="F319" i="1"/>
  <c r="F337" i="1" s="1"/>
  <c r="C319" i="1"/>
  <c r="C337" i="1" s="1"/>
  <c r="E319" i="1"/>
  <c r="E337" i="1" s="1"/>
  <c r="G319" i="1"/>
  <c r="G337" i="1" s="1"/>
  <c r="D122" i="3"/>
  <c r="H122" i="3"/>
  <c r="H133" i="3" s="1"/>
  <c r="H134" i="3" s="1"/>
  <c r="E122" i="3"/>
  <c r="E133" i="3" s="1"/>
  <c r="E134" i="3" s="1"/>
  <c r="G122" i="3"/>
  <c r="G133" i="3" s="1"/>
  <c r="G134" i="3" s="1"/>
  <c r="C134" i="3"/>
  <c r="C136" i="3"/>
  <c r="C147" i="3" s="1"/>
  <c r="D133" i="3" l="1"/>
  <c r="D134" i="3" s="1"/>
  <c r="C137" i="3" l="1"/>
  <c r="C138" i="3" l="1"/>
  <c r="C148" i="3"/>
  <c r="C149" i="3" s="1"/>
</calcChain>
</file>

<file path=xl/sharedStrings.xml><?xml version="1.0" encoding="utf-8"?>
<sst xmlns="http://schemas.openxmlformats.org/spreadsheetml/2006/main" count="579" uniqueCount="273">
  <si>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</si>
  <si>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</si>
  <si>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</si>
  <si>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</si>
  <si>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</si>
  <si>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</si>
  <si>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</si>
  <si>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</si>
  <si>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</si>
  <si>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</si>
  <si>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</si>
  <si>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</si>
  <si>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</si>
  <si>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</si>
  <si>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</si>
  <si>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</si>
  <si>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</si>
  <si>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</si>
  <si>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</si>
  <si>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</si>
  <si>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</si>
  <si>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</si>
  <si>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</si>
  <si>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</si>
  <si>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</si>
  <si>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</si>
  <si>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</si>
  <si>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</si>
  <si>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</si>
  <si>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</si>
  <si>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</si>
  <si>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</si>
  <si>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</si>
  <si>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</si>
  <si>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</si>
  <si>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</si>
  <si>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</si>
  <si>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</si>
  <si>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</si>
  <si>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</si>
  <si>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</si>
  <si>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</si>
  <si>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Summary of Average BGS Energy Only Unit Costs @ customer - PJM Time Periods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</si>
  <si>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</si>
  <si>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</si>
  <si>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</si>
  <si>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</si>
  <si>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</si>
  <si>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</si>
  <si>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Generation &amp; Transmission Obligations and Costs and Other Adjustments</t>
  </si>
  <si>
    <t>in MW</t>
  </si>
  <si>
    <t>Gen Load - MW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</si>
  <si>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</si>
  <si>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</si>
  <si>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</si>
  <si>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</si>
  <si>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</si>
  <si>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</si>
  <si>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</si>
  <si>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</si>
  <si>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</t>
  </si>
  <si>
    <t>per MW-yr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</si>
  <si>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</si>
  <si>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</si>
  <si>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</si>
  <si>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</si>
  <si>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</si>
  <si>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</si>
  <si>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</si>
  <si>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</si>
  <si>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</si>
  <si>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</si>
  <si>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</si>
  <si>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</si>
  <si>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</si>
  <si>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</si>
  <si>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</si>
  <si>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</si>
  <si>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</si>
  <si>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</si>
  <si>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>Transmission Obl - yr round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</si>
  <si>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</si>
  <si>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</si>
  <si>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</si>
  <si>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</si>
  <si>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</si>
  <si>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Summary of BGS Unit Costs @ customer</t>
  </si>
  <si>
    <t>Grand Total Cost in $1000 =</t>
  </si>
  <si>
    <t>All In Average cost for rates shown (@ customer) =</t>
  </si>
  <si>
    <t>All In Average costs for rates shown (@ bulk system)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</si>
  <si>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</si>
  <si>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</si>
  <si>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</si>
  <si>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</si>
  <si>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</si>
  <si>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</si>
  <si>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Summary of BGS Unit Costs Less Transmission @ customer</t>
  </si>
  <si>
    <t>All In (Less Transmission) Average cost for rates shown (@ customer) =</t>
  </si>
  <si>
    <t>All In (Less Transmission) Average costs for rates shown (@ bulk system) =</t>
  </si>
  <si>
    <t>Table #13</t>
  </si>
  <si>
    <t>Transmission billed at retail tariff level.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</si>
  <si>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</si>
  <si>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</si>
  <si>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</si>
  <si>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</si>
  <si>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</si>
  <si>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</si>
  <si>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</si>
  <si>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per MWh @ bulk system</t>
  </si>
  <si>
    <t>Ratio to All-In Cost</t>
  </si>
  <si>
    <t>&gt;&gt;&gt;</t>
  </si>
  <si>
    <t>Table #15</t>
  </si>
  <si>
    <t>Table #16</t>
  </si>
  <si>
    <t>Table #17</t>
  </si>
  <si>
    <t>Assumptions:</t>
  </si>
  <si>
    <t>Gen Cost =</t>
  </si>
  <si>
    <t>per MW-day</t>
  </si>
  <si>
    <t>summer</t>
  </si>
  <si>
    <t>=</t>
  </si>
  <si>
    <t>winter</t>
  </si>
  <si>
    <t>Trans cost =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</si>
  <si>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</si>
  <si>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</si>
  <si>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</si>
  <si>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</si>
  <si>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</si>
  <si>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</si>
  <si>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</si>
  <si>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</si>
  <si>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Ratio of BGS Unit Costs @ customer to All In Average Cost @ bulk system (rounded to 3 decimal places)</t>
  </si>
  <si>
    <t>Ratio of BGS Unit Costs @ customer to All In Average Cost Less Transmission @ bulk system (rounded to 3 decimal places)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</si>
  <si>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</si>
  <si>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</si>
  <si>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</si>
  <si>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</si>
  <si>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</si>
  <si>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</si>
  <si>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</si>
  <si>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</si>
  <si>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</si>
  <si>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</si>
  <si>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</si>
  <si>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</si>
  <si>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Summary of Average BGS Energy Only Costs @ customer - PJM Time Periods</t>
  </si>
  <si>
    <t>based on Forwards prices corrected for congestion &amp; losses</t>
  </si>
  <si>
    <t>in $1000</t>
  </si>
  <si>
    <t>PJM on pk</t>
  </si>
  <si>
    <t>PJM off pk</t>
  </si>
  <si>
    <t>System Total</t>
  </si>
  <si>
    <t>Summary of Average BGS Energy Only Unit Costs @ customer - ACECO Time Periods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</si>
  <si>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</si>
  <si>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</si>
  <si>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</si>
  <si>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</si>
  <si>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</si>
  <si>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</si>
  <si>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</si>
  <si>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</si>
  <si>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</si>
  <si>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</si>
  <si>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</si>
  <si>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</si>
  <si>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 xml:space="preserve">ACECO On-Peak </t>
  </si>
  <si>
    <t>ACECO Off-Peak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</si>
  <si>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</si>
  <si>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</si>
  <si>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</si>
  <si>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</si>
  <si>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</si>
  <si>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</si>
  <si>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</si>
  <si>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# of Traunches for Bid</t>
  </si>
  <si>
    <t>from then current Bid</t>
  </si>
  <si>
    <t>Total # of Traunches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</si>
  <si>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</si>
  <si>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</si>
  <si>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</si>
  <si>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</si>
  <si>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</si>
  <si>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</si>
  <si>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</si>
  <si>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</si>
  <si>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</si>
  <si>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</si>
  <si>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</si>
  <si>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</si>
  <si>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</si>
  <si>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</si>
  <si>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</si>
  <si>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</si>
  <si>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</si>
  <si>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</si>
  <si>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Difference =</t>
  </si>
  <si>
    <t>Ratio of BGS Unit Costs @ customer to All-In Average Cost @ bulk system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</si>
  <si>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</si>
  <si>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</si>
  <si>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</si>
  <si>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</si>
  <si>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</si>
  <si>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</si>
  <si>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</si>
  <si>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</si>
  <si>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</si>
  <si>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</si>
  <si>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</si>
  <si>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</si>
  <si>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</si>
  <si>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</si>
  <si>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</si>
  <si>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</si>
  <si>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</si>
  <si>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</si>
  <si>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</si>
  <si>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</si>
  <si>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</si>
  <si>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</si>
  <si>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</si>
  <si>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</si>
  <si>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</si>
  <si>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</si>
  <si>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</si>
  <si>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</si>
  <si>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</si>
  <si>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</si>
  <si>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Table #18</t>
  </si>
  <si>
    <t>Weighted Avg. Winning Bid &gt;&gt;&gt;&gt;</t>
  </si>
  <si>
    <t>Less Transmission &gt;&gt;&gt;&gt;&gt;&gt;&gt;&gt;&gt;</t>
  </si>
  <si>
    <t>BGS Avg. Price &gt;&gt;&gt;&gt;&gt;&gt;&gt;&gt;&gt;&gt;&gt;</t>
  </si>
  <si>
    <t>Table #19</t>
  </si>
  <si>
    <t>in $/kWh</t>
  </si>
  <si>
    <t>Revenue Assessment Factor</t>
  </si>
  <si>
    <t>(BPU, RPA Assessments)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</si>
  <si>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</si>
  <si>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</si>
  <si>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</si>
  <si>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</si>
  <si>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</si>
  <si>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</si>
  <si>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</si>
  <si>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Base
Capacity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</si>
  <si>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</si>
  <si>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</si>
  <si>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</si>
  <si>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</si>
  <si>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</si>
  <si>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</si>
  <si>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</si>
  <si>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</si>
  <si>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</si>
  <si>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</si>
  <si>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>Includes energy, G&amp;T obligations, Ancillary Services, and Renewable Power Costs</t>
  </si>
  <si>
    <t>Includes energy, G&amp;T obligations, Ancillary Services, and Renewable Power Costs - unadjusted for billing vs. PJM time period differences</t>
  </si>
  <si>
    <t>Includes energy, Generation capacity obligations, Ancillary Services, and Renewable Power Costs - unadjusted for billing vs. PJM time period differences.  Transmission billed at retail tariff level.</t>
  </si>
  <si>
    <t xml:space="preserve">Includes energy, Generation capacity obligations, Ancillary Services, and Renewable Power Costs - unadjusted for billing vs. PJM time period differences.  </t>
  </si>
  <si>
    <t>Includes energy, Generation Obligations, Ancillary Services, and Renewable Power Costs  - Transmission billed at current Tariff Rates</t>
  </si>
  <si>
    <t>includes energy, G&amp;T obligations, Ancillary Services, and Renewable Power Cost - adjusted to billing time periods</t>
  </si>
  <si>
    <t>Includes energy, Generation Obligations, Ancillary Services, and Renewable Power Costs - Transmission billed at current Tariff Rates</t>
  </si>
  <si>
    <t>remaining portion of 36 month bid - 2018/19 filing</t>
  </si>
  <si>
    <t xml:space="preserve">= (1) * (2)/(3) * (4) * (6) </t>
  </si>
  <si>
    <t xml:space="preserve">= (1) * (2)/(3) * (5) * (7) </t>
  </si>
  <si>
    <t>= sum(line 8) / (6) - rounded to 2 decimal places</t>
  </si>
  <si>
    <t>= sum(line 9) / (7) - rounded to 2 decimal places</t>
  </si>
  <si>
    <t>= sum(line 10) / [ (6) + (7)]</t>
  </si>
  <si>
    <t>= (13) * [(6)+(7)] / 1000</t>
  </si>
  <si>
    <t>= sum (line 10)</t>
  </si>
  <si>
    <t>= line (14) - line (15)</t>
  </si>
  <si>
    <t>Calculation of June 2020 to May 2021 BGS-RSCP Rates</t>
  </si>
  <si>
    <t>based on results of February 2020 BGS RSCP Auction</t>
  </si>
  <si>
    <t>remaining portion of 36 month bid - 2019/20 filing</t>
  </si>
  <si>
    <t>36 month bid - 2020/21 filing</t>
  </si>
  <si>
    <t>obligations - values effective June 2019; costs are market estimates</t>
  </si>
  <si>
    <t xml:space="preserve">Quotes for the period June 1, 2020 to May 31, 2021 - corrected for hub-zone basis differential. </t>
  </si>
  <si>
    <t xml:space="preserve"> class totals as of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</si>
</sst>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_);\(#,##0.000\)"/>
    <numFmt numFmtId="180" formatCode="#,##0.0000_);\(#,##0.0000\)"/>
    <numFmt numFmtId="181" formatCode="_(* #,##0.000000_);_(* \(#,##0.000000\);_(* &quot;-&quot;??_);_(@_)"/>
    <numFmt numFmtId="182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9" fontId="8" fillId="0" borderId="0" xfId="3" applyFont="1" applyFill="1"/>
    <xf numFmtId="9" fontId="8" fillId="0" borderId="0" xfId="3" applyFont="1" applyFill="1" applyBorder="1"/>
    <xf numFmtId="0" fontId="6" fillId="0" borderId="0" xfId="0" applyFont="1" applyFill="1"/>
    <xf numFmtId="0" fontId="4" fillId="0" borderId="0" xfId="0" applyFont="1" applyFill="1"/>
    <xf numFmtId="0" fontId="0" fillId="0" borderId="0" xfId="0" applyFill="1"/>
    <xf numFmtId="44" fontId="8" fillId="0" borderId="0" xfId="2" applyFont="1" applyFill="1"/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 horizontal="center"/>
    </xf>
    <xf numFmtId="170" fontId="7" fillId="0" borderId="0" xfId="0" applyNumberFormat="1" applyFont="1" applyFill="1"/>
    <xf numFmtId="0" fontId="7" fillId="0" borderId="0" xfId="0" applyFont="1" applyFill="1"/>
    <xf numFmtId="170" fontId="9" fillId="0" borderId="0" xfId="0" applyNumberFormat="1" applyFont="1" applyFill="1"/>
    <xf numFmtId="0" fontId="7" fillId="0" borderId="0" xfId="0" applyFont="1" applyFill="1" applyAlignment="1">
      <alignment horizontal="right"/>
    </xf>
    <xf numFmtId="44" fontId="7" fillId="0" borderId="0" xfId="2" quotePrefix="1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" fontId="0" fillId="0" borderId="0" xfId="0" applyNumberFormat="1" applyFill="1" applyBorder="1"/>
    <xf numFmtId="43" fontId="6" fillId="0" borderId="0" xfId="1" quotePrefix="1" applyFont="1" applyFill="1" applyBorder="1"/>
    <xf numFmtId="43" fontId="6" fillId="0" borderId="0" xfId="1" quotePrefix="1" applyNumberFormat="1" applyFont="1" applyFill="1" applyBorder="1"/>
    <xf numFmtId="44" fontId="6" fillId="0" borderId="0" xfId="2" quotePrefix="1" applyFont="1" applyFill="1" applyBorder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164" fontId="7" fillId="0" borderId="0" xfId="0" applyNumberFormat="1" applyFont="1" applyFill="1"/>
    <xf numFmtId="175" fontId="6" fillId="0" borderId="0" xfId="1" quotePrefix="1" applyNumberFormat="1" applyFont="1" applyFill="1" applyBorder="1"/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44" fontId="7" fillId="0" borderId="0" xfId="2" applyFont="1" applyFill="1"/>
    <xf numFmtId="173" fontId="6" fillId="0" borderId="0" xfId="0" applyNumberFormat="1" applyFont="1" applyFill="1" applyAlignment="1">
      <alignment horizontal="center"/>
    </xf>
    <xf numFmtId="3" fontId="0" fillId="0" borderId="0" xfId="0" applyNumberFormat="1" applyFill="1"/>
    <xf numFmtId="169" fontId="0" fillId="0" borderId="0" xfId="2" applyNumberFormat="1" applyFont="1" applyFill="1"/>
    <xf numFmtId="169" fontId="11" fillId="0" borderId="0" xfId="2" applyNumberFormat="1" applyFont="1" applyFill="1"/>
    <xf numFmtId="169" fontId="0" fillId="0" borderId="0" xfId="0" applyNumberForma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3" fontId="7" fillId="0" borderId="0" xfId="0" applyNumberFormat="1" applyFont="1" applyFill="1"/>
    <xf numFmtId="3" fontId="8" fillId="0" borderId="0" xfId="0" applyNumberFormat="1" applyFont="1" applyFill="1"/>
    <xf numFmtId="43" fontId="7" fillId="0" borderId="0" xfId="1" quotePrefix="1" applyFont="1" applyFill="1"/>
    <xf numFmtId="43" fontId="7" fillId="0" borderId="0" xfId="1" quotePrefix="1" applyNumberFormat="1" applyFont="1" applyFill="1" applyBorder="1"/>
    <xf numFmtId="175" fontId="0" fillId="0" borderId="0" xfId="0" applyNumberFormat="1" applyFill="1"/>
    <xf numFmtId="175" fontId="6" fillId="0" borderId="0" xfId="0" applyNumberFormat="1" applyFont="1" applyFill="1"/>
    <xf numFmtId="0" fontId="6" fillId="0" borderId="0" xfId="0" applyFont="1" applyFill="1" applyAlignment="1">
      <alignment horizontal="right"/>
    </xf>
    <xf numFmtId="43" fontId="7" fillId="0" borderId="0" xfId="1" quotePrefix="1" applyNumberFormat="1" applyFont="1" applyFill="1"/>
    <xf numFmtId="175" fontId="7" fillId="0" borderId="0" xfId="1" quotePrefix="1" applyNumberFormat="1" applyFont="1" applyFill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9" fontId="1" fillId="0" borderId="0" xfId="2" applyNumberFormat="1" applyFill="1"/>
    <xf numFmtId="169" fontId="1" fillId="0" borderId="0" xfId="2" quotePrefix="1" applyNumberFormat="1" applyFont="1" applyFill="1"/>
    <xf numFmtId="169" fontId="11" fillId="0" borderId="0" xfId="0" applyNumberFormat="1" applyFont="1" applyFill="1"/>
    <xf numFmtId="167" fontId="1" fillId="0" borderId="0" xfId="3" applyNumberFormat="1" applyFill="1"/>
    <xf numFmtId="175" fontId="6" fillId="0" borderId="0" xfId="1" quotePrefix="1" applyNumberFormat="1" applyFont="1" applyFill="1"/>
    <xf numFmtId="169" fontId="1" fillId="0" borderId="0" xfId="2" quotePrefix="1" applyNumberFormat="1" applyFont="1" applyFill="1" applyBorder="1"/>
    <xf numFmtId="169" fontId="11" fillId="0" borderId="0" xfId="2" quotePrefix="1" applyNumberFormat="1" applyFont="1" applyFill="1" applyBorder="1"/>
    <xf numFmtId="169" fontId="0" fillId="0" borderId="0" xfId="0" applyNumberFormat="1" applyFill="1" applyBorder="1"/>
    <xf numFmtId="174" fontId="1" fillId="0" borderId="0" xfId="1" applyNumberFormat="1" applyFill="1"/>
    <xf numFmtId="174" fontId="1" fillId="0" borderId="0" xfId="1" quotePrefix="1" applyNumberFormat="1" applyFont="1" applyFill="1"/>
    <xf numFmtId="174" fontId="11" fillId="0" borderId="0" xfId="1" applyNumberFormat="1" applyFont="1" applyFill="1"/>
    <xf numFmtId="174" fontId="0" fillId="0" borderId="0" xfId="1" applyNumberFormat="1" applyFont="1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65" fontId="0" fillId="0" borderId="6" xfId="0" applyNumberFormat="1" applyFill="1" applyBorder="1"/>
    <xf numFmtId="169" fontId="0" fillId="0" borderId="0" xfId="2" quotePrefix="1" applyNumberFormat="1" applyFont="1" applyFill="1"/>
    <xf numFmtId="0" fontId="0" fillId="0" borderId="0" xfId="0" applyFill="1" applyBorder="1" applyAlignment="1">
      <alignment horizontal="right"/>
    </xf>
    <xf numFmtId="179" fontId="14" fillId="0" borderId="0" xfId="1" applyNumberFormat="1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10" fontId="8" fillId="0" borderId="0" xfId="3" quotePrefix="1" applyNumberFormat="1" applyFont="1" applyFill="1"/>
    <xf numFmtId="169" fontId="8" fillId="0" borderId="0" xfId="2" applyNumberFormat="1" applyFont="1" applyFill="1"/>
    <xf numFmtId="167" fontId="8" fillId="0" borderId="0" xfId="0" applyNumberFormat="1" applyFont="1" applyFill="1"/>
    <xf numFmtId="4" fontId="8" fillId="0" borderId="0" xfId="0" applyNumberFormat="1" applyFont="1" applyFill="1"/>
    <xf numFmtId="166" fontId="8" fillId="0" borderId="0" xfId="0" applyNumberFormat="1" applyFont="1" applyFill="1"/>
    <xf numFmtId="0" fontId="0" fillId="0" borderId="0" xfId="0" applyFill="1" applyAlignment="1"/>
    <xf numFmtId="0" fontId="12" fillId="0" borderId="3" xfId="0" applyFont="1" applyFill="1" applyBorder="1"/>
    <xf numFmtId="171" fontId="6" fillId="0" borderId="0" xfId="2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44" fontId="6" fillId="0" borderId="0" xfId="2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quotePrefix="1" applyFont="1" applyFill="1" applyBorder="1"/>
    <xf numFmtId="39" fontId="7" fillId="0" borderId="0" xfId="0" quotePrefix="1" applyNumberFormat="1" applyFont="1" applyFill="1"/>
    <xf numFmtId="0" fontId="4" fillId="0" borderId="0" xfId="0" quotePrefix="1" applyFont="1" applyFill="1"/>
    <xf numFmtId="0" fontId="4" fillId="0" borderId="0" xfId="0" applyFont="1" applyFill="1" applyAlignment="1">
      <alignment horizontal="center"/>
    </xf>
    <xf numFmtId="9" fontId="8" fillId="0" borderId="0" xfId="3" quotePrefix="1" applyFont="1" applyFill="1"/>
    <xf numFmtId="9" fontId="7" fillId="0" borderId="0" xfId="3" quotePrefix="1" applyFont="1" applyFill="1"/>
    <xf numFmtId="9" fontId="0" fillId="0" borderId="0" xfId="0" applyNumberFormat="1" applyFill="1"/>
    <xf numFmtId="17" fontId="6" fillId="0" borderId="0" xfId="0" applyNumberFormat="1" applyFont="1" applyFill="1"/>
    <xf numFmtId="165" fontId="0" fillId="0" borderId="0" xfId="0" applyNumberFormat="1" applyFill="1"/>
    <xf numFmtId="177" fontId="0" fillId="0" borderId="0" xfId="1" applyNumberFormat="1" applyFont="1" applyFill="1"/>
    <xf numFmtId="39" fontId="7" fillId="0" borderId="0" xfId="0" applyNumberFormat="1" applyFont="1" applyFill="1"/>
    <xf numFmtId="39" fontId="0" fillId="0" borderId="0" xfId="0" applyNumberFormat="1" applyFill="1"/>
    <xf numFmtId="2" fontId="0" fillId="0" borderId="0" xfId="0" applyNumberFormat="1" applyFill="1"/>
    <xf numFmtId="2" fontId="6" fillId="0" borderId="0" xfId="0" applyNumberFormat="1" applyFont="1" applyFill="1"/>
    <xf numFmtId="2" fontId="16" fillId="0" borderId="0" xfId="0" applyNumberFormat="1" applyFont="1" applyFill="1"/>
    <xf numFmtId="0" fontId="0" fillId="0" borderId="0" xfId="0" quotePrefix="1" applyFill="1"/>
    <xf numFmtId="44" fontId="1" fillId="0" borderId="0" xfId="2" applyFill="1"/>
    <xf numFmtId="44" fontId="1" fillId="0" borderId="0" xfId="2" quotePrefix="1" applyFont="1" applyFill="1"/>
    <xf numFmtId="44" fontId="0" fillId="0" borderId="0" xfId="0" applyNumberFormat="1" applyFill="1"/>
    <xf numFmtId="172" fontId="0" fillId="0" borderId="0" xfId="0" applyNumberFormat="1" applyFill="1"/>
    <xf numFmtId="171" fontId="0" fillId="0" borderId="0" xfId="0" applyNumberFormat="1" applyFill="1"/>
    <xf numFmtId="9" fontId="1" fillId="0" borderId="0" xfId="3" applyFill="1"/>
    <xf numFmtId="169" fontId="1" fillId="0" borderId="0" xfId="3" applyNumberFormat="1" applyFill="1"/>
    <xf numFmtId="181" fontId="0" fillId="0" borderId="0" xfId="0" applyNumberFormat="1" applyFill="1"/>
    <xf numFmtId="0" fontId="7" fillId="0" borderId="0" xfId="0" applyFont="1" applyFill="1" applyBorder="1"/>
    <xf numFmtId="178" fontId="0" fillId="0" borderId="0" xfId="0" applyNumberFormat="1" applyFill="1" applyBorder="1"/>
    <xf numFmtId="17" fontId="0" fillId="0" borderId="0" xfId="0" applyNumberFormat="1" applyFill="1" applyBorder="1" applyAlignment="1">
      <alignment horizontal="right"/>
    </xf>
    <xf numFmtId="17" fontId="4" fillId="0" borderId="0" xfId="0" applyNumberFormat="1" applyFont="1" applyFill="1"/>
    <xf numFmtId="10" fontId="13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3" fontId="0" fillId="0" borderId="0" xfId="0" quotePrefix="1" applyNumberFormat="1" applyFill="1"/>
    <xf numFmtId="17" fontId="0" fillId="0" borderId="0" xfId="0" applyNumberFormat="1" applyFill="1" applyAlignment="1">
      <alignment horizontal="center"/>
    </xf>
    <xf numFmtId="168" fontId="8" fillId="0" borderId="0" xfId="0" applyNumberFormat="1" applyFont="1" applyFill="1"/>
    <xf numFmtId="168" fontId="0" fillId="0" borderId="0" xfId="0" applyNumberFormat="1" applyFill="1"/>
    <xf numFmtId="176" fontId="6" fillId="0" borderId="0" xfId="0" applyNumberFormat="1" applyFont="1" applyFill="1" applyAlignment="1">
      <alignment horizontal="center"/>
    </xf>
    <xf numFmtId="168" fontId="7" fillId="0" borderId="0" xfId="0" applyNumberFormat="1" applyFont="1" applyFill="1"/>
    <xf numFmtId="0" fontId="0" fillId="0" borderId="0" xfId="0" quotePrefix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7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44" fontId="7" fillId="0" borderId="0" xfId="2" applyNumberFormat="1" applyFont="1" applyFill="1"/>
    <xf numFmtId="174" fontId="0" fillId="0" borderId="0" xfId="0" applyNumberFormat="1" applyFill="1"/>
    <xf numFmtId="0" fontId="14" fillId="0" borderId="0" xfId="0" applyFont="1" applyFill="1" applyBorder="1"/>
    <xf numFmtId="180" fontId="15" fillId="0" borderId="0" xfId="1" applyNumberFormat="1" applyFont="1" applyFill="1" applyBorder="1" applyAlignment="1">
      <alignment horizontal="center"/>
    </xf>
    <xf numFmtId="176" fontId="0" fillId="0" borderId="0" xfId="0" applyNumberFormat="1" applyFill="1" applyBorder="1"/>
    <xf numFmtId="43" fontId="0" fillId="0" borderId="0" xfId="0" applyNumberFormat="1" applyFill="1" applyBorder="1"/>
    <xf numFmtId="178" fontId="0" fillId="0" borderId="0" xfId="0" applyNumberFormat="1" applyFill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 wrapText="1"/>
    </xf>
    <xf numFmtId="10" fontId="1" fillId="0" borderId="0" xfId="3" applyNumberFormat="1" applyFill="1"/>
    <xf numFmtId="9" fontId="1" fillId="0" borderId="0" xfId="3" applyFont="1" applyFill="1"/>
    <xf numFmtId="166" fontId="7" fillId="0" borderId="0" xfId="0" applyNumberFormat="1" applyFont="1" applyFill="1"/>
    <xf numFmtId="44" fontId="1" fillId="0" borderId="0" xfId="2" applyNumberFormat="1" applyFill="1"/>
    <xf numFmtId="172" fontId="7" fillId="0" borderId="0" xfId="2" applyNumberFormat="1" applyFont="1" applyFill="1"/>
    <xf numFmtId="44" fontId="6" fillId="0" borderId="0" xfId="2" quotePrefix="1" applyNumberFormat="1" applyFont="1" applyFill="1"/>
    <xf numFmtId="0" fontId="5" fillId="0" borderId="0" xfId="0" applyFont="1" applyFill="1"/>
    <xf numFmtId="166" fontId="5" fillId="0" borderId="0" xfId="0" applyNumberFormat="1" applyFont="1" applyFill="1"/>
    <xf numFmtId="0" fontId="0" fillId="0" borderId="1" xfId="0" applyFill="1" applyBorder="1"/>
    <xf numFmtId="0" fontId="9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8" xfId="0" applyFill="1" applyBorder="1"/>
    <xf numFmtId="169" fontId="7" fillId="0" borderId="0" xfId="2" quotePrefix="1" applyNumberFormat="1" applyFont="1" applyFill="1"/>
    <xf numFmtId="169" fontId="7" fillId="0" borderId="0" xfId="2" applyNumberFormat="1" applyFont="1" applyFill="1"/>
    <xf numFmtId="44" fontId="7" fillId="0" borderId="0" xfId="2" quotePrefix="1" applyNumberFormat="1" applyFont="1" applyFill="1"/>
    <xf numFmtId="169" fontId="0" fillId="0" borderId="2" xfId="0" applyNumberFormat="1" applyFill="1" applyBorder="1"/>
    <xf numFmtId="10" fontId="7" fillId="0" borderId="0" xfId="0" applyNumberFormat="1" applyFont="1" applyFill="1"/>
    <xf numFmtId="2" fontId="6" fillId="0" borderId="0" xfId="0" applyNumberFormat="1" applyFont="1" applyFill="1" applyBorder="1"/>
    <xf numFmtId="176" fontId="6" fillId="0" borderId="0" xfId="1" applyNumberFormat="1" applyFont="1" applyFill="1"/>
    <xf numFmtId="171" fontId="6" fillId="0" borderId="5" xfId="2" applyNumberFormat="1" applyFont="1" applyFill="1" applyBorder="1"/>
    <xf numFmtId="171" fontId="6" fillId="0" borderId="1" xfId="2" applyNumberFormat="1" applyFont="1" applyFill="1" applyBorder="1"/>
    <xf numFmtId="43" fontId="0" fillId="0" borderId="0" xfId="0" applyNumberFormat="1" applyFill="1"/>
    <xf numFmtId="170" fontId="0" fillId="0" borderId="0" xfId="0" applyNumberFormat="1" applyFill="1" applyBorder="1"/>
    <xf numFmtId="178" fontId="1" fillId="0" borderId="0" xfId="2" applyNumberFormat="1" applyFill="1" applyBorder="1"/>
    <xf numFmtId="167" fontId="0" fillId="0" borderId="0" xfId="3" applyNumberFormat="1" applyFont="1" applyFill="1"/>
    <xf numFmtId="174" fontId="1" fillId="0" borderId="0" xfId="1" quotePrefix="1" applyNumberFormat="1" applyFill="1" applyBorder="1" applyAlignment="1">
      <alignment horizontal="left"/>
    </xf>
    <xf numFmtId="168" fontId="13" fillId="0" borderId="0" xfId="0" applyNumberFormat="1" applyFont="1" applyFill="1"/>
    <xf numFmtId="174" fontId="0" fillId="0" borderId="2" xfId="1" applyNumberFormat="1" applyFont="1" applyFill="1" applyBorder="1"/>
    <xf numFmtId="165" fontId="0" fillId="0" borderId="0" xfId="0" applyNumberFormat="1" applyFill="1" applyBorder="1"/>
    <xf numFmtId="167" fontId="0" fillId="0" borderId="0" xfId="0" applyNumberFormat="1" applyFill="1"/>
    <xf numFmtId="165" fontId="1" fillId="0" borderId="0" xfId="0" applyNumberFormat="1" applyFont="1" applyFill="1"/>
    <xf numFmtId="164" fontId="8" fillId="0" borderId="0" xfId="0" applyNumberFormat="1" applyFont="1" applyFill="1"/>
    <xf numFmtId="164" fontId="8" fillId="0" borderId="9" xfId="0" applyNumberFormat="1" applyFont="1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182" fontId="1" fillId="0" borderId="0" xfId="2" applyNumberFormat="1" applyFont="1" applyFill="1" applyAlignment="1">
      <alignment horizontal="center" wrapText="1"/>
    </xf>
    <xf numFmtId="7" fontId="8" fillId="0" borderId="0" xfId="2" applyNumberFormat="1" applyFont="1" applyFill="1"/>
    <xf numFmtId="0" fontId="1" fillId="0" borderId="0" xfId="0" quotePrefix="1" applyFont="1" applyFill="1"/>
    <xf numFmtId="171" fontId="6" fillId="0" borderId="8" xfId="2" applyNumberFormat="1" applyFont="1" applyFill="1" applyBorder="1"/>
    <xf numFmtId="164" fontId="6" fillId="0" borderId="0" xfId="0" applyNumberFormat="1" applyFont="1" applyFill="1"/>
    <xf numFmtId="169" fontId="1" fillId="0" borderId="2" xfId="2" applyNumberFormat="1" applyFill="1" applyBorder="1"/>
    <xf numFmtId="44" fontId="1" fillId="0" borderId="0" xfId="2" applyFont="1" applyFill="1"/>
    <xf numFmtId="0" fontId="1" fillId="0" borderId="0" xfId="0" applyFont="1" applyFill="1" applyAlignment="1">
      <alignment horizontal="right"/>
    </xf>
    <xf numFmtId="167" fontId="1" fillId="0" borderId="0" xfId="0" applyNumberFormat="1" applyFont="1" applyFill="1"/>
    <xf numFmtId="170" fontId="0" fillId="0" borderId="0" xfId="0" applyNumberFormat="1" applyFill="1"/>
    <xf numFmtId="44" fontId="6" fillId="0" borderId="0" xfId="0" applyNumberFormat="1" applyFont="1" applyFill="1" applyAlignment="1">
      <alignment horizontal="center"/>
    </xf>
    <xf numFmtId="174" fontId="17" fillId="0" borderId="0" xfId="1" quotePrefix="1" applyNumberFormat="1" applyFont="1" applyFill="1" applyBorder="1" applyAlignment="1">
      <alignment horizontal="left"/>
    </xf>
    <xf numFmtId="174" fontId="17" fillId="0" borderId="2" xfId="1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7" fontId="0" fillId="0" borderId="0" xfId="0" applyNumberFormat="1" applyFill="1"/>
    <xf numFmtId="44" fontId="8" fillId="0" borderId="2" xfId="2" applyFont="1" applyFill="1" applyBorder="1"/>
    <xf numFmtId="4" fontId="1" fillId="0" borderId="0" xfId="0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60"/>
  <sheetViews>
    <sheetView topLeftCell="A236" zoomScale="80" zoomScaleNormal="80" workbookViewId="0">
      <selection activeCell="M288" sqref="M288"/>
    </sheetView>
  </sheetViews>
  <sheetFormatPr defaultRowHeight="12.75" x14ac:dyDescent="0.2"/>
  <cols>
    <col min="1" max="1" width="16.42578125" style="27" bestFit="1" customWidth="1"/>
    <col min="2" max="2" width="42.28515625" style="5" customWidth="1"/>
    <col min="3" max="3" width="14.28515625" style="5" customWidth="1"/>
    <col min="4" max="4" width="16.42578125" style="5" customWidth="1"/>
    <col min="5" max="5" width="14.85546875" style="5" customWidth="1"/>
    <col min="6" max="6" width="12.5703125" style="5" customWidth="1"/>
    <col min="7" max="7" width="12.85546875" style="5" customWidth="1"/>
    <col min="8" max="8" width="13.7109375" style="5" customWidth="1"/>
    <col min="9" max="9" width="17.42578125" style="5" customWidth="1"/>
    <col min="10" max="10" width="15.85546875" style="5" customWidth="1"/>
    <col min="11" max="11" width="10.7109375" style="5" customWidth="1"/>
    <col min="12" max="12" width="10.7109375" style="5" bestFit="1" customWidth="1"/>
    <col min="13" max="13" width="14.7109375" style="5" customWidth="1"/>
    <col min="14" max="14" width="14.42578125" style="5" bestFit="1" customWidth="1"/>
    <col min="15" max="15" width="12.5703125" style="5" bestFit="1" customWidth="1"/>
    <col min="16" max="16" width="20.7109375" style="5" customWidth="1"/>
    <col min="17" max="17" width="23.85546875" style="5" bestFit="1" customWidth="1"/>
    <col min="18" max="18" width="18.42578125" style="5" bestFit="1" customWidth="1"/>
    <col min="19" max="19" width="25" style="5" bestFit="1" customWidth="1"/>
    <col min="20" max="20" width="25.28515625" style="5" bestFit="1" customWidth="1"/>
    <col min="21" max="21" width="10.140625" style="5" bestFit="1" customWidth="1"/>
    <col min="22" max="22" width="9.140625" style="5"/>
    <col min="23" max="23" width="10.140625" style="5" bestFit="1" customWidth="1"/>
    <col min="24" max="24" width="10.28515625" style="5" customWidth="1"/>
    <col min="25" max="25" width="11.85546875" style="5" customWidth="1"/>
    <col min="26" max="27" width="9.140625" style="5"/>
    <col min="28" max="28" width="14.140625" style="5" customWidth="1"/>
    <col min="29" max="16384" width="9.140625" style="5"/>
  </cols>
  <sheetData>
    <row r="2" spans="1:22" ht="15.75" x14ac:dyDescent="0.25">
      <c r="B2" s="88"/>
    </row>
    <row r="3" spans="1:22" x14ac:dyDescent="0.2">
      <c r="A3" s="89"/>
    </row>
    <row r="4" spans="1:22" x14ac:dyDescent="0.2">
      <c r="F4" s="33"/>
    </row>
    <row r="5" spans="1:22" x14ac:dyDescent="0.2">
      <c r="A5" s="32" t="s">
        <v>0</v>
      </c>
      <c r="B5" s="90" t="s">
        <v>1</v>
      </c>
      <c r="C5" s="91"/>
      <c r="D5" s="91"/>
      <c r="F5" s="4" t="s">
        <v>2</v>
      </c>
      <c r="N5" s="90"/>
      <c r="O5" s="90" t="s">
        <v>3</v>
      </c>
      <c r="P5" s="90"/>
      <c r="Q5" s="12"/>
      <c r="R5" s="12"/>
      <c r="S5" s="12"/>
      <c r="T5" s="12"/>
      <c r="U5" s="12"/>
      <c r="V5" s="12"/>
    </row>
    <row r="6" spans="1:22" x14ac:dyDescent="0.2">
      <c r="A6" s="32"/>
      <c r="B6" s="92" t="s">
        <v>4</v>
      </c>
      <c r="C6" s="91"/>
      <c r="D6" s="91"/>
      <c r="F6" s="4"/>
      <c r="N6" s="90"/>
      <c r="O6" s="90"/>
      <c r="P6" s="90"/>
      <c r="Q6" s="12"/>
      <c r="R6" s="12"/>
      <c r="S6" s="12"/>
      <c r="T6" s="12"/>
      <c r="U6" s="12"/>
      <c r="V6" s="12"/>
    </row>
    <row r="7" spans="1:22" x14ac:dyDescent="0.2">
      <c r="A7" s="33"/>
      <c r="C7" s="50" t="s">
        <v>5</v>
      </c>
      <c r="D7" s="50" t="s">
        <v>139</v>
      </c>
      <c r="E7" s="50" t="s">
        <v>6</v>
      </c>
      <c r="F7" s="50" t="s">
        <v>7</v>
      </c>
      <c r="G7" s="50" t="s">
        <v>8</v>
      </c>
      <c r="H7" s="50" t="s">
        <v>9</v>
      </c>
      <c r="I7" s="50" t="s">
        <v>10</v>
      </c>
      <c r="J7" s="50" t="s">
        <v>11</v>
      </c>
      <c r="L7" s="28"/>
      <c r="N7" s="93"/>
      <c r="O7" s="28" t="s">
        <v>5</v>
      </c>
      <c r="P7" s="28" t="s">
        <v>139</v>
      </c>
      <c r="Q7" s="28" t="s">
        <v>6</v>
      </c>
      <c r="R7" s="28" t="s">
        <v>7</v>
      </c>
      <c r="S7" s="28" t="s">
        <v>8</v>
      </c>
      <c r="T7" s="28" t="s">
        <v>9</v>
      </c>
      <c r="U7" s="28" t="s">
        <v>10</v>
      </c>
      <c r="V7" s="28" t="s">
        <v>11</v>
      </c>
    </row>
    <row r="8" spans="1:22" x14ac:dyDescent="0.2">
      <c r="A8" s="33"/>
      <c r="O8" s="12"/>
      <c r="P8" s="12"/>
      <c r="Q8" s="12"/>
      <c r="R8" s="12"/>
      <c r="S8" s="12"/>
      <c r="T8" s="12"/>
      <c r="U8" s="12"/>
      <c r="V8" s="12"/>
    </row>
    <row r="9" spans="1:22" x14ac:dyDescent="0.2">
      <c r="A9" s="33"/>
      <c r="B9" s="34" t="s">
        <v>12</v>
      </c>
      <c r="C9" s="77">
        <v>0.48214246315452103</v>
      </c>
      <c r="D9" s="77">
        <v>0.48266937295168344</v>
      </c>
      <c r="E9" s="77">
        <v>0.50430868144660856</v>
      </c>
      <c r="F9" s="77">
        <v>0.51378595379526892</v>
      </c>
      <c r="G9" s="77">
        <v>0.53578009612728883</v>
      </c>
      <c r="H9" s="77">
        <v>0.5008323460773727</v>
      </c>
      <c r="I9" s="77">
        <v>0.34419148003080324</v>
      </c>
      <c r="J9" s="77">
        <v>0.47719843558132885</v>
      </c>
      <c r="L9" s="94"/>
      <c r="N9" s="94"/>
      <c r="O9" s="95">
        <f t="shared" ref="O9:O20" si="0">1-C9</f>
        <v>0.51785753684547897</v>
      </c>
      <c r="P9" s="95">
        <f t="shared" ref="P9:P20" si="1">1-D9</f>
        <v>0.51733062704831656</v>
      </c>
      <c r="Q9" s="95">
        <f t="shared" ref="Q9:Q20" si="2">1-E9</f>
        <v>0.49569131855339144</v>
      </c>
      <c r="R9" s="95">
        <f t="shared" ref="R9:R20" si="3">1-F9</f>
        <v>0.48621404620473108</v>
      </c>
      <c r="S9" s="95">
        <f t="shared" ref="S9:S20" si="4">1-G9</f>
        <v>0.46421990387271117</v>
      </c>
      <c r="T9" s="95">
        <f t="shared" ref="T9:T20" si="5">1-H9</f>
        <v>0.4991676539226273</v>
      </c>
      <c r="U9" s="95">
        <f>1-I9</f>
        <v>0.65580851996919676</v>
      </c>
      <c r="V9" s="95">
        <f t="shared" ref="V9:V20" si="6">1-J9</f>
        <v>0.52280156441867121</v>
      </c>
    </row>
    <row r="10" spans="1:22" x14ac:dyDescent="0.2">
      <c r="A10" s="33"/>
      <c r="B10" s="34" t="s">
        <v>13</v>
      </c>
      <c r="C10" s="77">
        <v>0.50055687858121323</v>
      </c>
      <c r="D10" s="77">
        <v>0.50119219073896315</v>
      </c>
      <c r="E10" s="77">
        <v>0.50866795574047663</v>
      </c>
      <c r="F10" s="77">
        <v>0.49918523584465246</v>
      </c>
      <c r="G10" s="77">
        <v>0.51758478731472002</v>
      </c>
      <c r="H10" s="77">
        <v>0.50392755628278885</v>
      </c>
      <c r="I10" s="77">
        <v>0.32441506074639603</v>
      </c>
      <c r="J10" s="77">
        <v>0.47580085842577807</v>
      </c>
      <c r="L10" s="94"/>
      <c r="N10" s="94"/>
      <c r="O10" s="95">
        <f t="shared" si="0"/>
        <v>0.49944312141878677</v>
      </c>
      <c r="P10" s="95">
        <f t="shared" si="1"/>
        <v>0.49880780926103685</v>
      </c>
      <c r="Q10" s="95">
        <f t="shared" si="2"/>
        <v>0.49133204425952337</v>
      </c>
      <c r="R10" s="95">
        <f t="shared" si="3"/>
        <v>0.50081476415534754</v>
      </c>
      <c r="S10" s="95">
        <f t="shared" si="4"/>
        <v>0.48241521268527998</v>
      </c>
      <c r="T10" s="95">
        <f t="shared" si="5"/>
        <v>0.49607244371721115</v>
      </c>
      <c r="U10" s="95">
        <f t="shared" ref="U10:U20" si="7">1-I10</f>
        <v>0.67558493925360397</v>
      </c>
      <c r="V10" s="95">
        <f t="shared" si="6"/>
        <v>0.52419914157422198</v>
      </c>
    </row>
    <row r="11" spans="1:22" x14ac:dyDescent="0.2">
      <c r="A11" s="33"/>
      <c r="B11" s="34" t="s">
        <v>14</v>
      </c>
      <c r="C11" s="77">
        <v>0.50092766551759449</v>
      </c>
      <c r="D11" s="77">
        <v>0.50075519508086452</v>
      </c>
      <c r="E11" s="77">
        <v>0.53373942212930003</v>
      </c>
      <c r="F11" s="77">
        <v>0.49247428180263236</v>
      </c>
      <c r="G11" s="77">
        <v>0.53554446556466873</v>
      </c>
      <c r="H11" s="77">
        <v>0.5008422707961363</v>
      </c>
      <c r="I11" s="77">
        <v>0.28432054432341686</v>
      </c>
      <c r="J11" s="77">
        <v>0.47352934651578271</v>
      </c>
      <c r="L11" s="94"/>
      <c r="N11" s="94"/>
      <c r="O11" s="95">
        <f t="shared" si="0"/>
        <v>0.49907233448240551</v>
      </c>
      <c r="P11" s="95">
        <f t="shared" si="1"/>
        <v>0.49924480491913548</v>
      </c>
      <c r="Q11" s="95">
        <f t="shared" si="2"/>
        <v>0.46626057787069997</v>
      </c>
      <c r="R11" s="95">
        <f t="shared" si="3"/>
        <v>0.50752571819736758</v>
      </c>
      <c r="S11" s="95">
        <f t="shared" si="4"/>
        <v>0.46445553443533127</v>
      </c>
      <c r="T11" s="95">
        <f t="shared" si="5"/>
        <v>0.4991577292038637</v>
      </c>
      <c r="U11" s="95">
        <f t="shared" si="7"/>
        <v>0.71567945567658309</v>
      </c>
      <c r="V11" s="95">
        <f t="shared" si="6"/>
        <v>0.52647065348421729</v>
      </c>
    </row>
    <row r="12" spans="1:22" x14ac:dyDescent="0.2">
      <c r="A12" s="33"/>
      <c r="B12" s="34" t="s">
        <v>15</v>
      </c>
      <c r="C12" s="77">
        <v>0.51074497234733263</v>
      </c>
      <c r="D12" s="77">
        <v>0.5128000109920271</v>
      </c>
      <c r="E12" s="77">
        <v>0.53230056939238524</v>
      </c>
      <c r="F12" s="77">
        <v>0.48415507532480018</v>
      </c>
      <c r="G12" s="77">
        <v>0.55351196619790044</v>
      </c>
      <c r="H12" s="77">
        <v>0.52099000216111691</v>
      </c>
      <c r="I12" s="77">
        <v>0.24286329147382654</v>
      </c>
      <c r="J12" s="77">
        <v>0.48864990507593942</v>
      </c>
      <c r="L12" s="94"/>
      <c r="N12" s="94"/>
      <c r="O12" s="95">
        <f t="shared" si="0"/>
        <v>0.48925502765266737</v>
      </c>
      <c r="P12" s="95">
        <f t="shared" si="1"/>
        <v>0.4871999890079729</v>
      </c>
      <c r="Q12" s="95">
        <f t="shared" si="2"/>
        <v>0.46769943060761476</v>
      </c>
      <c r="R12" s="95">
        <f t="shared" si="3"/>
        <v>0.51584492467519982</v>
      </c>
      <c r="S12" s="95">
        <f t="shared" si="4"/>
        <v>0.44648803380209956</v>
      </c>
      <c r="T12" s="95">
        <f t="shared" si="5"/>
        <v>0.47900999783888309</v>
      </c>
      <c r="U12" s="95">
        <f t="shared" si="7"/>
        <v>0.75713670852617343</v>
      </c>
      <c r="V12" s="95">
        <f t="shared" si="6"/>
        <v>0.51135009492406058</v>
      </c>
    </row>
    <row r="13" spans="1:22" x14ac:dyDescent="0.2">
      <c r="A13" s="33"/>
      <c r="B13" s="34" t="s">
        <v>16</v>
      </c>
      <c r="C13" s="77">
        <v>0.51773364652442788</v>
      </c>
      <c r="D13" s="77">
        <v>0.52104339915994491</v>
      </c>
      <c r="E13" s="77">
        <v>0.54541524767708605</v>
      </c>
      <c r="F13" s="77">
        <v>0.50460496283445311</v>
      </c>
      <c r="G13" s="77">
        <v>0.58154298806431792</v>
      </c>
      <c r="H13" s="77">
        <v>0.53340373587330692</v>
      </c>
      <c r="I13" s="77">
        <v>0.21398926196037066</v>
      </c>
      <c r="J13" s="77">
        <v>0.49685785252772668</v>
      </c>
      <c r="L13" s="94"/>
      <c r="N13" s="94"/>
      <c r="O13" s="95">
        <f t="shared" si="0"/>
        <v>0.48226635347557212</v>
      </c>
      <c r="P13" s="95">
        <f t="shared" si="1"/>
        <v>0.47895660084005509</v>
      </c>
      <c r="Q13" s="95">
        <f t="shared" si="2"/>
        <v>0.45458475232291395</v>
      </c>
      <c r="R13" s="95">
        <f t="shared" si="3"/>
        <v>0.49539503716554689</v>
      </c>
      <c r="S13" s="95">
        <f t="shared" si="4"/>
        <v>0.41845701193568208</v>
      </c>
      <c r="T13" s="95">
        <f t="shared" si="5"/>
        <v>0.46659626412669308</v>
      </c>
      <c r="U13" s="95">
        <f t="shared" si="7"/>
        <v>0.78601073803962929</v>
      </c>
      <c r="V13" s="95">
        <f t="shared" si="6"/>
        <v>0.50314214747227326</v>
      </c>
    </row>
    <row r="14" spans="1:22" x14ac:dyDescent="0.2">
      <c r="A14" s="33"/>
      <c r="B14" s="34" t="s">
        <v>17</v>
      </c>
      <c r="C14" s="77">
        <v>0.52516857773690662</v>
      </c>
      <c r="D14" s="77">
        <v>0.52465042834103981</v>
      </c>
      <c r="E14" s="77">
        <v>0.5636080724530631</v>
      </c>
      <c r="F14" s="77">
        <v>0.50461098383238434</v>
      </c>
      <c r="G14" s="77">
        <v>0.5626834838527438</v>
      </c>
      <c r="H14" s="77">
        <v>0.51858667791424173</v>
      </c>
      <c r="I14" s="77">
        <v>0.19063507543877314</v>
      </c>
      <c r="J14" s="77">
        <v>0.48582916455251568</v>
      </c>
      <c r="L14" s="94"/>
      <c r="N14" s="94"/>
      <c r="O14" s="95">
        <f t="shared" si="0"/>
        <v>0.47483142226309338</v>
      </c>
      <c r="P14" s="95">
        <f t="shared" si="1"/>
        <v>0.47534957165896019</v>
      </c>
      <c r="Q14" s="95">
        <f t="shared" si="2"/>
        <v>0.4363919275469369</v>
      </c>
      <c r="R14" s="95">
        <f t="shared" si="3"/>
        <v>0.49538901616761566</v>
      </c>
      <c r="S14" s="95">
        <f t="shared" si="4"/>
        <v>0.4373165161472562</v>
      </c>
      <c r="T14" s="95">
        <f t="shared" si="5"/>
        <v>0.48141332208575827</v>
      </c>
      <c r="U14" s="95">
        <f t="shared" si="7"/>
        <v>0.80936492456122688</v>
      </c>
      <c r="V14" s="95">
        <f t="shared" si="6"/>
        <v>0.51417083544748432</v>
      </c>
    </row>
    <row r="15" spans="1:22" x14ac:dyDescent="0.2">
      <c r="A15" s="33"/>
      <c r="B15" s="34" t="s">
        <v>18</v>
      </c>
      <c r="C15" s="77">
        <v>0.54215389426909322</v>
      </c>
      <c r="D15" s="77">
        <v>0.54190432671370459</v>
      </c>
      <c r="E15" s="77">
        <v>0.55154707439173223</v>
      </c>
      <c r="F15" s="77">
        <v>0.49542178648132157</v>
      </c>
      <c r="G15" s="77">
        <v>0.54689895399024002</v>
      </c>
      <c r="H15" s="77">
        <v>0.50734994723795401</v>
      </c>
      <c r="I15" s="77">
        <v>0.1809286140185847</v>
      </c>
      <c r="J15" s="77">
        <v>0.46911227121069882</v>
      </c>
      <c r="L15" s="94"/>
      <c r="N15" s="94"/>
      <c r="O15" s="95">
        <f t="shared" si="0"/>
        <v>0.45784610573090678</v>
      </c>
      <c r="P15" s="95">
        <f t="shared" si="1"/>
        <v>0.45809567328629541</v>
      </c>
      <c r="Q15" s="95">
        <f t="shared" si="2"/>
        <v>0.44845292560826777</v>
      </c>
      <c r="R15" s="95">
        <f t="shared" si="3"/>
        <v>0.50457821351867849</v>
      </c>
      <c r="S15" s="95">
        <f t="shared" si="4"/>
        <v>0.45310104600975998</v>
      </c>
      <c r="T15" s="95">
        <f t="shared" si="5"/>
        <v>0.49265005276204599</v>
      </c>
      <c r="U15" s="95">
        <f t="shared" si="7"/>
        <v>0.81907138598141527</v>
      </c>
      <c r="V15" s="95">
        <f t="shared" si="6"/>
        <v>0.53088772878930124</v>
      </c>
    </row>
    <row r="16" spans="1:22" x14ac:dyDescent="0.2">
      <c r="A16" s="33"/>
      <c r="B16" s="34" t="s">
        <v>19</v>
      </c>
      <c r="C16" s="77">
        <v>0.5938475974845866</v>
      </c>
      <c r="D16" s="77">
        <v>0.59457374033844224</v>
      </c>
      <c r="E16" s="77">
        <v>0.61271897419913368</v>
      </c>
      <c r="F16" s="77">
        <v>0.52888070959566547</v>
      </c>
      <c r="G16" s="77">
        <v>0.58462366144931688</v>
      </c>
      <c r="H16" s="77">
        <v>0.54913731491113971</v>
      </c>
      <c r="I16" s="77">
        <v>0.23944749839493551</v>
      </c>
      <c r="J16" s="77">
        <v>0.51512102033214779</v>
      </c>
      <c r="L16" s="94"/>
      <c r="N16" s="94"/>
      <c r="O16" s="95">
        <f t="shared" si="0"/>
        <v>0.4061524025154134</v>
      </c>
      <c r="P16" s="95">
        <f t="shared" si="1"/>
        <v>0.40542625966155776</v>
      </c>
      <c r="Q16" s="95">
        <f t="shared" si="2"/>
        <v>0.38728102580086632</v>
      </c>
      <c r="R16" s="95">
        <f t="shared" si="3"/>
        <v>0.47111929040433453</v>
      </c>
      <c r="S16" s="95">
        <f t="shared" si="4"/>
        <v>0.41537633855068312</v>
      </c>
      <c r="T16" s="95">
        <f t="shared" si="5"/>
        <v>0.45086268508886029</v>
      </c>
      <c r="U16" s="95">
        <f t="shared" si="7"/>
        <v>0.76055250160506449</v>
      </c>
      <c r="V16" s="95">
        <f t="shared" si="6"/>
        <v>0.48487897966785221</v>
      </c>
    </row>
    <row r="17" spans="1:22" x14ac:dyDescent="0.2">
      <c r="A17" s="33"/>
      <c r="B17" s="34" t="s">
        <v>20</v>
      </c>
      <c r="C17" s="77">
        <v>0.49422973942665654</v>
      </c>
      <c r="D17" s="77">
        <v>0.49532398032891622</v>
      </c>
      <c r="E17" s="77">
        <v>0.52543055156512719</v>
      </c>
      <c r="F17" s="77">
        <v>0.45148713608016555</v>
      </c>
      <c r="G17" s="77">
        <v>0.53452060402503676</v>
      </c>
      <c r="H17" s="77">
        <v>0.49603938402846159</v>
      </c>
      <c r="I17" s="77">
        <v>0.25343573154141996</v>
      </c>
      <c r="J17" s="77">
        <v>0.4482462532664574</v>
      </c>
      <c r="L17" s="94"/>
      <c r="N17" s="94"/>
      <c r="O17" s="95">
        <f t="shared" si="0"/>
        <v>0.5057702605733434</v>
      </c>
      <c r="P17" s="95">
        <f t="shared" si="1"/>
        <v>0.50467601967108378</v>
      </c>
      <c r="Q17" s="95">
        <f t="shared" si="2"/>
        <v>0.47456944843487281</v>
      </c>
      <c r="R17" s="95">
        <f t="shared" si="3"/>
        <v>0.54851286391983445</v>
      </c>
      <c r="S17" s="95">
        <f t="shared" si="4"/>
        <v>0.46547939597496324</v>
      </c>
      <c r="T17" s="95">
        <f t="shared" si="5"/>
        <v>0.50396061597153841</v>
      </c>
      <c r="U17" s="95">
        <f t="shared" si="7"/>
        <v>0.74656426845858004</v>
      </c>
      <c r="V17" s="95">
        <f t="shared" si="6"/>
        <v>0.5517537467335426</v>
      </c>
    </row>
    <row r="18" spans="1:22" x14ac:dyDescent="0.2">
      <c r="A18" s="33"/>
      <c r="B18" s="34" t="s">
        <v>21</v>
      </c>
      <c r="C18" s="77">
        <v>0.51102664149619181</v>
      </c>
      <c r="D18" s="77">
        <v>0.50854940377971725</v>
      </c>
      <c r="E18" s="77">
        <v>0.58518004855874006</v>
      </c>
      <c r="F18" s="77">
        <v>0.49700309375221241</v>
      </c>
      <c r="G18" s="77">
        <v>0.58069111968316611</v>
      </c>
      <c r="H18" s="77">
        <v>0.53918511558735693</v>
      </c>
      <c r="I18" s="77">
        <v>0.33480369790947612</v>
      </c>
      <c r="J18" s="77">
        <v>0.50450392049508352</v>
      </c>
      <c r="L18" s="94"/>
      <c r="N18" s="94"/>
      <c r="O18" s="95">
        <f t="shared" si="0"/>
        <v>0.48897335850380819</v>
      </c>
      <c r="P18" s="95">
        <f>1-D18</f>
        <v>0.49145059622028275</v>
      </c>
      <c r="Q18" s="95">
        <f t="shared" si="2"/>
        <v>0.41481995144125994</v>
      </c>
      <c r="R18" s="95">
        <f t="shared" si="3"/>
        <v>0.50299690624778759</v>
      </c>
      <c r="S18" s="95">
        <f t="shared" si="4"/>
        <v>0.41930888031683389</v>
      </c>
      <c r="T18" s="95">
        <f t="shared" si="5"/>
        <v>0.46081488441264307</v>
      </c>
      <c r="U18" s="95">
        <f t="shared" si="7"/>
        <v>0.66519630209052383</v>
      </c>
      <c r="V18" s="95">
        <f t="shared" si="6"/>
        <v>0.49549607950491648</v>
      </c>
    </row>
    <row r="19" spans="1:22" x14ac:dyDescent="0.2">
      <c r="A19" s="33"/>
      <c r="B19" s="34" t="s">
        <v>22</v>
      </c>
      <c r="C19" s="77">
        <v>0.51353936852020632</v>
      </c>
      <c r="D19" s="77">
        <v>0.51206450747401844</v>
      </c>
      <c r="E19" s="77">
        <v>0.5692412660377677</v>
      </c>
      <c r="F19" s="77">
        <v>0.52859807773947376</v>
      </c>
      <c r="G19" s="77">
        <v>0.56230798941242965</v>
      </c>
      <c r="H19" s="77">
        <v>0.53131354339744286</v>
      </c>
      <c r="I19" s="77">
        <v>0.34801381338558385</v>
      </c>
      <c r="J19" s="77">
        <v>0.49429041810752367</v>
      </c>
      <c r="L19" s="94"/>
      <c r="N19" s="94"/>
      <c r="O19" s="95">
        <f t="shared" si="0"/>
        <v>0.48646063147979368</v>
      </c>
      <c r="P19" s="95">
        <f t="shared" si="1"/>
        <v>0.48793549252598156</v>
      </c>
      <c r="Q19" s="95">
        <f t="shared" si="2"/>
        <v>0.4307587339622323</v>
      </c>
      <c r="R19" s="95">
        <f t="shared" si="3"/>
        <v>0.47140192226052624</v>
      </c>
      <c r="S19" s="95">
        <f t="shared" si="4"/>
        <v>0.43769201058757035</v>
      </c>
      <c r="T19" s="95">
        <f t="shared" si="5"/>
        <v>0.46868645660255714</v>
      </c>
      <c r="U19" s="95">
        <f t="shared" si="7"/>
        <v>0.6519861866144161</v>
      </c>
      <c r="V19" s="95">
        <f t="shared" si="6"/>
        <v>0.50570958189247639</v>
      </c>
    </row>
    <row r="20" spans="1:22" x14ac:dyDescent="0.2">
      <c r="A20" s="33"/>
      <c r="B20" s="34" t="s">
        <v>23</v>
      </c>
      <c r="C20" s="77">
        <v>0.44730355633482788</v>
      </c>
      <c r="D20" s="77">
        <v>0.44589029435371691</v>
      </c>
      <c r="E20" s="77">
        <v>0.49305012717593555</v>
      </c>
      <c r="F20" s="77">
        <v>0.47027673885613269</v>
      </c>
      <c r="G20" s="77">
        <v>0.494045910020459</v>
      </c>
      <c r="H20" s="77">
        <v>0.46230282382785437</v>
      </c>
      <c r="I20" s="77">
        <v>0.31998897500066803</v>
      </c>
      <c r="J20" s="77">
        <v>0.4308193428569736</v>
      </c>
      <c r="L20" s="94"/>
      <c r="N20" s="94"/>
      <c r="O20" s="95">
        <f t="shared" si="0"/>
        <v>0.55269644366517212</v>
      </c>
      <c r="P20" s="95">
        <f t="shared" si="1"/>
        <v>0.55410970564628315</v>
      </c>
      <c r="Q20" s="95">
        <f t="shared" si="2"/>
        <v>0.50694987282406445</v>
      </c>
      <c r="R20" s="95">
        <f t="shared" si="3"/>
        <v>0.52972326114386736</v>
      </c>
      <c r="S20" s="95">
        <f t="shared" si="4"/>
        <v>0.50595408997954094</v>
      </c>
      <c r="T20" s="95">
        <f t="shared" si="5"/>
        <v>0.53769717617214563</v>
      </c>
      <c r="U20" s="95">
        <f t="shared" si="7"/>
        <v>0.68001102499933197</v>
      </c>
      <c r="V20" s="95">
        <f t="shared" si="6"/>
        <v>0.56918065714302646</v>
      </c>
    </row>
    <row r="21" spans="1:22" x14ac:dyDescent="0.2">
      <c r="A21" s="33"/>
      <c r="J21" s="96"/>
    </row>
    <row r="22" spans="1:22" x14ac:dyDescent="0.2">
      <c r="A22" s="33"/>
    </row>
    <row r="23" spans="1:22" x14ac:dyDescent="0.2">
      <c r="A23" s="32" t="s">
        <v>24</v>
      </c>
      <c r="B23" s="90" t="s">
        <v>140</v>
      </c>
    </row>
    <row r="24" spans="1:22" x14ac:dyDescent="0.2">
      <c r="A24" s="32"/>
      <c r="B24" s="90"/>
    </row>
    <row r="25" spans="1:22" x14ac:dyDescent="0.2">
      <c r="A25" s="33"/>
      <c r="D25" s="50" t="str">
        <f>D7</f>
        <v>RS TOU - BGS</v>
      </c>
      <c r="P25" s="28" t="s">
        <v>139</v>
      </c>
    </row>
    <row r="26" spans="1:22" x14ac:dyDescent="0.2">
      <c r="A26" s="33"/>
      <c r="D26" s="50"/>
      <c r="P26" s="12"/>
    </row>
    <row r="27" spans="1:22" x14ac:dyDescent="0.2">
      <c r="A27" s="33"/>
      <c r="B27" s="34" t="str">
        <f>B9</f>
        <v>January</v>
      </c>
      <c r="D27" s="77">
        <v>0.35558396603444975</v>
      </c>
      <c r="F27" s="77"/>
      <c r="P27" s="95">
        <f>1-D27</f>
        <v>0.64441603396555025</v>
      </c>
    </row>
    <row r="28" spans="1:22" x14ac:dyDescent="0.2">
      <c r="A28" s="33"/>
      <c r="B28" s="34" t="str">
        <f t="shared" ref="B28:B38" si="8">B10</f>
        <v>February</v>
      </c>
      <c r="D28" s="77">
        <v>0.36987716332445458</v>
      </c>
      <c r="F28" s="77"/>
      <c r="P28" s="95">
        <f t="shared" ref="P28:P38" si="9">1-D28</f>
        <v>0.63012283667554536</v>
      </c>
    </row>
    <row r="29" spans="1:22" x14ac:dyDescent="0.2">
      <c r="A29" s="33"/>
      <c r="B29" s="34" t="str">
        <f t="shared" si="8"/>
        <v>March</v>
      </c>
      <c r="D29" s="77">
        <v>0.36514523820461092</v>
      </c>
      <c r="F29" s="77"/>
      <c r="P29" s="95">
        <f t="shared" si="9"/>
        <v>0.63485476179538902</v>
      </c>
    </row>
    <row r="30" spans="1:22" x14ac:dyDescent="0.2">
      <c r="A30" s="33"/>
      <c r="B30" s="34" t="str">
        <f t="shared" si="8"/>
        <v>April</v>
      </c>
      <c r="D30" s="77">
        <v>0.3648792392922775</v>
      </c>
      <c r="F30" s="77"/>
      <c r="P30" s="95">
        <f t="shared" si="9"/>
        <v>0.6351207607077225</v>
      </c>
    </row>
    <row r="31" spans="1:22" x14ac:dyDescent="0.2">
      <c r="A31" s="33"/>
      <c r="B31" s="34" t="str">
        <f t="shared" si="8"/>
        <v>May</v>
      </c>
      <c r="D31" s="77">
        <v>0.37806382816914441</v>
      </c>
      <c r="F31" s="77"/>
      <c r="P31" s="95">
        <f t="shared" si="9"/>
        <v>0.62193617183085559</v>
      </c>
    </row>
    <row r="32" spans="1:22" x14ac:dyDescent="0.2">
      <c r="A32" s="33"/>
      <c r="B32" s="34" t="str">
        <f t="shared" si="8"/>
        <v>June</v>
      </c>
      <c r="D32" s="77">
        <v>0.3966500488613407</v>
      </c>
      <c r="F32" s="77"/>
      <c r="P32" s="95">
        <f t="shared" si="9"/>
        <v>0.6033499511386593</v>
      </c>
    </row>
    <row r="33" spans="1:25" x14ac:dyDescent="0.2">
      <c r="A33" s="33"/>
      <c r="B33" s="34" t="str">
        <f t="shared" si="8"/>
        <v>July</v>
      </c>
      <c r="D33" s="77">
        <v>0.42108457261432797</v>
      </c>
      <c r="F33" s="77"/>
      <c r="P33" s="95">
        <f t="shared" si="9"/>
        <v>0.57891542738567203</v>
      </c>
    </row>
    <row r="34" spans="1:25" x14ac:dyDescent="0.2">
      <c r="A34" s="33"/>
      <c r="B34" s="34" t="str">
        <f t="shared" si="8"/>
        <v>August</v>
      </c>
      <c r="D34" s="77">
        <v>0.46253113535915213</v>
      </c>
      <c r="F34" s="77"/>
      <c r="P34" s="95">
        <f t="shared" si="9"/>
        <v>0.53746886464084787</v>
      </c>
    </row>
    <row r="35" spans="1:25" x14ac:dyDescent="0.2">
      <c r="A35" s="33"/>
      <c r="B35" s="34" t="str">
        <f t="shared" si="8"/>
        <v>September</v>
      </c>
      <c r="D35" s="77">
        <v>0.37505163213932885</v>
      </c>
      <c r="F35" s="77"/>
      <c r="P35" s="95">
        <f t="shared" si="9"/>
        <v>0.62494836786067109</v>
      </c>
    </row>
    <row r="36" spans="1:25" x14ac:dyDescent="0.2">
      <c r="A36" s="33"/>
      <c r="B36" s="34" t="str">
        <f t="shared" si="8"/>
        <v>October</v>
      </c>
      <c r="D36" s="77">
        <v>0.36537637561946146</v>
      </c>
      <c r="F36" s="77"/>
      <c r="P36" s="95">
        <f t="shared" si="9"/>
        <v>0.63462362438053854</v>
      </c>
    </row>
    <row r="37" spans="1:25" x14ac:dyDescent="0.2">
      <c r="A37" s="33"/>
      <c r="B37" s="34" t="str">
        <f t="shared" si="8"/>
        <v>November</v>
      </c>
      <c r="D37" s="77">
        <v>0.37700527147990875</v>
      </c>
      <c r="F37" s="77"/>
      <c r="P37" s="95">
        <f t="shared" si="9"/>
        <v>0.62299472852009119</v>
      </c>
    </row>
    <row r="38" spans="1:25" x14ac:dyDescent="0.2">
      <c r="A38" s="33"/>
      <c r="B38" s="34" t="str">
        <f t="shared" si="8"/>
        <v>December</v>
      </c>
      <c r="D38" s="77">
        <v>0.32579513409055211</v>
      </c>
      <c r="F38" s="77"/>
      <c r="P38" s="95">
        <f t="shared" si="9"/>
        <v>0.67420486590944795</v>
      </c>
    </row>
    <row r="39" spans="1:25" x14ac:dyDescent="0.2">
      <c r="A39" s="33"/>
    </row>
    <row r="40" spans="1:25" x14ac:dyDescent="0.2">
      <c r="A40" s="33"/>
    </row>
    <row r="41" spans="1:25" x14ac:dyDescent="0.2">
      <c r="A41" s="32" t="s">
        <v>32</v>
      </c>
      <c r="B41" s="97" t="s">
        <v>25</v>
      </c>
      <c r="O41" s="3" t="s">
        <v>26</v>
      </c>
      <c r="P41" s="3"/>
    </row>
    <row r="42" spans="1:25" x14ac:dyDescent="0.2">
      <c r="A42" s="33"/>
      <c r="B42" s="117" t="s">
        <v>27</v>
      </c>
    </row>
    <row r="43" spans="1:25" x14ac:dyDescent="0.2">
      <c r="A43" s="33"/>
      <c r="B43" s="4" t="s">
        <v>28</v>
      </c>
      <c r="C43" s="50" t="s">
        <v>5</v>
      </c>
      <c r="D43" s="50" t="str">
        <f>D7</f>
        <v>RS TOU - BGS</v>
      </c>
      <c r="E43" s="50" t="s">
        <v>6</v>
      </c>
      <c r="F43" s="50" t="s">
        <v>7</v>
      </c>
      <c r="G43" s="50" t="s">
        <v>8</v>
      </c>
      <c r="H43" s="50" t="s">
        <v>9</v>
      </c>
      <c r="I43" s="50" t="s">
        <v>10</v>
      </c>
      <c r="J43" s="50" t="s">
        <v>11</v>
      </c>
      <c r="K43" s="50" t="s">
        <v>29</v>
      </c>
      <c r="L43" s="28"/>
      <c r="O43" s="28" t="s">
        <v>5</v>
      </c>
      <c r="P43" s="28" t="s">
        <v>139</v>
      </c>
      <c r="Q43" s="28" t="s">
        <v>6</v>
      </c>
      <c r="R43" s="28" t="s">
        <v>7</v>
      </c>
      <c r="S43" s="28" t="s">
        <v>8</v>
      </c>
      <c r="T43" s="28" t="s">
        <v>9</v>
      </c>
      <c r="U43" s="28" t="s">
        <v>10</v>
      </c>
      <c r="V43" s="28" t="s">
        <v>11</v>
      </c>
      <c r="X43" s="28"/>
      <c r="Y43" s="28"/>
    </row>
    <row r="44" spans="1:25" x14ac:dyDescent="0.2">
      <c r="A44" s="33"/>
    </row>
    <row r="45" spans="1:25" x14ac:dyDescent="0.2">
      <c r="A45" s="33"/>
      <c r="B45" s="34">
        <v>44197</v>
      </c>
      <c r="C45" s="45">
        <v>344389.3415688668</v>
      </c>
      <c r="D45" s="45">
        <v>349.169591289148</v>
      </c>
      <c r="E45" s="45">
        <v>66957.216147803789</v>
      </c>
      <c r="F45" s="45">
        <v>1614.5078703444631</v>
      </c>
      <c r="G45" s="45">
        <v>75426.541204484907</v>
      </c>
      <c r="H45" s="45">
        <v>4188.6322055437704</v>
      </c>
      <c r="I45" s="45">
        <v>4389.2387643732727</v>
      </c>
      <c r="J45" s="45">
        <v>729.03064406052215</v>
      </c>
      <c r="K45" s="45">
        <f>SUM(C45:J45)</f>
        <v>498043.67799676658</v>
      </c>
      <c r="L45" s="45"/>
      <c r="N45" s="27" t="s">
        <v>30</v>
      </c>
      <c r="O45" s="38">
        <f>SUM(C45:C49,C54:C56)</f>
        <v>2219743.983743974</v>
      </c>
      <c r="P45" s="38">
        <f>SUM(D45:D49,D54:D56)</f>
        <v>2230.7528917947589</v>
      </c>
      <c r="Q45" s="38">
        <f t="shared" ref="Q45:S45" si="10">SUM(E45:E49,E54:E56)</f>
        <v>507854.17361089354</v>
      </c>
      <c r="R45" s="38">
        <f t="shared" si="10"/>
        <v>12051.553384323037</v>
      </c>
      <c r="S45" s="38">
        <f t="shared" si="10"/>
        <v>553724.0657159416</v>
      </c>
      <c r="T45" s="38">
        <f>SUM(H45:H49,H54:H56)</f>
        <v>38335.32696310585</v>
      </c>
      <c r="U45" s="38">
        <f>SUM(I45:I49,I54:I56)</f>
        <v>31567.511484870549</v>
      </c>
      <c r="V45" s="38">
        <f>SUM(J45:J49,J54:J56)</f>
        <v>5542.4920322217286</v>
      </c>
      <c r="W45" s="38">
        <f>SUM(O45:V45)</f>
        <v>3371049.859827125</v>
      </c>
      <c r="X45" s="118"/>
      <c r="Y45" s="118"/>
    </row>
    <row r="46" spans="1:25" x14ac:dyDescent="0.2">
      <c r="A46" s="33"/>
      <c r="B46" s="34">
        <v>44228</v>
      </c>
      <c r="C46" s="45">
        <v>322855.87024793384</v>
      </c>
      <c r="D46" s="45">
        <v>337.84852964593313</v>
      </c>
      <c r="E46" s="45">
        <v>63361.163306704751</v>
      </c>
      <c r="F46" s="45">
        <v>1856.6041528152487</v>
      </c>
      <c r="G46" s="45">
        <v>74888.534655576252</v>
      </c>
      <c r="H46" s="45">
        <v>4949.6547317638087</v>
      </c>
      <c r="I46" s="45">
        <v>3916.0809199132555</v>
      </c>
      <c r="J46" s="45">
        <v>682.20156738468495</v>
      </c>
      <c r="K46" s="45">
        <f t="shared" ref="K46:K56" si="11">SUM(C46:J46)</f>
        <v>472847.95811173785</v>
      </c>
      <c r="L46" s="45"/>
      <c r="N46" s="5" t="s">
        <v>137</v>
      </c>
      <c r="P46" s="38">
        <f>SUMPRODUCT($D$45:$D$49,$D$9:$D$13)+SUMPRODUCT($D$54:$D$56,$D$18:$D$20)</f>
        <v>1106.2542442350632</v>
      </c>
      <c r="W46" s="38"/>
      <c r="X46" s="118"/>
      <c r="Y46" s="118"/>
    </row>
    <row r="47" spans="1:25" x14ac:dyDescent="0.2">
      <c r="A47" s="33"/>
      <c r="B47" s="34">
        <v>44256</v>
      </c>
      <c r="C47" s="45">
        <v>297585.75839994411</v>
      </c>
      <c r="D47" s="45">
        <v>311.72348451758688</v>
      </c>
      <c r="E47" s="45">
        <v>63970.984872875983</v>
      </c>
      <c r="F47" s="45">
        <v>1346.2998178966968</v>
      </c>
      <c r="G47" s="45">
        <v>67274.041021535872</v>
      </c>
      <c r="H47" s="45">
        <v>5079.3261151811903</v>
      </c>
      <c r="I47" s="45">
        <v>3867.0094138133827</v>
      </c>
      <c r="J47" s="45">
        <v>702.20522378686144</v>
      </c>
      <c r="K47" s="45">
        <f t="shared" si="11"/>
        <v>440137.34834955167</v>
      </c>
      <c r="L47" s="45"/>
      <c r="N47" s="5" t="s">
        <v>138</v>
      </c>
      <c r="P47" s="38">
        <f>SUMPRODUCT($D$45:$D$49,$P$9:$P$13)+SUMPRODUCT($D$54:$D$56,$P$18:$P$20)</f>
        <v>1124.4986475596957</v>
      </c>
      <c r="X47" s="118"/>
      <c r="Y47" s="118"/>
    </row>
    <row r="48" spans="1:25" x14ac:dyDescent="0.2">
      <c r="A48" s="33"/>
      <c r="B48" s="34">
        <v>44287</v>
      </c>
      <c r="C48" s="45">
        <v>236665.99205478455</v>
      </c>
      <c r="D48" s="45">
        <v>246.71444005927358</v>
      </c>
      <c r="E48" s="45">
        <v>60635.58011230352</v>
      </c>
      <c r="F48" s="45">
        <v>1201.8241407429548</v>
      </c>
      <c r="G48" s="45">
        <v>64298.474317165019</v>
      </c>
      <c r="H48" s="45">
        <v>4332.4503555225128</v>
      </c>
      <c r="I48" s="45">
        <v>3408.2950732482423</v>
      </c>
      <c r="J48" s="45">
        <v>666.01197775887294</v>
      </c>
      <c r="K48" s="45">
        <f t="shared" si="11"/>
        <v>371455.34247158497</v>
      </c>
      <c r="L48" s="45"/>
      <c r="N48" s="27" t="s">
        <v>31</v>
      </c>
      <c r="O48" s="38">
        <f>+SUM(C50:C53)</f>
        <v>1650976.7484352672</v>
      </c>
      <c r="P48" s="38">
        <f>+SUM(D50:D53)</f>
        <v>1516.6023718761835</v>
      </c>
      <c r="Q48" s="38">
        <f t="shared" ref="Q48:S48" si="12">+SUM(E50:E53)</f>
        <v>342274.54307019024</v>
      </c>
      <c r="R48" s="38">
        <f t="shared" si="12"/>
        <v>5332.4308374725151</v>
      </c>
      <c r="S48" s="38">
        <f t="shared" si="12"/>
        <v>360648.65298693336</v>
      </c>
      <c r="T48" s="38">
        <f>+SUM(H50:H53)</f>
        <v>21429.131199473195</v>
      </c>
      <c r="U48" s="38">
        <f>+SUM(I50:I53)</f>
        <v>15149.839805656837</v>
      </c>
      <c r="V48" s="38">
        <f>+SUM(J50:J53)</f>
        <v>3742.4298037129165</v>
      </c>
      <c r="W48" s="38">
        <f>SUM(O48:V48)</f>
        <v>2401070.3785105823</v>
      </c>
      <c r="X48" s="118"/>
      <c r="Y48" s="118"/>
    </row>
    <row r="49" spans="1:25" x14ac:dyDescent="0.2">
      <c r="A49" s="33"/>
      <c r="B49" s="34">
        <v>44317</v>
      </c>
      <c r="C49" s="45">
        <v>205863.64950929681</v>
      </c>
      <c r="D49" s="45">
        <v>204.82310357745294</v>
      </c>
      <c r="E49" s="45">
        <v>62558.338604439123</v>
      </c>
      <c r="F49" s="45">
        <v>1297.1362468018788</v>
      </c>
      <c r="G49" s="45">
        <v>64651.627323783279</v>
      </c>
      <c r="H49" s="45">
        <v>4245.5810894855376</v>
      </c>
      <c r="I49" s="45">
        <v>3428.8241036949858</v>
      </c>
      <c r="J49" s="45">
        <v>685.79851794905665</v>
      </c>
      <c r="K49" s="45">
        <f t="shared" si="11"/>
        <v>342935.77849902818</v>
      </c>
      <c r="L49" s="45"/>
      <c r="N49" s="5" t="s">
        <v>137</v>
      </c>
      <c r="P49" s="38">
        <f>SUMPRODUCT($D$50:$D$53,$D$14:$D$17)</f>
        <v>820.96461578009405</v>
      </c>
      <c r="X49" s="118"/>
      <c r="Y49" s="118"/>
    </row>
    <row r="50" spans="1:25" x14ac:dyDescent="0.2">
      <c r="A50" s="119"/>
      <c r="B50" s="34">
        <v>43983</v>
      </c>
      <c r="C50" s="45">
        <v>282840.89859769796</v>
      </c>
      <c r="D50" s="45">
        <v>262.25201660834881</v>
      </c>
      <c r="E50" s="45">
        <v>73136.735061878018</v>
      </c>
      <c r="F50" s="45">
        <v>1220.4529672468805</v>
      </c>
      <c r="G50" s="45">
        <v>76887.730224445899</v>
      </c>
      <c r="H50" s="45">
        <v>4942.5147860577827</v>
      </c>
      <c r="I50" s="45">
        <v>3617.0493076538896</v>
      </c>
      <c r="J50" s="45">
        <v>797.08465305008212</v>
      </c>
      <c r="K50" s="45">
        <f t="shared" si="11"/>
        <v>443704.71761463885</v>
      </c>
      <c r="L50" s="45"/>
      <c r="N50" s="5" t="s">
        <v>138</v>
      </c>
      <c r="P50" s="38">
        <f>SUMPRODUCT($D$50:$D$53,$P$14:$P$17)</f>
        <v>695.63775609608945</v>
      </c>
      <c r="Q50" s="38"/>
      <c r="R50" s="38"/>
      <c r="S50" s="38"/>
      <c r="T50" s="38"/>
      <c r="U50" s="38"/>
      <c r="V50" s="38"/>
      <c r="W50" s="38">
        <f>W45+W48</f>
        <v>5772120.2383377068</v>
      </c>
      <c r="X50" s="118"/>
      <c r="Y50" s="118"/>
    </row>
    <row r="51" spans="1:25" x14ac:dyDescent="0.2">
      <c r="A51" s="33"/>
      <c r="B51" s="34">
        <v>44013</v>
      </c>
      <c r="C51" s="45">
        <v>417886.14998300449</v>
      </c>
      <c r="D51" s="45">
        <v>384.30966201264766</v>
      </c>
      <c r="E51" s="45">
        <v>86721.859186213624</v>
      </c>
      <c r="F51" s="45">
        <v>1278.0926742634692</v>
      </c>
      <c r="G51" s="45">
        <v>91853.602296460595</v>
      </c>
      <c r="H51" s="45">
        <v>5147.4995429509017</v>
      </c>
      <c r="I51" s="45">
        <v>3581.1582434016655</v>
      </c>
      <c r="J51" s="45">
        <v>948.92215357689633</v>
      </c>
      <c r="K51" s="45">
        <f t="shared" si="11"/>
        <v>607801.59374188434</v>
      </c>
      <c r="L51" s="45"/>
      <c r="O51" s="38"/>
      <c r="P51" s="38"/>
      <c r="Q51" s="38"/>
      <c r="R51" s="38"/>
      <c r="S51" s="38"/>
      <c r="T51" s="38"/>
      <c r="U51" s="38"/>
      <c r="V51" s="38"/>
      <c r="X51" s="118"/>
      <c r="Y51" s="118"/>
    </row>
    <row r="52" spans="1:25" x14ac:dyDescent="0.2">
      <c r="A52" s="33"/>
      <c r="B52" s="34">
        <v>44044</v>
      </c>
      <c r="C52" s="45">
        <v>480850.1711029479</v>
      </c>
      <c r="D52" s="45">
        <v>444.96727302070559</v>
      </c>
      <c r="E52" s="45">
        <v>90615.30372071272</v>
      </c>
      <c r="F52" s="45">
        <v>1369.8287804609258</v>
      </c>
      <c r="G52" s="45">
        <v>96029.370713714627</v>
      </c>
      <c r="H52" s="45">
        <v>5692.4715399494871</v>
      </c>
      <c r="I52" s="45">
        <v>3917.7075098277392</v>
      </c>
      <c r="J52" s="45">
        <v>987.96655156211727</v>
      </c>
      <c r="K52" s="45">
        <f t="shared" si="11"/>
        <v>679907.78719219612</v>
      </c>
      <c r="L52" s="45"/>
      <c r="M52" s="38"/>
      <c r="N52" s="7" t="s">
        <v>204</v>
      </c>
      <c r="O52" s="120">
        <f>+O48*F163</f>
        <v>1010183.6803054512</v>
      </c>
      <c r="P52" s="38"/>
      <c r="Q52" s="38"/>
      <c r="R52" s="38"/>
      <c r="S52" s="38"/>
      <c r="T52" s="38"/>
      <c r="X52" s="118"/>
      <c r="Y52" s="118"/>
    </row>
    <row r="53" spans="1:25" x14ac:dyDescent="0.2">
      <c r="A53" s="33"/>
      <c r="B53" s="34">
        <v>44075</v>
      </c>
      <c r="C53" s="45">
        <v>469399.52875161689</v>
      </c>
      <c r="D53" s="45">
        <v>425.07342023448143</v>
      </c>
      <c r="E53" s="45">
        <v>91800.64510138586</v>
      </c>
      <c r="F53" s="45">
        <v>1464.0564155012391</v>
      </c>
      <c r="G53" s="45">
        <v>95877.949752312255</v>
      </c>
      <c r="H53" s="45">
        <v>5646.6453305150226</v>
      </c>
      <c r="I53" s="45">
        <v>4033.9247447735443</v>
      </c>
      <c r="J53" s="45">
        <v>1008.4564455238208</v>
      </c>
      <c r="K53" s="45">
        <f t="shared" si="11"/>
        <v>669656.27996186307</v>
      </c>
      <c r="L53" s="45"/>
      <c r="M53" s="38"/>
      <c r="N53" s="7" t="s">
        <v>205</v>
      </c>
      <c r="O53" s="38">
        <f>+O48-O52</f>
        <v>640793.06812981609</v>
      </c>
      <c r="P53" s="38"/>
      <c r="Q53" s="38"/>
      <c r="R53" s="38"/>
      <c r="S53" s="38"/>
      <c r="T53" s="38"/>
      <c r="X53" s="118"/>
      <c r="Y53" s="118"/>
    </row>
    <row r="54" spans="1:25" x14ac:dyDescent="0.2">
      <c r="A54" s="33"/>
      <c r="B54" s="34">
        <v>44105</v>
      </c>
      <c r="C54" s="45">
        <v>270045.65470790758</v>
      </c>
      <c r="D54" s="45">
        <v>250.2830971925857</v>
      </c>
      <c r="E54" s="45">
        <v>62428.855340127528</v>
      </c>
      <c r="F54" s="45">
        <v>1562.3027212608704</v>
      </c>
      <c r="G54" s="45">
        <v>69459.673736292447</v>
      </c>
      <c r="H54" s="45">
        <v>4340.6505378061329</v>
      </c>
      <c r="I54" s="45">
        <v>3913.7972825306279</v>
      </c>
      <c r="J54" s="45">
        <v>681.04799011322666</v>
      </c>
      <c r="K54" s="45">
        <f t="shared" si="11"/>
        <v>412682.26541323104</v>
      </c>
      <c r="L54" s="45"/>
      <c r="O54" s="38">
        <f>SUM(O52:O53)</f>
        <v>1650976.7484352672</v>
      </c>
      <c r="X54" s="118"/>
      <c r="Y54" s="118"/>
    </row>
    <row r="55" spans="1:25" x14ac:dyDescent="0.2">
      <c r="A55" s="33"/>
      <c r="B55" s="34">
        <v>44136</v>
      </c>
      <c r="C55" s="45">
        <v>244207.34043871352</v>
      </c>
      <c r="D55" s="45">
        <v>232.28838369762971</v>
      </c>
      <c r="E55" s="45">
        <v>63552.718451135661</v>
      </c>
      <c r="F55" s="45">
        <v>1542.3569461923419</v>
      </c>
      <c r="G55" s="45">
        <v>65872.530129034873</v>
      </c>
      <c r="H55" s="45">
        <v>5438.6765191877548</v>
      </c>
      <c r="I55" s="45">
        <v>4296.8023350716412</v>
      </c>
      <c r="J55" s="45">
        <v>695.25221118857598</v>
      </c>
      <c r="K55" s="45">
        <f t="shared" si="11"/>
        <v>385837.96541422198</v>
      </c>
      <c r="L55" s="45"/>
      <c r="X55" s="118"/>
      <c r="Y55" s="118"/>
    </row>
    <row r="56" spans="1:25" x14ac:dyDescent="0.2">
      <c r="A56" s="33"/>
      <c r="B56" s="34">
        <v>44166</v>
      </c>
      <c r="C56" s="45">
        <v>298130.37681652693</v>
      </c>
      <c r="D56" s="45">
        <v>297.9022618151489</v>
      </c>
      <c r="E56" s="45">
        <v>64389.316775503175</v>
      </c>
      <c r="F56" s="45">
        <v>1630.521488268583</v>
      </c>
      <c r="G56" s="45">
        <v>71852.643328068894</v>
      </c>
      <c r="H56" s="45">
        <v>5760.355408615138</v>
      </c>
      <c r="I56" s="45">
        <v>4347.4635922251382</v>
      </c>
      <c r="J56" s="45">
        <v>700.94389997992835</v>
      </c>
      <c r="K56" s="45">
        <f t="shared" si="11"/>
        <v>447109.52357100294</v>
      </c>
      <c r="L56" s="45"/>
      <c r="P56" s="5" t="s">
        <v>240</v>
      </c>
      <c r="Q56" s="66">
        <f>SUMPRODUCT(O45:V45,C80:J80)</f>
        <v>3626047.6949323826</v>
      </c>
      <c r="X56" s="118"/>
      <c r="Y56" s="118"/>
    </row>
    <row r="57" spans="1:25" x14ac:dyDescent="0.2">
      <c r="A57" s="33"/>
      <c r="B57" s="121" t="s">
        <v>29</v>
      </c>
      <c r="C57" s="38">
        <f>SUM(C45:C56)</f>
        <v>3870720.7321792413</v>
      </c>
      <c r="D57" s="38">
        <f t="shared" ref="D57:I57" si="13">SUM(D45:D56)</f>
        <v>3747.3552636709423</v>
      </c>
      <c r="E57" s="38">
        <f t="shared" si="13"/>
        <v>850128.71668108378</v>
      </c>
      <c r="F57" s="38">
        <f t="shared" si="13"/>
        <v>17383.984221795552</v>
      </c>
      <c r="G57" s="38">
        <f t="shared" si="13"/>
        <v>914372.71870287496</v>
      </c>
      <c r="H57" s="38">
        <f t="shared" si="13"/>
        <v>59764.458162579045</v>
      </c>
      <c r="I57" s="38">
        <f t="shared" si="13"/>
        <v>46717.351290527389</v>
      </c>
      <c r="J57" s="38">
        <f t="shared" ref="J57" si="14">SUM(J45:J56)</f>
        <v>9284.9218359346451</v>
      </c>
      <c r="K57" s="38">
        <f>SUM(K45:K56)</f>
        <v>5772120.2383377086</v>
      </c>
      <c r="L57" s="38"/>
      <c r="Q57" s="168">
        <f>SUMPRODUCT(O48:V48,C80:J80)</f>
        <v>2582952.6373320878</v>
      </c>
    </row>
    <row r="58" spans="1:25" x14ac:dyDescent="0.2">
      <c r="A58" s="33"/>
      <c r="B58" s="34"/>
      <c r="C58" s="38"/>
      <c r="D58" s="38"/>
      <c r="E58" s="38"/>
      <c r="F58" s="38"/>
      <c r="G58" s="38"/>
      <c r="H58" s="38"/>
      <c r="I58" s="38"/>
      <c r="J58" s="38"/>
      <c r="K58" s="45"/>
      <c r="L58" s="38"/>
      <c r="Q58" s="131">
        <f>SUM(Q56:Q57)</f>
        <v>6209000.3322644699</v>
      </c>
    </row>
    <row r="59" spans="1:25" x14ac:dyDescent="0.2">
      <c r="A59" s="33"/>
      <c r="D59" s="38"/>
      <c r="E59" s="38"/>
    </row>
    <row r="60" spans="1:25" x14ac:dyDescent="0.2">
      <c r="A60" s="32" t="s">
        <v>34</v>
      </c>
      <c r="B60" s="3" t="s">
        <v>33</v>
      </c>
      <c r="G60" s="137" t="s">
        <v>38</v>
      </c>
      <c r="H60" s="3" t="s">
        <v>133</v>
      </c>
      <c r="J60" s="31" t="s">
        <v>141</v>
      </c>
    </row>
    <row r="61" spans="1:25" s="82" customFormat="1" x14ac:dyDescent="0.2">
      <c r="A61" s="33"/>
      <c r="B61" s="82" t="s">
        <v>142</v>
      </c>
      <c r="D61" s="28" t="s">
        <v>127</v>
      </c>
      <c r="G61" s="12"/>
    </row>
    <row r="62" spans="1:25" x14ac:dyDescent="0.2">
      <c r="A62" s="33"/>
      <c r="C62" s="50" t="s">
        <v>36</v>
      </c>
      <c r="D62" s="28" t="s">
        <v>128</v>
      </c>
      <c r="E62" s="50" t="s">
        <v>37</v>
      </c>
      <c r="G62" s="28"/>
      <c r="H62" s="50" t="s">
        <v>36</v>
      </c>
      <c r="I62" s="50" t="s">
        <v>37</v>
      </c>
    </row>
    <row r="63" spans="1:25" x14ac:dyDescent="0.2">
      <c r="A63" s="33"/>
      <c r="B63" s="34">
        <f t="shared" ref="B63:B74" si="15">B45</f>
        <v>44197</v>
      </c>
      <c r="C63" s="80">
        <v>46.94</v>
      </c>
      <c r="D63" s="172">
        <v>0.78459999999999996</v>
      </c>
      <c r="E63" s="192">
        <f>ROUND(C63*D63,2)</f>
        <v>36.83</v>
      </c>
      <c r="H63" s="1">
        <v>0.93</v>
      </c>
      <c r="I63" s="1">
        <v>0.95</v>
      </c>
      <c r="N63" s="2"/>
      <c r="O63" s="2"/>
      <c r="P63" s="2"/>
    </row>
    <row r="64" spans="1:25" x14ac:dyDescent="0.2">
      <c r="A64" s="33"/>
      <c r="B64" s="34">
        <f t="shared" si="15"/>
        <v>44228</v>
      </c>
      <c r="C64" s="80">
        <v>44.45</v>
      </c>
      <c r="D64" s="29">
        <f>+$D$63</f>
        <v>0.78459999999999996</v>
      </c>
      <c r="E64" s="192">
        <f>ROUND(C64*D64,2)</f>
        <v>34.880000000000003</v>
      </c>
      <c r="H64" s="141">
        <f>H$63</f>
        <v>0.93</v>
      </c>
      <c r="I64" s="141">
        <f>I$63</f>
        <v>0.95</v>
      </c>
      <c r="N64" s="2"/>
      <c r="O64" s="2"/>
      <c r="P64" s="2"/>
    </row>
    <row r="65" spans="1:16" x14ac:dyDescent="0.2">
      <c r="A65" s="33"/>
      <c r="B65" s="34">
        <f t="shared" si="15"/>
        <v>44256</v>
      </c>
      <c r="C65" s="80">
        <v>35.43</v>
      </c>
      <c r="D65" s="29">
        <f>+$D$63</f>
        <v>0.78459999999999996</v>
      </c>
      <c r="E65" s="192">
        <f t="shared" ref="E65:E74" si="16">ROUND(C65*D65,2)</f>
        <v>27.8</v>
      </c>
      <c r="H65" s="141">
        <f t="shared" ref="H65:I67" si="17">H$63</f>
        <v>0.93</v>
      </c>
      <c r="I65" s="141">
        <f t="shared" si="17"/>
        <v>0.95</v>
      </c>
      <c r="N65" s="2"/>
      <c r="O65" s="2"/>
      <c r="P65" s="2"/>
    </row>
    <row r="66" spans="1:16" x14ac:dyDescent="0.2">
      <c r="A66" s="33"/>
      <c r="B66" s="34">
        <f t="shared" si="15"/>
        <v>44287</v>
      </c>
      <c r="C66" s="80">
        <v>30.64</v>
      </c>
      <c r="D66" s="29">
        <f>+$D$63</f>
        <v>0.78459999999999996</v>
      </c>
      <c r="E66" s="192">
        <f t="shared" si="16"/>
        <v>24.04</v>
      </c>
      <c r="H66" s="141">
        <f t="shared" si="17"/>
        <v>0.93</v>
      </c>
      <c r="I66" s="141">
        <f t="shared" si="17"/>
        <v>0.95</v>
      </c>
      <c r="N66" s="2"/>
      <c r="O66" s="2"/>
      <c r="P66" s="2"/>
    </row>
    <row r="67" spans="1:16" x14ac:dyDescent="0.2">
      <c r="A67" s="33"/>
      <c r="B67" s="34">
        <f t="shared" si="15"/>
        <v>44317</v>
      </c>
      <c r="C67" s="80">
        <v>30.3</v>
      </c>
      <c r="D67" s="29">
        <f>+$D$63</f>
        <v>0.78459999999999996</v>
      </c>
      <c r="E67" s="192">
        <f t="shared" si="16"/>
        <v>23.77</v>
      </c>
      <c r="H67" s="141">
        <f t="shared" si="17"/>
        <v>0.93</v>
      </c>
      <c r="I67" s="141">
        <f t="shared" si="17"/>
        <v>0.95</v>
      </c>
      <c r="N67" s="2"/>
      <c r="O67" s="2"/>
      <c r="P67" s="2"/>
    </row>
    <row r="68" spans="1:16" x14ac:dyDescent="0.2">
      <c r="A68" s="33"/>
      <c r="B68" s="34">
        <f t="shared" si="15"/>
        <v>43983</v>
      </c>
      <c r="C68" s="80">
        <v>30.23</v>
      </c>
      <c r="D68" s="173">
        <v>0.65310000000000001</v>
      </c>
      <c r="E68" s="192">
        <f t="shared" si="16"/>
        <v>19.739999999999998</v>
      </c>
      <c r="H68" s="1">
        <v>0.94</v>
      </c>
      <c r="I68" s="1">
        <v>0.9</v>
      </c>
      <c r="N68" s="2"/>
      <c r="O68" s="2"/>
      <c r="P68" s="2"/>
    </row>
    <row r="69" spans="1:16" x14ac:dyDescent="0.2">
      <c r="A69" s="33"/>
      <c r="B69" s="34">
        <f t="shared" si="15"/>
        <v>44013</v>
      </c>
      <c r="C69" s="80">
        <v>35.770000000000003</v>
      </c>
      <c r="D69" s="174">
        <f>+$D$68</f>
        <v>0.65310000000000001</v>
      </c>
      <c r="E69" s="192">
        <f t="shared" si="16"/>
        <v>23.36</v>
      </c>
      <c r="H69" s="141">
        <f t="shared" ref="H69:I71" si="18">H$68</f>
        <v>0.94</v>
      </c>
      <c r="I69" s="141">
        <f t="shared" si="18"/>
        <v>0.9</v>
      </c>
      <c r="N69" s="2"/>
      <c r="O69" s="2"/>
      <c r="P69" s="2"/>
    </row>
    <row r="70" spans="1:16" x14ac:dyDescent="0.2">
      <c r="A70" s="33"/>
      <c r="B70" s="34">
        <f t="shared" si="15"/>
        <v>44044</v>
      </c>
      <c r="C70" s="80">
        <v>32.56</v>
      </c>
      <c r="D70" s="174">
        <f>+$D$68</f>
        <v>0.65310000000000001</v>
      </c>
      <c r="E70" s="192">
        <f t="shared" si="16"/>
        <v>21.26</v>
      </c>
      <c r="H70" s="141">
        <f t="shared" si="18"/>
        <v>0.94</v>
      </c>
      <c r="I70" s="141">
        <f t="shared" si="18"/>
        <v>0.9</v>
      </c>
      <c r="N70" s="2"/>
      <c r="O70" s="2"/>
      <c r="P70" s="2"/>
    </row>
    <row r="71" spans="1:16" x14ac:dyDescent="0.2">
      <c r="A71" s="33"/>
      <c r="B71" s="34">
        <f t="shared" si="15"/>
        <v>44075</v>
      </c>
      <c r="C71" s="80">
        <v>30.95</v>
      </c>
      <c r="D71" s="175">
        <f>+$D$68</f>
        <v>0.65310000000000001</v>
      </c>
      <c r="E71" s="192">
        <f t="shared" si="16"/>
        <v>20.21</v>
      </c>
      <c r="H71" s="141">
        <f t="shared" si="18"/>
        <v>0.94</v>
      </c>
      <c r="I71" s="141">
        <f t="shared" si="18"/>
        <v>0.9</v>
      </c>
      <c r="N71" s="2"/>
      <c r="O71" s="2"/>
      <c r="P71" s="2"/>
    </row>
    <row r="72" spans="1:16" x14ac:dyDescent="0.2">
      <c r="A72" s="33"/>
      <c r="B72" s="34">
        <f t="shared" si="15"/>
        <v>44105</v>
      </c>
      <c r="C72" s="80">
        <v>29.6</v>
      </c>
      <c r="D72" s="29">
        <f>+$D$63</f>
        <v>0.78459999999999996</v>
      </c>
      <c r="E72" s="192">
        <f t="shared" si="16"/>
        <v>23.22</v>
      </c>
      <c r="H72" s="141">
        <f t="shared" ref="H72:I74" si="19">H$63</f>
        <v>0.93</v>
      </c>
      <c r="I72" s="141">
        <f t="shared" si="19"/>
        <v>0.95</v>
      </c>
      <c r="N72" s="2"/>
      <c r="O72" s="2"/>
      <c r="P72" s="2"/>
    </row>
    <row r="73" spans="1:16" x14ac:dyDescent="0.2">
      <c r="A73" s="33"/>
      <c r="B73" s="34">
        <f t="shared" si="15"/>
        <v>44136</v>
      </c>
      <c r="C73" s="80">
        <v>30.09</v>
      </c>
      <c r="D73" s="29">
        <f>+$D$63</f>
        <v>0.78459999999999996</v>
      </c>
      <c r="E73" s="192">
        <f t="shared" si="16"/>
        <v>23.61</v>
      </c>
      <c r="H73" s="141">
        <f t="shared" si="19"/>
        <v>0.93</v>
      </c>
      <c r="I73" s="141">
        <f t="shared" si="19"/>
        <v>0.95</v>
      </c>
      <c r="N73" s="2"/>
      <c r="O73" s="2"/>
      <c r="P73" s="2"/>
    </row>
    <row r="74" spans="1:16" x14ac:dyDescent="0.2">
      <c r="A74" s="33"/>
      <c r="B74" s="34">
        <f t="shared" si="15"/>
        <v>44166</v>
      </c>
      <c r="C74" s="80">
        <v>33.46</v>
      </c>
      <c r="D74" s="29">
        <f>+$D$63</f>
        <v>0.78459999999999996</v>
      </c>
      <c r="E74" s="192">
        <f t="shared" si="16"/>
        <v>26.25</v>
      </c>
      <c r="H74" s="141">
        <f t="shared" si="19"/>
        <v>0.93</v>
      </c>
      <c r="I74" s="141">
        <f t="shared" si="19"/>
        <v>0.95</v>
      </c>
      <c r="N74" s="2"/>
      <c r="O74" s="2"/>
      <c r="P74" s="2"/>
    </row>
    <row r="75" spans="1:16" x14ac:dyDescent="0.2">
      <c r="A75" s="33"/>
      <c r="B75" s="34"/>
      <c r="C75" s="80"/>
      <c r="D75" s="29"/>
      <c r="E75" s="80"/>
      <c r="H75" s="1"/>
      <c r="I75" s="1"/>
      <c r="N75" s="2"/>
      <c r="O75" s="2"/>
      <c r="P75" s="2"/>
    </row>
    <row r="76" spans="1:16" x14ac:dyDescent="0.2">
      <c r="A76" s="33"/>
      <c r="B76" s="34"/>
      <c r="C76" s="80"/>
      <c r="D76" s="80"/>
      <c r="E76" s="80"/>
      <c r="H76" s="1"/>
      <c r="K76" s="1"/>
    </row>
    <row r="77" spans="1:16" x14ac:dyDescent="0.2">
      <c r="A77" s="32" t="s">
        <v>41</v>
      </c>
      <c r="B77" s="97" t="s">
        <v>39</v>
      </c>
      <c r="C77" s="50" t="s">
        <v>5</v>
      </c>
      <c r="D77" s="50" t="s">
        <v>139</v>
      </c>
      <c r="E77" s="50" t="s">
        <v>6</v>
      </c>
      <c r="F77" s="50" t="s">
        <v>7</v>
      </c>
      <c r="G77" s="50" t="s">
        <v>8</v>
      </c>
      <c r="H77" s="50" t="s">
        <v>9</v>
      </c>
      <c r="I77" s="50" t="s">
        <v>10</v>
      </c>
      <c r="J77" s="50" t="s">
        <v>11</v>
      </c>
      <c r="L77" s="28"/>
    </row>
    <row r="78" spans="1:16" x14ac:dyDescent="0.2">
      <c r="A78" s="33"/>
      <c r="B78" s="5" t="s">
        <v>234</v>
      </c>
      <c r="C78" s="79">
        <v>6.6720174709983343E-2</v>
      </c>
      <c r="D78" s="79">
        <v>6.6720174709983343E-2</v>
      </c>
      <c r="E78" s="79">
        <v>6.6720174709983343E-2</v>
      </c>
      <c r="F78" s="79">
        <v>4.1640711102592348E-2</v>
      </c>
      <c r="G78" s="79">
        <v>6.6720174709983343E-2</v>
      </c>
      <c r="H78" s="79">
        <v>4.1640711102592348E-2</v>
      </c>
      <c r="I78" s="79">
        <v>6.6720174709983343E-2</v>
      </c>
      <c r="J78" s="79">
        <v>6.6720174709983343E-2</v>
      </c>
      <c r="L78" s="170"/>
      <c r="M78" s="170"/>
    </row>
    <row r="79" spans="1:16" x14ac:dyDescent="0.2">
      <c r="A79" s="33"/>
      <c r="B79" s="34" t="s">
        <v>233</v>
      </c>
      <c r="C79" s="184">
        <f>1-((1-C78)*(1-0.4251%))</f>
        <v>7.0687547247291205E-2</v>
      </c>
      <c r="D79" s="184">
        <f t="shared" ref="D79:J79" si="20">1-((1-D78)*(1-0.4251%))</f>
        <v>7.0687547247291205E-2</v>
      </c>
      <c r="E79" s="184">
        <f t="shared" si="20"/>
        <v>7.0687547247291205E-2</v>
      </c>
      <c r="F79" s="184">
        <f t="shared" si="20"/>
        <v>4.5714696439695279E-2</v>
      </c>
      <c r="G79" s="184">
        <f t="shared" si="20"/>
        <v>7.0687547247291205E-2</v>
      </c>
      <c r="H79" s="184">
        <f t="shared" si="20"/>
        <v>4.5714696439695279E-2</v>
      </c>
      <c r="I79" s="184">
        <f t="shared" si="20"/>
        <v>7.0687547247291205E-2</v>
      </c>
      <c r="J79" s="184">
        <f t="shared" si="20"/>
        <v>7.0687547247291205E-2</v>
      </c>
      <c r="L79" s="79"/>
    </row>
    <row r="80" spans="1:16" x14ac:dyDescent="0.2">
      <c r="A80" s="33"/>
      <c r="B80" s="5" t="s">
        <v>40</v>
      </c>
      <c r="C80" s="98">
        <f>1/(1-C79)</f>
        <v>1.0760643495499369</v>
      </c>
      <c r="D80" s="98">
        <f t="shared" ref="D80:J80" si="21">1/(1-D79)</f>
        <v>1.0760643495499369</v>
      </c>
      <c r="E80" s="98">
        <f t="shared" si="21"/>
        <v>1.0760643495499369</v>
      </c>
      <c r="F80" s="98">
        <f t="shared" si="21"/>
        <v>1.0479046426358449</v>
      </c>
      <c r="G80" s="98">
        <f t="shared" si="21"/>
        <v>1.0760643495499369</v>
      </c>
      <c r="H80" s="98">
        <f t="shared" si="21"/>
        <v>1.0479046426358449</v>
      </c>
      <c r="I80" s="98">
        <f t="shared" si="21"/>
        <v>1.0760643495499369</v>
      </c>
      <c r="J80" s="98">
        <f t="shared" si="21"/>
        <v>1.0760643495499369</v>
      </c>
      <c r="L80" s="98"/>
      <c r="M80" s="165"/>
    </row>
    <row r="81" spans="1:20" x14ac:dyDescent="0.2">
      <c r="A81" s="33"/>
      <c r="C81" s="98"/>
      <c r="D81" s="98"/>
      <c r="E81" s="98"/>
      <c r="F81" s="98"/>
      <c r="G81" s="98"/>
      <c r="H81" s="98"/>
      <c r="I81" s="98"/>
      <c r="J81" s="98"/>
      <c r="L81" s="171"/>
      <c r="M81" s="138"/>
      <c r="T81" s="110"/>
    </row>
    <row r="82" spans="1:20" x14ac:dyDescent="0.2">
      <c r="A82" s="33"/>
      <c r="B82" s="5" t="s">
        <v>232</v>
      </c>
      <c r="C82" s="79">
        <v>1.7779E-2</v>
      </c>
      <c r="D82" s="79">
        <f>$C$82</f>
        <v>1.7779E-2</v>
      </c>
      <c r="E82" s="79">
        <f t="shared" ref="E82:J82" si="22">$C$82</f>
        <v>1.7779E-2</v>
      </c>
      <c r="F82" s="79">
        <f t="shared" si="22"/>
        <v>1.7779E-2</v>
      </c>
      <c r="G82" s="79">
        <f t="shared" si="22"/>
        <v>1.7779E-2</v>
      </c>
      <c r="H82" s="79">
        <f t="shared" si="22"/>
        <v>1.7779E-2</v>
      </c>
      <c r="I82" s="79">
        <f t="shared" si="22"/>
        <v>1.7779E-2</v>
      </c>
      <c r="J82" s="79">
        <f t="shared" si="22"/>
        <v>1.7779E-2</v>
      </c>
      <c r="L82" s="185"/>
    </row>
    <row r="83" spans="1:20" x14ac:dyDescent="0.2">
      <c r="A83" s="33"/>
      <c r="B83" s="5" t="s">
        <v>235</v>
      </c>
      <c r="C83" s="184">
        <f t="shared" ref="C83:J83" si="23">1-((1-C79)/(1-C82))</f>
        <v>5.38662350400686E-2</v>
      </c>
      <c r="D83" s="184">
        <f t="shared" si="23"/>
        <v>5.38662350400686E-2</v>
      </c>
      <c r="E83" s="184">
        <f t="shared" si="23"/>
        <v>5.38662350400686E-2</v>
      </c>
      <c r="F83" s="184">
        <f t="shared" si="23"/>
        <v>2.8441355295493853E-2</v>
      </c>
      <c r="G83" s="184">
        <f t="shared" si="23"/>
        <v>5.38662350400686E-2</v>
      </c>
      <c r="H83" s="184">
        <f t="shared" si="23"/>
        <v>2.8441355295493853E-2</v>
      </c>
      <c r="I83" s="184">
        <f t="shared" si="23"/>
        <v>5.38662350400686E-2</v>
      </c>
      <c r="J83" s="184">
        <f t="shared" si="23"/>
        <v>5.38662350400686E-2</v>
      </c>
      <c r="L83" s="98"/>
    </row>
    <row r="84" spans="1:20" x14ac:dyDescent="0.2">
      <c r="A84" s="33"/>
      <c r="B84" s="5" t="s">
        <v>236</v>
      </c>
      <c r="C84" s="98">
        <f t="shared" ref="C84:J84" si="24">1/(1-C83)</f>
        <v>1.0569330014792886</v>
      </c>
      <c r="D84" s="98">
        <f t="shared" si="24"/>
        <v>1.0569330014792886</v>
      </c>
      <c r="E84" s="98">
        <f t="shared" si="24"/>
        <v>1.0569330014792886</v>
      </c>
      <c r="F84" s="98">
        <f t="shared" si="24"/>
        <v>1.0292739459944222</v>
      </c>
      <c r="G84" s="98">
        <f t="shared" si="24"/>
        <v>1.0569330014792886</v>
      </c>
      <c r="H84" s="98">
        <f t="shared" si="24"/>
        <v>1.0292739459944222</v>
      </c>
      <c r="I84" s="98">
        <f t="shared" si="24"/>
        <v>1.0569330014792886</v>
      </c>
      <c r="J84" s="98">
        <f t="shared" si="24"/>
        <v>1.0569330014792886</v>
      </c>
      <c r="L84" s="98"/>
    </row>
    <row r="85" spans="1:20" x14ac:dyDescent="0.2">
      <c r="A85" s="33"/>
      <c r="C85" s="98"/>
      <c r="D85" s="98"/>
      <c r="E85" s="98"/>
      <c r="F85" s="185"/>
      <c r="G85" s="98"/>
      <c r="H85" s="98"/>
      <c r="I85" s="98"/>
      <c r="J85" s="98"/>
      <c r="L85" s="98"/>
    </row>
    <row r="86" spans="1:20" x14ac:dyDescent="0.2">
      <c r="A86" s="33"/>
      <c r="C86" s="170"/>
      <c r="D86" s="170"/>
      <c r="E86" s="170"/>
      <c r="F86" s="170"/>
      <c r="G86" s="170"/>
      <c r="H86" s="170"/>
      <c r="I86" s="170"/>
    </row>
    <row r="87" spans="1:20" x14ac:dyDescent="0.2">
      <c r="A87" s="32" t="s">
        <v>48</v>
      </c>
      <c r="B87" s="3" t="s">
        <v>42</v>
      </c>
    </row>
    <row r="88" spans="1:20" x14ac:dyDescent="0.2">
      <c r="A88" s="33"/>
      <c r="B88" s="4" t="s">
        <v>43</v>
      </c>
      <c r="L88" s="170"/>
    </row>
    <row r="89" spans="1:20" x14ac:dyDescent="0.2">
      <c r="A89" s="33"/>
      <c r="B89" s="4" t="s">
        <v>35</v>
      </c>
    </row>
    <row r="90" spans="1:20" x14ac:dyDescent="0.2">
      <c r="A90" s="33"/>
      <c r="B90" s="3"/>
      <c r="C90" s="50" t="s">
        <v>5</v>
      </c>
      <c r="D90" s="50" t="s">
        <v>139</v>
      </c>
      <c r="E90" s="50" t="s">
        <v>6</v>
      </c>
      <c r="F90" s="50" t="s">
        <v>7</v>
      </c>
      <c r="G90" s="50" t="s">
        <v>8</v>
      </c>
      <c r="H90" s="50" t="s">
        <v>9</v>
      </c>
      <c r="I90" s="50" t="s">
        <v>10</v>
      </c>
      <c r="J90" s="50" t="s">
        <v>11</v>
      </c>
      <c r="L90" s="28"/>
    </row>
    <row r="91" spans="1:20" x14ac:dyDescent="0.2">
      <c r="A91" s="33"/>
    </row>
    <row r="92" spans="1:20" x14ac:dyDescent="0.2">
      <c r="A92" s="33"/>
      <c r="B92" s="34" t="s">
        <v>44</v>
      </c>
      <c r="C92" s="15">
        <f t="shared" ref="C92:J92" si="25">(SUMPRODUCT(C14:C17,C50:C53,$C68:$C71,$H68:$H71)*C80+SUMPRODUCT(O14:O17,C50:C53,$E68:$E71,$I68:$I71)*C80)/SUM(C50:C53)</f>
        <v>27.238463171642508</v>
      </c>
      <c r="D92" s="15">
        <f>(SUMPRODUCT(D14:D17,D50:D53,$C68:$C71,$H68:$H71)*D80+SUMPRODUCT(P14:P17,D50:D53,$E68:$E71,$I68:$I71)*D80)/SUM(D50:D53)</f>
        <v>27.249220570231021</v>
      </c>
      <c r="E92" s="15">
        <f t="shared" si="25"/>
        <v>27.448354687525374</v>
      </c>
      <c r="F92" s="15">
        <f t="shared" si="25"/>
        <v>25.831820795962585</v>
      </c>
      <c r="G92" s="15">
        <f t="shared" si="25"/>
        <v>27.375570670072644</v>
      </c>
      <c r="H92" s="15">
        <f t="shared" si="25"/>
        <v>26.125977671860927</v>
      </c>
      <c r="I92" s="15">
        <f t="shared" si="25"/>
        <v>23.105616906242954</v>
      </c>
      <c r="J92" s="15">
        <f t="shared" si="25"/>
        <v>26.412118441656904</v>
      </c>
      <c r="K92" s="99"/>
      <c r="L92" s="15"/>
    </row>
    <row r="93" spans="1:20" x14ac:dyDescent="0.2">
      <c r="A93" s="33"/>
      <c r="B93" s="34" t="s">
        <v>135</v>
      </c>
      <c r="C93" s="15">
        <f>(SUMPRODUCT(C$14:C$17,C$50:C$53,$C$68:$C$71,$H$68:$H$71)*C$80)/SUMPRODUCT(C$14:C$17,C$50:C$53)</f>
        <v>32.943125734938477</v>
      </c>
      <c r="D93" s="15">
        <f>(SUMPRODUCT(D$14:D$17,D$50:D$53,$C$68:$C$71,$H$68:$H$71)*D$80)/SUMPRODUCT(D$14:D$17,D$50:D$53)</f>
        <v>32.945472561653268</v>
      </c>
      <c r="E93" s="15">
        <f t="shared" ref="E93:J93" si="26">(SUMPRODUCT(E$14:E$17,E$50:E$53,$C$68:$C$71,$H$68:$H$71)*E$80)/SUMPRODUCT(E$14:E$17,E$50:E$53)</f>
        <v>32.828674275813746</v>
      </c>
      <c r="F93" s="15">
        <f t="shared" si="26"/>
        <v>31.898131042943618</v>
      </c>
      <c r="G93" s="15">
        <f t="shared" si="26"/>
        <v>32.82337481174801</v>
      </c>
      <c r="H93" s="15">
        <f t="shared" si="26"/>
        <v>31.886397518666925</v>
      </c>
      <c r="I93" s="15">
        <f t="shared" si="26"/>
        <v>32.574769905861331</v>
      </c>
      <c r="J93" s="15">
        <f t="shared" si="26"/>
        <v>32.82101334926319</v>
      </c>
      <c r="K93" s="99"/>
      <c r="L93" s="15"/>
    </row>
    <row r="94" spans="1:20" x14ac:dyDescent="0.2">
      <c r="A94" s="33"/>
      <c r="B94" s="34" t="s">
        <v>136</v>
      </c>
      <c r="C94" s="15">
        <f t="shared" ref="C94:J94" si="27">(SUMPRODUCT(O$14:O$17,C$50:C$53,$E$68:$E$71,$I$68:$I$71)*C$80)/SUMPRODUCT(O$14:O$17,C$50:C$53)</f>
        <v>20.523480062936034</v>
      </c>
      <c r="D94" s="15">
        <f t="shared" si="27"/>
        <v>20.526725584092585</v>
      </c>
      <c r="E94" s="15">
        <f t="shared" si="27"/>
        <v>20.507862405784728</v>
      </c>
      <c r="F94" s="15">
        <f t="shared" si="27"/>
        <v>19.90801249835086</v>
      </c>
      <c r="G94" s="15">
        <f t="shared" si="27"/>
        <v>20.525342259799842</v>
      </c>
      <c r="H94" s="15">
        <f t="shared" si="27"/>
        <v>19.933788022596676</v>
      </c>
      <c r="I94" s="15">
        <f t="shared" si="27"/>
        <v>20.470750667203983</v>
      </c>
      <c r="J94" s="15">
        <f t="shared" si="27"/>
        <v>20.515243537341401</v>
      </c>
      <c r="K94" s="99"/>
      <c r="L94" s="15"/>
    </row>
    <row r="95" spans="1:20" x14ac:dyDescent="0.2">
      <c r="A95" s="33"/>
      <c r="B95" s="34"/>
      <c r="C95" s="15"/>
      <c r="D95" s="15"/>
      <c r="E95" s="15"/>
      <c r="F95" s="15"/>
      <c r="G95" s="15"/>
      <c r="H95" s="15"/>
      <c r="I95" s="15"/>
      <c r="J95" s="15"/>
      <c r="K95" s="99"/>
      <c r="L95" s="15"/>
    </row>
    <row r="96" spans="1:20" x14ac:dyDescent="0.2">
      <c r="A96" s="33"/>
      <c r="B96" s="34" t="s">
        <v>45</v>
      </c>
      <c r="C96" s="15">
        <f t="shared" ref="C96:J96" si="28">(SUMPRODUCT(C9:C13,C45:C49,$C63:$C67,$H63:$H67)*C80+SUMPRODUCT(O9:O13,C45:C49,$E63:$E67,$I63:$I67)*C80+SUMPRODUCT(C18:C20,C54:C56,$C72:$C74,$H72:$H74)*C80+SUMPRODUCT(O18:O20,C54:C56,$E72:$E74,$I72:$I74)*C80)/SUM(C45:C49,C54:C56)</f>
        <v>32.394727284049779</v>
      </c>
      <c r="D96" s="15">
        <f t="shared" si="28"/>
        <v>32.524391775980327</v>
      </c>
      <c r="E96" s="15">
        <f t="shared" si="28"/>
        <v>31.969718104048969</v>
      </c>
      <c r="F96" s="15">
        <f t="shared" si="28"/>
        <v>31.269438459637815</v>
      </c>
      <c r="G96" s="15">
        <f t="shared" si="28"/>
        <v>32.236690725131439</v>
      </c>
      <c r="H96" s="15">
        <f t="shared" si="28"/>
        <v>30.805187548730892</v>
      </c>
      <c r="I96" s="15">
        <f t="shared" si="28"/>
        <v>30.522719225031533</v>
      </c>
      <c r="J96" s="15">
        <f t="shared" si="28"/>
        <v>31.589197502765984</v>
      </c>
      <c r="K96" s="99"/>
      <c r="L96" s="15"/>
    </row>
    <row r="97" spans="1:12" x14ac:dyDescent="0.2">
      <c r="A97" s="33"/>
      <c r="B97" s="34" t="s">
        <v>135</v>
      </c>
      <c r="C97" s="15">
        <f t="shared" ref="C97:J97" si="29">((SUMPRODUCT(C$9:C$13,C$45:C$49,$C$63:$C$67,$H$63:$H$67)*C$80)+(SUMPRODUCT(C$18:C$20,C$54:C$56,$C$72:$C$74,$H$72:$H$74)*C$80))/(SUMPRODUCT(C$9:C$13,C$45:C$49)+SUMPRODUCT(C$18:C$20,C$54:C$56))</f>
        <v>35.916312657829813</v>
      </c>
      <c r="D97" s="15">
        <f t="shared" si="29"/>
        <v>36.066610935316888</v>
      </c>
      <c r="E97" s="15">
        <f t="shared" si="29"/>
        <v>35.016847605868307</v>
      </c>
      <c r="F97" s="15">
        <f t="shared" si="29"/>
        <v>34.750562711888676</v>
      </c>
      <c r="G97" s="15">
        <f t="shared" si="29"/>
        <v>35.285259366599597</v>
      </c>
      <c r="H97" s="15">
        <f t="shared" si="29"/>
        <v>34.024563514785399</v>
      </c>
      <c r="I97" s="15">
        <f t="shared" si="29"/>
        <v>35.742129656877722</v>
      </c>
      <c r="J97" s="15">
        <f t="shared" si="29"/>
        <v>35.152271883385481</v>
      </c>
      <c r="K97" s="99"/>
      <c r="L97" s="15"/>
    </row>
    <row r="98" spans="1:12" x14ac:dyDescent="0.2">
      <c r="A98" s="33"/>
      <c r="B98" s="34" t="s">
        <v>136</v>
      </c>
      <c r="C98" s="15">
        <f t="shared" ref="C98:J98" si="30">((SUMPRODUCT(O$9:O$13,C$45:C$49,$E$63:$E$67,$I$63:$I$67)*C$80)+(SUMPRODUCT(O$18:O$20,C$54:C$56,$E$72:$E$74,$I$72:$I$74)*C$80))/(SUMPRODUCT(O$9:O$13,C$45:C$49)+SUMPRODUCT(O$18:O$20,C$54:C$56))</f>
        <v>28.929338217675141</v>
      </c>
      <c r="D98" s="15">
        <f t="shared" si="30"/>
        <v>29.039643272697838</v>
      </c>
      <c r="E98" s="15">
        <f t="shared" si="30"/>
        <v>28.483482527530011</v>
      </c>
      <c r="F98" s="15">
        <f t="shared" si="30"/>
        <v>27.801569945393435</v>
      </c>
      <c r="G98" s="15">
        <f t="shared" si="30"/>
        <v>28.598822014891972</v>
      </c>
      <c r="H98" s="15">
        <f t="shared" si="30"/>
        <v>27.454460337265424</v>
      </c>
      <c r="I98" s="15">
        <f t="shared" si="30"/>
        <v>28.228462012781886</v>
      </c>
      <c r="J98" s="15">
        <f t="shared" si="30"/>
        <v>28.300153163493164</v>
      </c>
      <c r="K98" s="99"/>
      <c r="L98" s="15"/>
    </row>
    <row r="99" spans="1:12" x14ac:dyDescent="0.2">
      <c r="A99" s="33"/>
      <c r="B99" s="34"/>
      <c r="C99" s="15"/>
      <c r="D99" s="15"/>
      <c r="E99" s="15"/>
      <c r="F99" s="15"/>
      <c r="G99" s="15"/>
      <c r="H99" s="15"/>
      <c r="I99" s="15"/>
      <c r="J99" s="15"/>
      <c r="K99" s="99"/>
      <c r="L99" s="15"/>
    </row>
    <row r="100" spans="1:12" x14ac:dyDescent="0.2">
      <c r="A100" s="33"/>
      <c r="B100" s="5" t="s">
        <v>46</v>
      </c>
      <c r="C100" s="36">
        <f>(C92*SUM(C50:C53)+C96*SUM(C45:C49,C54:C56))/C57</f>
        <v>30.195428303990628</v>
      </c>
      <c r="D100" s="36">
        <f t="shared" ref="D100:J100" si="31">(D92*SUM(D50:D53)+D96*SUM(D45:D49,D54:D56))/D57</f>
        <v>30.389462846168868</v>
      </c>
      <c r="E100" s="36">
        <f t="shared" si="31"/>
        <v>30.149349532703045</v>
      </c>
      <c r="F100" s="36">
        <f t="shared" si="31"/>
        <v>29.601482498436869</v>
      </c>
      <c r="G100" s="36">
        <f t="shared" si="31"/>
        <v>30.319358368199637</v>
      </c>
      <c r="H100" s="36">
        <f t="shared" si="31"/>
        <v>29.127411066786621</v>
      </c>
      <c r="I100" s="36">
        <f t="shared" si="31"/>
        <v>28.117447760623893</v>
      </c>
      <c r="J100" s="36">
        <f t="shared" si="31"/>
        <v>29.50249657874874</v>
      </c>
      <c r="L100" s="36"/>
    </row>
    <row r="101" spans="1:12" x14ac:dyDescent="0.2">
      <c r="A101" s="33"/>
    </row>
    <row r="102" spans="1:12" x14ac:dyDescent="0.2">
      <c r="A102" s="33"/>
      <c r="B102" s="5" t="s">
        <v>47</v>
      </c>
      <c r="C102" s="100"/>
      <c r="D102" s="100"/>
      <c r="F102" s="101"/>
      <c r="G102" s="15">
        <f>SUMPRODUCT(C100:J100,C57:J57)/SUM(C57:J57)</f>
        <v>30.17761965200804</v>
      </c>
    </row>
    <row r="103" spans="1:12" x14ac:dyDescent="0.2">
      <c r="A103" s="33"/>
      <c r="C103" s="100"/>
      <c r="D103" s="100"/>
    </row>
    <row r="104" spans="1:12" x14ac:dyDescent="0.2">
      <c r="A104" s="33"/>
      <c r="C104" s="102"/>
      <c r="D104" s="102"/>
      <c r="E104" s="102"/>
      <c r="F104" s="103"/>
      <c r="G104" s="102"/>
      <c r="H104" s="102"/>
      <c r="J104" s="102"/>
    </row>
    <row r="105" spans="1:12" x14ac:dyDescent="0.2">
      <c r="A105" s="32" t="s">
        <v>77</v>
      </c>
      <c r="B105" s="3" t="s">
        <v>143</v>
      </c>
      <c r="C105" s="102"/>
      <c r="D105" s="102"/>
      <c r="E105" s="102"/>
      <c r="F105" s="103"/>
      <c r="G105" s="102"/>
      <c r="H105" s="102"/>
      <c r="J105" s="102"/>
    </row>
    <row r="106" spans="1:12" x14ac:dyDescent="0.2">
      <c r="A106" s="33"/>
      <c r="B106" s="4" t="s">
        <v>144</v>
      </c>
      <c r="C106" s="102"/>
      <c r="D106" s="102"/>
      <c r="E106" s="102"/>
      <c r="F106" s="103"/>
      <c r="G106" s="102"/>
      <c r="H106" s="102"/>
      <c r="J106" s="102"/>
    </row>
    <row r="107" spans="1:12" x14ac:dyDescent="0.2">
      <c r="A107" s="33"/>
      <c r="B107" s="4" t="s">
        <v>145</v>
      </c>
      <c r="C107" s="102"/>
      <c r="D107" s="102"/>
      <c r="E107" s="102"/>
      <c r="F107" s="103"/>
      <c r="G107" s="102"/>
      <c r="H107" s="102"/>
      <c r="J107" s="102"/>
    </row>
    <row r="108" spans="1:12" x14ac:dyDescent="0.2">
      <c r="A108" s="33"/>
      <c r="C108" s="50" t="s">
        <v>5</v>
      </c>
      <c r="D108" s="50" t="s">
        <v>139</v>
      </c>
      <c r="E108" s="50" t="s">
        <v>6</v>
      </c>
      <c r="F108" s="50" t="s">
        <v>7</v>
      </c>
      <c r="G108" s="50" t="s">
        <v>8</v>
      </c>
      <c r="H108" s="50" t="s">
        <v>9</v>
      </c>
      <c r="I108" s="50" t="s">
        <v>10</v>
      </c>
      <c r="J108" s="50" t="s">
        <v>11</v>
      </c>
      <c r="K108" s="50"/>
    </row>
    <row r="109" spans="1:12" x14ac:dyDescent="0.2">
      <c r="A109" s="33"/>
      <c r="C109" s="102"/>
      <c r="D109" s="102"/>
      <c r="E109" s="102"/>
      <c r="F109" s="103"/>
      <c r="G109" s="102"/>
      <c r="H109" s="102"/>
      <c r="J109" s="102"/>
    </row>
    <row r="110" spans="1:12" x14ac:dyDescent="0.2">
      <c r="B110" s="34" t="s">
        <v>44</v>
      </c>
      <c r="C110" s="153">
        <f>SUM(C50:C53)*C92/1000</f>
        <v>44970.069359492125</v>
      </c>
      <c r="D110" s="153">
        <f t="shared" ref="D110:J110" si="32">SUM(D50:D53)*D92/1000</f>
        <v>41.326232548589658</v>
      </c>
      <c r="E110" s="153">
        <f t="shared" si="32"/>
        <v>9394.8730587012615</v>
      </c>
      <c r="F110" s="153">
        <f t="shared" si="32"/>
        <v>137.7463978004547</v>
      </c>
      <c r="G110" s="153">
        <f t="shared" si="32"/>
        <v>9872.9626869102995</v>
      </c>
      <c r="H110" s="153">
        <f t="shared" si="32"/>
        <v>559.85700324481502</v>
      </c>
      <c r="I110" s="153">
        <f t="shared" si="32"/>
        <v>350.04639474045706</v>
      </c>
      <c r="J110" s="153">
        <f t="shared" si="32"/>
        <v>98.845499235252362</v>
      </c>
    </row>
    <row r="111" spans="1:12" x14ac:dyDescent="0.2">
      <c r="B111" s="35" t="s">
        <v>146</v>
      </c>
      <c r="C111" s="153">
        <f t="shared" ref="C111:J111" si="33">SUMPRODUCT(C50:C53,C14:C17)*C93/1000</f>
        <v>29406.374211988292</v>
      </c>
      <c r="D111" s="153">
        <f t="shared" si="33"/>
        <v>27.047067223271309</v>
      </c>
      <c r="E111" s="153">
        <f t="shared" si="33"/>
        <v>6329.6383021713009</v>
      </c>
      <c r="F111" s="153">
        <f t="shared" si="33"/>
        <v>84.036506111481842</v>
      </c>
      <c r="G111" s="153">
        <f t="shared" si="33"/>
        <v>6593.8180770496247</v>
      </c>
      <c r="H111" s="153">
        <f t="shared" si="33"/>
        <v>353.99044372408707</v>
      </c>
      <c r="I111" s="153">
        <f t="shared" si="33"/>
        <v>107.42821629053846</v>
      </c>
      <c r="J111" s="153">
        <f t="shared" si="33"/>
        <v>58.859799259432613</v>
      </c>
    </row>
    <row r="112" spans="1:12" x14ac:dyDescent="0.2">
      <c r="B112" s="35" t="s">
        <v>147</v>
      </c>
      <c r="C112" s="153">
        <f t="shared" ref="C112:J112" si="34">SUMPRODUCT(C50:C53,O14:O17)*C94/1000</f>
        <v>15563.695147503835</v>
      </c>
      <c r="D112" s="153">
        <f t="shared" si="34"/>
        <v>14.279165325318356</v>
      </c>
      <c r="E112" s="153">
        <f t="shared" si="34"/>
        <v>3065.2347565299629</v>
      </c>
      <c r="F112" s="153">
        <f t="shared" si="34"/>
        <v>53.709891688972867</v>
      </c>
      <c r="G112" s="153">
        <f t="shared" si="34"/>
        <v>3279.1446098606743</v>
      </c>
      <c r="H112" s="153">
        <f t="shared" si="34"/>
        <v>205.86655952072795</v>
      </c>
      <c r="I112" s="153">
        <f t="shared" si="34"/>
        <v>242.61817844991859</v>
      </c>
      <c r="J112" s="153">
        <f t="shared" si="34"/>
        <v>39.985699975819756</v>
      </c>
    </row>
    <row r="113" spans="1:29" x14ac:dyDescent="0.2">
      <c r="C113" s="102"/>
      <c r="D113" s="102"/>
      <c r="E113" s="102"/>
      <c r="F113" s="102"/>
      <c r="G113" s="102"/>
      <c r="H113" s="102"/>
      <c r="I113" s="102"/>
      <c r="J113" s="102"/>
    </row>
    <row r="114" spans="1:29" x14ac:dyDescent="0.2">
      <c r="B114" s="34" t="s">
        <v>45</v>
      </c>
      <c r="C114" s="154">
        <f t="shared" ref="C114:J114" si="35">SUM(C45:C49,C54:C56)*C96/1000</f>
        <v>71908.00099379626</v>
      </c>
      <c r="D114" s="154">
        <f t="shared" si="35"/>
        <v>72.553881008133786</v>
      </c>
      <c r="E114" s="154">
        <f t="shared" si="35"/>
        <v>16235.954768305011</v>
      </c>
      <c r="F114" s="154">
        <f t="shared" si="35"/>
        <v>376.84530689412901</v>
      </c>
      <c r="G114" s="154">
        <f t="shared" si="35"/>
        <v>17850.231453547163</v>
      </c>
      <c r="H114" s="154">
        <f t="shared" si="35"/>
        <v>1180.9269368403959</v>
      </c>
      <c r="I114" s="154">
        <f t="shared" si="35"/>
        <v>963.52628968566205</v>
      </c>
      <c r="J114" s="154">
        <f t="shared" si="35"/>
        <v>175.08287546335899</v>
      </c>
    </row>
    <row r="115" spans="1:29" x14ac:dyDescent="0.2">
      <c r="B115" s="35" t="s">
        <v>146</v>
      </c>
      <c r="C115" s="153">
        <f t="shared" ref="C115:J115" si="36">(SUMPRODUCT(C45:C49,C9:C13)+SUMPRODUCT(C54:C56,C18:C20))*C97/1000</f>
        <v>39541.894895890313</v>
      </c>
      <c r="D115" s="153">
        <f t="shared" si="36"/>
        <v>39.898841422369046</v>
      </c>
      <c r="E115" s="153">
        <f t="shared" si="36"/>
        <v>9489.3371181954062</v>
      </c>
      <c r="F115" s="153">
        <f t="shared" si="36"/>
        <v>208.9996858861513</v>
      </c>
      <c r="G115" s="153">
        <f t="shared" si="36"/>
        <v>10630.139276592676</v>
      </c>
      <c r="H115" s="153">
        <f t="shared" si="36"/>
        <v>665.2097668433197</v>
      </c>
      <c r="I115" s="153">
        <f t="shared" si="36"/>
        <v>344.51719127355551</v>
      </c>
      <c r="J115" s="153">
        <f t="shared" si="36"/>
        <v>93.519747445505587</v>
      </c>
    </row>
    <row r="116" spans="1:29" x14ac:dyDescent="0.2">
      <c r="B116" s="35" t="s">
        <v>147</v>
      </c>
      <c r="C116" s="153">
        <f t="shared" ref="C116:J116" si="37">+(SUMPRODUCT(C45:C49,O9:O13)+SUMPRODUCT(C54:C56,O18:O20))*C98/1000</f>
        <v>32366.10609790594</v>
      </c>
      <c r="D116" s="153">
        <f t="shared" si="37"/>
        <v>32.655039585764733</v>
      </c>
      <c r="E116" s="153">
        <f t="shared" si="37"/>
        <v>6746.6176501096024</v>
      </c>
      <c r="F116" s="153">
        <f t="shared" si="37"/>
        <v>167.84562100797774</v>
      </c>
      <c r="G116" s="153">
        <f t="shared" si="37"/>
        <v>7220.0921769544893</v>
      </c>
      <c r="H116" s="153">
        <f t="shared" si="37"/>
        <v>515.7171699970761</v>
      </c>
      <c r="I116" s="153">
        <f t="shared" si="37"/>
        <v>619.00909841210648</v>
      </c>
      <c r="J116" s="153">
        <f t="shared" si="37"/>
        <v>81.563128017853387</v>
      </c>
    </row>
    <row r="117" spans="1:29" x14ac:dyDescent="0.2">
      <c r="C117" s="102"/>
      <c r="D117" s="102"/>
      <c r="E117" s="102"/>
      <c r="F117" s="103"/>
      <c r="G117" s="102"/>
      <c r="H117" s="102"/>
      <c r="J117" s="102"/>
    </row>
    <row r="118" spans="1:29" x14ac:dyDescent="0.2">
      <c r="B118" s="5" t="s">
        <v>46</v>
      </c>
      <c r="C118" s="154">
        <f>+C110+C114</f>
        <v>116878.07035328838</v>
      </c>
      <c r="D118" s="154">
        <f t="shared" ref="D118:J118" si="38">+D110+D114</f>
        <v>113.88011355672344</v>
      </c>
      <c r="E118" s="154">
        <f t="shared" si="38"/>
        <v>25630.827827006273</v>
      </c>
      <c r="F118" s="154">
        <f t="shared" si="38"/>
        <v>514.59170469458377</v>
      </c>
      <c r="G118" s="154">
        <f t="shared" si="38"/>
        <v>27723.194140457461</v>
      </c>
      <c r="H118" s="154">
        <f>+H110+H114</f>
        <v>1740.7839400852108</v>
      </c>
      <c r="I118" s="154">
        <f t="shared" si="38"/>
        <v>1313.5726844261192</v>
      </c>
      <c r="J118" s="154">
        <f t="shared" si="38"/>
        <v>273.92837469861138</v>
      </c>
    </row>
    <row r="119" spans="1:29" x14ac:dyDescent="0.2">
      <c r="C119" s="102"/>
      <c r="D119" s="102"/>
      <c r="E119" s="102"/>
      <c r="F119" s="103"/>
      <c r="G119" s="102"/>
      <c r="H119" s="102"/>
      <c r="J119" s="102"/>
    </row>
    <row r="120" spans="1:29" x14ac:dyDescent="0.2">
      <c r="B120" s="5" t="s">
        <v>148</v>
      </c>
      <c r="C120" s="153">
        <f>SUM(C118:J118)</f>
        <v>174188.84913821335</v>
      </c>
      <c r="D120" s="102"/>
      <c r="E120" s="102"/>
      <c r="F120" s="103"/>
      <c r="G120" s="102"/>
      <c r="H120" s="102"/>
      <c r="J120" s="102"/>
    </row>
    <row r="121" spans="1:29" x14ac:dyDescent="0.2">
      <c r="A121" s="33"/>
      <c r="C121" s="102"/>
      <c r="D121" s="102"/>
      <c r="E121" s="102"/>
      <c r="F121" s="103"/>
      <c r="G121" s="102"/>
      <c r="H121" s="102"/>
      <c r="J121" s="102"/>
    </row>
    <row r="122" spans="1:29" x14ac:dyDescent="0.2">
      <c r="A122" s="33"/>
      <c r="C122" s="102"/>
      <c r="D122" s="102"/>
      <c r="E122" s="102"/>
      <c r="F122" s="103"/>
      <c r="G122" s="102"/>
      <c r="H122" s="102"/>
      <c r="J122" s="102"/>
    </row>
    <row r="123" spans="1:29" x14ac:dyDescent="0.2">
      <c r="A123" s="32" t="s">
        <v>78</v>
      </c>
      <c r="B123" s="3" t="s">
        <v>149</v>
      </c>
      <c r="C123" s="102"/>
      <c r="D123" s="102"/>
      <c r="E123" s="102"/>
      <c r="F123" s="103"/>
      <c r="G123" s="102"/>
      <c r="H123" s="102"/>
      <c r="J123" s="102"/>
      <c r="P123" s="5" t="s">
        <v>159</v>
      </c>
      <c r="Q123" s="5" t="s">
        <v>155</v>
      </c>
      <c r="R123" s="5" t="s">
        <v>156</v>
      </c>
      <c r="S123" s="7" t="s">
        <v>157</v>
      </c>
    </row>
    <row r="124" spans="1:29" x14ac:dyDescent="0.2">
      <c r="A124" s="33"/>
      <c r="B124" s="4" t="s">
        <v>150</v>
      </c>
      <c r="C124" s="102"/>
      <c r="D124" s="102"/>
      <c r="E124" s="102"/>
      <c r="F124" s="103"/>
      <c r="G124" s="102"/>
      <c r="H124" s="102"/>
      <c r="J124" s="102"/>
      <c r="R124" s="5" t="s">
        <v>160</v>
      </c>
      <c r="S124" s="7" t="s">
        <v>161</v>
      </c>
      <c r="T124" s="5" t="s">
        <v>158</v>
      </c>
    </row>
    <row r="125" spans="1:29" x14ac:dyDescent="0.2">
      <c r="A125" s="33"/>
      <c r="B125" s="4" t="s">
        <v>35</v>
      </c>
      <c r="C125" s="102"/>
      <c r="D125" s="102"/>
      <c r="E125" s="102"/>
      <c r="F125" s="103"/>
      <c r="G125" s="102"/>
      <c r="H125" s="102"/>
      <c r="J125" s="102"/>
    </row>
    <row r="126" spans="1:29" x14ac:dyDescent="0.2">
      <c r="A126" s="33"/>
      <c r="B126" s="3"/>
      <c r="C126" s="50" t="s">
        <v>5</v>
      </c>
      <c r="D126" s="50" t="s">
        <v>139</v>
      </c>
      <c r="E126" s="50" t="s">
        <v>6</v>
      </c>
      <c r="F126" s="50" t="s">
        <v>7</v>
      </c>
      <c r="G126" s="50" t="s">
        <v>8</v>
      </c>
      <c r="H126" s="50" t="s">
        <v>9</v>
      </c>
      <c r="I126" s="50" t="s">
        <v>10</v>
      </c>
      <c r="J126" s="50" t="s">
        <v>11</v>
      </c>
      <c r="P126" s="28" t="str">
        <f>+D126</f>
        <v>RS TOU - BGS</v>
      </c>
      <c r="Q126" s="28" t="str">
        <f>P126</f>
        <v>RS TOU - BGS</v>
      </c>
      <c r="R126" s="28" t="str">
        <f>+D126</f>
        <v>RS TOU - BGS</v>
      </c>
      <c r="S126" s="28" t="str">
        <f>+D126</f>
        <v>RS TOU - BGS</v>
      </c>
      <c r="T126" s="37" t="str">
        <f>+D126</f>
        <v>RS TOU - BGS</v>
      </c>
      <c r="U126" s="28"/>
      <c r="W126" s="28"/>
      <c r="Z126" s="28"/>
      <c r="AC126" s="28"/>
    </row>
    <row r="127" spans="1:29" x14ac:dyDescent="0.2">
      <c r="A127" s="33"/>
      <c r="C127" s="102"/>
      <c r="D127" s="102"/>
      <c r="E127" s="102"/>
      <c r="F127" s="103"/>
      <c r="G127" s="102"/>
      <c r="H127" s="102"/>
      <c r="J127" s="102"/>
    </row>
    <row r="128" spans="1:29" x14ac:dyDescent="0.2">
      <c r="A128" s="33"/>
      <c r="B128" s="34" t="s">
        <v>44</v>
      </c>
      <c r="C128" s="155">
        <f t="shared" ref="C128:J128" si="39">+C110/SUM(C50:C53)*1000</f>
        <v>27.238463171642508</v>
      </c>
      <c r="D128" s="155">
        <f>+D110/SUM(D50:D53)*1000</f>
        <v>27.249220570231024</v>
      </c>
      <c r="E128" s="155">
        <f t="shared" si="39"/>
        <v>27.448354687525374</v>
      </c>
      <c r="F128" s="155">
        <f t="shared" si="39"/>
        <v>25.831820795962585</v>
      </c>
      <c r="G128" s="155">
        <f t="shared" si="39"/>
        <v>27.375570670072641</v>
      </c>
      <c r="H128" s="155">
        <f t="shared" si="39"/>
        <v>26.125977671860927</v>
      </c>
      <c r="I128" s="155">
        <f t="shared" si="39"/>
        <v>23.105616906242954</v>
      </c>
      <c r="J128" s="155">
        <f t="shared" si="39"/>
        <v>26.412118441656908</v>
      </c>
    </row>
    <row r="129" spans="1:29" x14ac:dyDescent="0.2">
      <c r="A129" s="33"/>
      <c r="B129" s="35" t="s">
        <v>153</v>
      </c>
      <c r="C129" s="102"/>
      <c r="D129" s="155">
        <f>+(D111*1000-R129*AVERAGE(D$93,D$94))/P129</f>
        <v>34.813738675427864</v>
      </c>
      <c r="E129" s="104"/>
      <c r="F129" s="103"/>
      <c r="G129" s="102"/>
      <c r="H129" s="102"/>
      <c r="J129" s="102"/>
      <c r="P129" s="38">
        <f>SUMPRODUCT(D50:D53,D32:D35)</f>
        <v>631.08484300776104</v>
      </c>
      <c r="Q129" s="38">
        <f>SUMPRODUCT(D50:D53,D14:D17)</f>
        <v>820.96461578009405</v>
      </c>
      <c r="R129" s="38">
        <f>+Q129-P129</f>
        <v>189.87977277233301</v>
      </c>
      <c r="S129" s="39">
        <f>+D129*P129/1000</f>
        <v>21.970422806495613</v>
      </c>
      <c r="W129" s="38"/>
      <c r="Z129" s="39"/>
    </row>
    <row r="130" spans="1:29" ht="15" x14ac:dyDescent="0.35">
      <c r="A130" s="33"/>
      <c r="B130" s="35" t="s">
        <v>154</v>
      </c>
      <c r="C130" s="102"/>
      <c r="D130" s="155">
        <f>+(D112*1000-R130*AVERAGE(D$93,D$94))/P130</f>
        <v>21.858189263433648</v>
      </c>
      <c r="E130" s="102"/>
      <c r="F130" s="103"/>
      <c r="G130" s="102"/>
      <c r="H130" s="102"/>
      <c r="J130" s="102"/>
      <c r="P130" s="38">
        <f>SUMPRODUCT(D50:D53,P32:P35)</f>
        <v>885.51752886842223</v>
      </c>
      <c r="Q130" s="38">
        <f>SUMPRODUCT(D50:D53,P14:P17)</f>
        <v>695.63775609608945</v>
      </c>
      <c r="R130" s="38">
        <f>+Q130-P130</f>
        <v>-189.87977277233279</v>
      </c>
      <c r="S130" s="40">
        <f>+D130*P130/1000</f>
        <v>19.355809742094042</v>
      </c>
      <c r="W130" s="38"/>
      <c r="Z130" s="40"/>
    </row>
    <row r="131" spans="1:29" x14ac:dyDescent="0.2">
      <c r="A131" s="33"/>
      <c r="C131" s="102"/>
      <c r="D131" s="102"/>
      <c r="E131" s="102"/>
      <c r="F131" s="103"/>
      <c r="G131" s="102"/>
      <c r="H131" s="102"/>
      <c r="J131" s="102"/>
      <c r="P131" s="38">
        <f>SUM(P129:P130)</f>
        <v>1516.6023718761833</v>
      </c>
      <c r="Q131" s="38">
        <f>SUM(Q129:Q130)</f>
        <v>1516.6023718761835</v>
      </c>
      <c r="R131" s="38"/>
      <c r="S131" s="39">
        <f>+S130+S129</f>
        <v>41.326232548589658</v>
      </c>
      <c r="T131" s="41">
        <f>+D110</f>
        <v>41.326232548589658</v>
      </c>
      <c r="W131" s="38"/>
      <c r="Z131" s="39"/>
      <c r="AC131" s="41"/>
    </row>
    <row r="132" spans="1:29" x14ac:dyDescent="0.2">
      <c r="A132" s="33"/>
      <c r="B132" s="34" t="s">
        <v>45</v>
      </c>
      <c r="C132" s="36">
        <f t="shared" ref="C132:J132" si="40">+C114/SUM(C45:C49,C54:C56)*1000</f>
        <v>32.394727284049772</v>
      </c>
      <c r="D132" s="36">
        <f t="shared" si="40"/>
        <v>32.524391775980327</v>
      </c>
      <c r="E132" s="36">
        <f t="shared" si="40"/>
        <v>31.969718104048972</v>
      </c>
      <c r="F132" s="36">
        <f t="shared" si="40"/>
        <v>31.269438459637811</v>
      </c>
      <c r="G132" s="36">
        <f t="shared" si="40"/>
        <v>32.236690725131432</v>
      </c>
      <c r="H132" s="36">
        <f t="shared" si="40"/>
        <v>30.805187548730892</v>
      </c>
      <c r="I132" s="36">
        <f>+I114/SUM(I45:I49,I54:I56)*1000</f>
        <v>30.522719225031537</v>
      </c>
      <c r="J132" s="36">
        <f t="shared" si="40"/>
        <v>31.58919750276598</v>
      </c>
      <c r="M132" s="41"/>
      <c r="P132" s="38"/>
      <c r="Q132" s="38"/>
      <c r="R132" s="38"/>
      <c r="S132" s="39"/>
      <c r="T132" s="41"/>
      <c r="W132" s="38"/>
      <c r="Z132" s="39"/>
    </row>
    <row r="133" spans="1:29" x14ac:dyDescent="0.2">
      <c r="A133" s="33"/>
      <c r="B133" s="35" t="s">
        <v>153</v>
      </c>
      <c r="C133" s="102"/>
      <c r="D133" s="155">
        <f>+(D115*1000-R133*AVERAGE(D$97,D$98))/P133</f>
        <v>37.372599324550656</v>
      </c>
      <c r="E133" s="102"/>
      <c r="F133" s="103"/>
      <c r="G133" s="102"/>
      <c r="H133" s="102"/>
      <c r="J133" s="102"/>
      <c r="M133" s="38"/>
      <c r="P133" s="38">
        <f>SUMPRODUCT(D45:D49,D27:D31)+SUMPRODUCT(D54:D56,D36:D38)</f>
        <v>806.47967714590902</v>
      </c>
      <c r="Q133" s="38">
        <f>SUMPRODUCT(D45:D49,D9:D13)+SUMPRODUCT(D54:D56,D18:D20)</f>
        <v>1106.2542442350632</v>
      </c>
      <c r="R133" s="38">
        <f>+Q133-P133</f>
        <v>299.77456708915417</v>
      </c>
      <c r="S133" s="39">
        <f>+D133*P133/1000</f>
        <v>30.140241837367029</v>
      </c>
      <c r="T133" s="41"/>
      <c r="W133" s="38"/>
      <c r="Z133" s="39"/>
    </row>
    <row r="134" spans="1:29" ht="15" x14ac:dyDescent="0.35">
      <c r="A134" s="33"/>
      <c r="B134" s="35" t="s">
        <v>154</v>
      </c>
      <c r="C134" s="102"/>
      <c r="D134" s="155">
        <f>+(D116*1000-R134*AVERAGE(D$97,D$98))/P134</f>
        <v>29.779145415736618</v>
      </c>
      <c r="E134" s="102"/>
      <c r="F134" s="103"/>
      <c r="G134" s="102"/>
      <c r="H134" s="102"/>
      <c r="J134" s="102"/>
      <c r="P134" s="38">
        <f>SUMPRODUCT(D45:D49,P27:P31)+SUMPRODUCT(D54:D56,P36:P38)</f>
        <v>1424.2732146488497</v>
      </c>
      <c r="Q134" s="38">
        <f>SUMPRODUCT(D45:D49,P9:P13)+SUMPRODUCT(D54:D56,P18:P20)</f>
        <v>1124.4986475596957</v>
      </c>
      <c r="R134" s="38">
        <f>+Q134-P134</f>
        <v>-299.77456708915406</v>
      </c>
      <c r="S134" s="40">
        <f>+D134*P134/1000</f>
        <v>42.41363917076675</v>
      </c>
      <c r="T134" s="41"/>
      <c r="W134" s="38"/>
      <c r="Z134" s="40"/>
    </row>
    <row r="135" spans="1:29" x14ac:dyDescent="0.2">
      <c r="A135" s="33"/>
      <c r="C135" s="102"/>
      <c r="D135" s="102"/>
      <c r="E135" s="102"/>
      <c r="F135" s="103"/>
      <c r="G135" s="102"/>
      <c r="H135" s="102"/>
      <c r="J135" s="102"/>
      <c r="M135" s="108"/>
      <c r="N135" s="108"/>
      <c r="P135" s="38">
        <f>SUM(P133:P134)</f>
        <v>2230.7528917947589</v>
      </c>
      <c r="Q135" s="38">
        <f>SUM(Q133:Q134)</f>
        <v>2230.7528917947589</v>
      </c>
      <c r="S135" s="39">
        <f>+S134+S133</f>
        <v>72.553881008133772</v>
      </c>
      <c r="T135" s="41">
        <f>+D114</f>
        <v>72.553881008133786</v>
      </c>
      <c r="Z135" s="39"/>
      <c r="AC135" s="41"/>
    </row>
    <row r="136" spans="1:29" x14ac:dyDescent="0.2">
      <c r="A136" s="33"/>
      <c r="B136" s="5" t="s">
        <v>151</v>
      </c>
      <c r="C136" s="15">
        <f t="shared" ref="C136:J136" si="41">(C128*SUM(C50:C53)+C132*SUM(C45:C49,C54:C56))/C57</f>
        <v>30.195428303990621</v>
      </c>
      <c r="D136" s="15">
        <f t="shared" si="41"/>
        <v>30.389462846168868</v>
      </c>
      <c r="E136" s="15">
        <f t="shared" si="41"/>
        <v>30.149349532703045</v>
      </c>
      <c r="F136" s="15">
        <f t="shared" si="41"/>
        <v>29.601482498436866</v>
      </c>
      <c r="G136" s="15">
        <f t="shared" si="41"/>
        <v>30.31935836819963</v>
      </c>
      <c r="H136" s="15">
        <f t="shared" si="41"/>
        <v>29.127411066786621</v>
      </c>
      <c r="I136" s="15">
        <f t="shared" si="41"/>
        <v>28.117447760623893</v>
      </c>
      <c r="J136" s="15">
        <f t="shared" si="41"/>
        <v>29.50249657874874</v>
      </c>
      <c r="P136" s="38"/>
      <c r="Q136" s="38"/>
    </row>
    <row r="137" spans="1:29" x14ac:dyDescent="0.2">
      <c r="A137" s="33"/>
      <c r="B137" s="5" t="s">
        <v>152</v>
      </c>
      <c r="C137" s="155">
        <f>+C120/SUM(C57:J57)*1000</f>
        <v>30.17761965200804</v>
      </c>
      <c r="D137" s="102"/>
      <c r="E137" s="102"/>
      <c r="F137" s="103"/>
      <c r="G137" s="102"/>
      <c r="H137" s="102"/>
      <c r="J137" s="102"/>
      <c r="M137" s="108"/>
    </row>
    <row r="138" spans="1:29" x14ac:dyDescent="0.2">
      <c r="A138" s="33"/>
      <c r="C138" s="102"/>
      <c r="D138" s="102"/>
      <c r="E138" s="102"/>
      <c r="F138" s="103"/>
      <c r="G138" s="102"/>
      <c r="H138" s="102"/>
      <c r="J138" s="102"/>
      <c r="M138" s="108"/>
    </row>
    <row r="139" spans="1:29" x14ac:dyDescent="0.2">
      <c r="A139" s="33"/>
      <c r="C139" s="102"/>
      <c r="D139" s="102"/>
      <c r="E139" s="102"/>
      <c r="F139" s="103"/>
      <c r="G139" s="102"/>
      <c r="H139" s="102"/>
      <c r="J139" s="102"/>
      <c r="M139" s="108"/>
    </row>
    <row r="140" spans="1:29" x14ac:dyDescent="0.2">
      <c r="A140" s="32" t="s">
        <v>85</v>
      </c>
      <c r="B140" s="3" t="s">
        <v>49</v>
      </c>
      <c r="M140" s="108"/>
    </row>
    <row r="141" spans="1:29" x14ac:dyDescent="0.2">
      <c r="A141" s="33"/>
      <c r="B141" s="4" t="s">
        <v>270</v>
      </c>
    </row>
    <row r="142" spans="1:29" x14ac:dyDescent="0.2">
      <c r="A142" s="33"/>
      <c r="B142" s="4" t="s">
        <v>50</v>
      </c>
      <c r="C142" s="50" t="s">
        <v>5</v>
      </c>
      <c r="D142" s="50" t="s">
        <v>139</v>
      </c>
      <c r="E142" s="50" t="s">
        <v>6</v>
      </c>
      <c r="F142" s="50" t="s">
        <v>7</v>
      </c>
      <c r="G142" s="50" t="s">
        <v>8</v>
      </c>
      <c r="H142" s="50" t="s">
        <v>9</v>
      </c>
      <c r="I142" s="50" t="s">
        <v>10</v>
      </c>
      <c r="J142" s="50" t="s">
        <v>11</v>
      </c>
      <c r="K142" s="50" t="s">
        <v>29</v>
      </c>
      <c r="L142" s="28"/>
    </row>
    <row r="143" spans="1:29" x14ac:dyDescent="0.2">
      <c r="A143" s="33"/>
    </row>
    <row r="144" spans="1:29" x14ac:dyDescent="0.2">
      <c r="A144" s="33"/>
      <c r="B144" s="5" t="s">
        <v>51</v>
      </c>
      <c r="C144" s="122">
        <v>1206.0292588500001</v>
      </c>
      <c r="D144" s="122">
        <v>0.57310574999999997</v>
      </c>
      <c r="E144" s="122">
        <v>227.73249450000003</v>
      </c>
      <c r="F144" s="122">
        <v>2.5943512499999999</v>
      </c>
      <c r="G144" s="122">
        <v>187.51875974999999</v>
      </c>
      <c r="H144" s="122">
        <v>10.122399000000001</v>
      </c>
      <c r="I144" s="122">
        <v>0</v>
      </c>
      <c r="J144" s="122">
        <v>1.1947477499999999</v>
      </c>
      <c r="K144" s="122">
        <f>SUM(C144:J144)</f>
        <v>1635.7651168500004</v>
      </c>
      <c r="L144" s="122"/>
    </row>
    <row r="145" spans="1:19" x14ac:dyDescent="0.2">
      <c r="A145" s="33"/>
      <c r="B145" s="5" t="s">
        <v>52</v>
      </c>
      <c r="C145" s="167">
        <v>1444.4949729191417</v>
      </c>
      <c r="D145" s="167">
        <v>0.68642478509637705</v>
      </c>
      <c r="E145" s="167">
        <v>272.76157776575161</v>
      </c>
      <c r="F145" s="167">
        <v>3.1073270495816305</v>
      </c>
      <c r="G145" s="167">
        <v>224.59646297901028</v>
      </c>
      <c r="H145" s="167">
        <v>12.123880380252308</v>
      </c>
      <c r="I145" s="167">
        <v>0</v>
      </c>
      <c r="J145" s="167">
        <v>1.4309827942541671</v>
      </c>
      <c r="K145" s="167">
        <f>SUM(C145:J145)</f>
        <v>1959.201628673088</v>
      </c>
      <c r="L145" s="123"/>
    </row>
    <row r="146" spans="1:19" x14ac:dyDescent="0.2">
      <c r="A146" s="33"/>
    </row>
    <row r="147" spans="1:19" x14ac:dyDescent="0.2">
      <c r="A147" s="33"/>
      <c r="B147" s="5" t="s">
        <v>53</v>
      </c>
      <c r="C147" s="167">
        <v>1390.74119475</v>
      </c>
      <c r="D147" s="167">
        <v>0.66643065000000001</v>
      </c>
      <c r="E147" s="167">
        <v>247.65002550000003</v>
      </c>
      <c r="F147" s="167">
        <v>3.0583282499999997</v>
      </c>
      <c r="G147" s="167">
        <v>201.3888960000001</v>
      </c>
      <c r="H147" s="167">
        <v>10.612881000000002</v>
      </c>
      <c r="I147" s="167">
        <v>0</v>
      </c>
      <c r="J147" s="167">
        <v>1.2462929999999999</v>
      </c>
      <c r="K147" s="167">
        <f>SUM(C147:J147)</f>
        <v>1855.36404915</v>
      </c>
      <c r="L147" s="122"/>
      <c r="M147" s="41"/>
      <c r="N147" s="41"/>
    </row>
    <row r="148" spans="1:19" x14ac:dyDescent="0.2">
      <c r="C148" s="122"/>
      <c r="D148" s="122"/>
      <c r="E148" s="122"/>
      <c r="F148" s="122"/>
      <c r="G148" s="122"/>
      <c r="H148" s="122"/>
      <c r="I148" s="122"/>
      <c r="K148" s="123"/>
      <c r="M148" s="123"/>
      <c r="N148" s="38"/>
    </row>
    <row r="149" spans="1:19" x14ac:dyDescent="0.2">
      <c r="B149" s="5" t="s">
        <v>54</v>
      </c>
      <c r="L149" s="28"/>
      <c r="M149" s="124"/>
      <c r="N149" s="124"/>
    </row>
    <row r="150" spans="1:19" x14ac:dyDescent="0.2">
      <c r="E150" s="7" t="s">
        <v>55</v>
      </c>
      <c r="F150" s="43">
        <f>30+31+31+30</f>
        <v>122</v>
      </c>
      <c r="H150" s="7" t="s">
        <v>56</v>
      </c>
      <c r="I150" s="43">
        <v>4</v>
      </c>
      <c r="K150" s="125"/>
    </row>
    <row r="151" spans="1:19" x14ac:dyDescent="0.2">
      <c r="E151" s="126" t="s">
        <v>57</v>
      </c>
      <c r="F151" s="43">
        <v>243</v>
      </c>
      <c r="H151" s="126" t="s">
        <v>58</v>
      </c>
      <c r="I151" s="43">
        <v>8</v>
      </c>
      <c r="K151" s="127"/>
      <c r="L151" s="6"/>
    </row>
    <row r="152" spans="1:19" x14ac:dyDescent="0.2">
      <c r="H152" s="7" t="s">
        <v>59</v>
      </c>
      <c r="I152" s="5">
        <f>+I150+I151</f>
        <v>12</v>
      </c>
      <c r="K152" s="127"/>
      <c r="L152" s="6"/>
      <c r="M152" s="41"/>
    </row>
    <row r="153" spans="1:19" x14ac:dyDescent="0.2">
      <c r="A153" s="33"/>
      <c r="B153" s="5" t="s">
        <v>60</v>
      </c>
      <c r="E153" s="78">
        <v>51759.652319495617</v>
      </c>
      <c r="F153" s="105" t="s">
        <v>61</v>
      </c>
      <c r="L153" s="128"/>
    </row>
    <row r="154" spans="1:19" x14ac:dyDescent="0.2">
      <c r="A154" s="33"/>
      <c r="F154" s="105"/>
    </row>
    <row r="155" spans="1:19" ht="25.5" x14ac:dyDescent="0.2">
      <c r="A155" s="33"/>
      <c r="B155" s="5" t="s">
        <v>62</v>
      </c>
      <c r="D155" s="176" t="s">
        <v>239</v>
      </c>
      <c r="E155" s="176"/>
      <c r="Q155" s="7"/>
      <c r="R155" s="7"/>
      <c r="S155" s="106"/>
    </row>
    <row r="156" spans="1:19" x14ac:dyDescent="0.2">
      <c r="A156" s="33"/>
      <c r="C156" s="5" t="s">
        <v>63</v>
      </c>
      <c r="D156" s="177">
        <v>169.63</v>
      </c>
      <c r="E156" s="105" t="s">
        <v>64</v>
      </c>
      <c r="F156" s="177"/>
      <c r="I156" s="7" t="s">
        <v>65</v>
      </c>
      <c r="J156" s="41">
        <f>$K$145*$D156*$F150</f>
        <v>40545403.417161539</v>
      </c>
      <c r="K156" s="7"/>
      <c r="L156" s="106"/>
      <c r="M156" s="102"/>
    </row>
    <row r="157" spans="1:19" x14ac:dyDescent="0.2">
      <c r="A157" s="33"/>
      <c r="C157" s="5" t="s">
        <v>66</v>
      </c>
      <c r="D157" s="177">
        <f>+D156</f>
        <v>169.63</v>
      </c>
      <c r="E157" s="105" t="s">
        <v>64</v>
      </c>
      <c r="F157" s="177"/>
      <c r="I157" s="129" t="s">
        <v>67</v>
      </c>
      <c r="J157" s="156">
        <f>$K$145*$D157*$F151</f>
        <v>80758467.462051257</v>
      </c>
      <c r="K157" s="7"/>
      <c r="L157" s="106"/>
    </row>
    <row r="158" spans="1:19" x14ac:dyDescent="0.2">
      <c r="A158" s="33"/>
      <c r="F158" s="130"/>
      <c r="G158" s="105"/>
      <c r="I158" s="7" t="s">
        <v>68</v>
      </c>
      <c r="J158" s="41">
        <f>SUM(J156:J157)</f>
        <v>121303870.8792128</v>
      </c>
      <c r="K158" s="7"/>
      <c r="L158" s="106"/>
    </row>
    <row r="159" spans="1:19" x14ac:dyDescent="0.2">
      <c r="A159" s="33"/>
      <c r="E159" s="155"/>
      <c r="F159" s="130"/>
      <c r="G159" s="105"/>
      <c r="I159" s="7"/>
      <c r="J159" s="41"/>
      <c r="K159" s="7"/>
      <c r="L159" s="106"/>
    </row>
    <row r="160" spans="1:19" x14ac:dyDescent="0.2">
      <c r="A160" s="33"/>
      <c r="B160" s="4" t="s">
        <v>69</v>
      </c>
      <c r="J160" s="7"/>
      <c r="K160" s="7"/>
      <c r="L160" s="106"/>
    </row>
    <row r="161" spans="1:13" x14ac:dyDescent="0.2">
      <c r="A161" s="33"/>
      <c r="B161" s="4"/>
      <c r="C161" s="8" t="str">
        <f>" ---------- Rate "&amp;C142&amp;" ----------"</f>
        <v xml:space="preserve"> ---------- Rate RS ----------</v>
      </c>
      <c r="D161" s="8"/>
      <c r="E161" s="9"/>
      <c r="F161" s="9"/>
      <c r="J161" s="7"/>
      <c r="K161" s="7"/>
      <c r="L161" s="106"/>
    </row>
    <row r="162" spans="1:13" x14ac:dyDescent="0.2">
      <c r="A162" s="33"/>
      <c r="C162" s="10" t="s">
        <v>70</v>
      </c>
      <c r="D162" s="10"/>
      <c r="F162" s="10" t="s">
        <v>71</v>
      </c>
      <c r="H162" s="5" t="s">
        <v>72</v>
      </c>
      <c r="J162" s="187">
        <v>1121586406.6424069</v>
      </c>
      <c r="K162" s="7"/>
      <c r="L162" s="106"/>
      <c r="M162" s="187"/>
    </row>
    <row r="163" spans="1:13" x14ac:dyDescent="0.2">
      <c r="A163" s="33"/>
      <c r="B163" s="7" t="s">
        <v>73</v>
      </c>
      <c r="C163" s="11">
        <v>5.4802</v>
      </c>
      <c r="D163" s="11"/>
      <c r="E163" s="12"/>
      <c r="F163" s="157">
        <f>J162/($J$162+$J$163)</f>
        <v>0.61187032540758957</v>
      </c>
      <c r="H163" s="5" t="s">
        <v>76</v>
      </c>
      <c r="J163" s="187">
        <v>711459518.39943349</v>
      </c>
      <c r="K163" s="7"/>
      <c r="L163" s="106"/>
      <c r="M163" s="187"/>
    </row>
    <row r="164" spans="1:13" x14ac:dyDescent="0.2">
      <c r="A164" s="33"/>
      <c r="B164" s="7" t="s">
        <v>74</v>
      </c>
      <c r="C164" s="13">
        <v>6.3453999999999997</v>
      </c>
      <c r="D164" s="13"/>
      <c r="E164" s="12"/>
      <c r="F164" s="157">
        <f>1-F163</f>
        <v>0.38812967459241043</v>
      </c>
      <c r="J164" s="166"/>
      <c r="K164" s="7"/>
      <c r="L164" s="106"/>
      <c r="M164" s="166"/>
    </row>
    <row r="165" spans="1:13" x14ac:dyDescent="0.2">
      <c r="A165" s="33"/>
      <c r="B165" s="14" t="s">
        <v>75</v>
      </c>
      <c r="C165" s="11">
        <f>C164-C163</f>
        <v>0.86519999999999975</v>
      </c>
      <c r="D165" s="11"/>
      <c r="E165" s="12"/>
      <c r="F165" s="12"/>
      <c r="G165" s="105"/>
      <c r="H165" s="138" t="s">
        <v>244</v>
      </c>
      <c r="J165" s="188">
        <v>2336602214.9581594</v>
      </c>
      <c r="M165" s="187"/>
    </row>
    <row r="166" spans="1:13" x14ac:dyDescent="0.2">
      <c r="A166" s="33"/>
      <c r="B166" s="14"/>
      <c r="C166" s="11"/>
      <c r="D166" s="11"/>
      <c r="E166" s="12"/>
      <c r="F166" s="12"/>
      <c r="G166" s="105"/>
      <c r="J166" s="166">
        <f>SUM(J162:J165)</f>
        <v>4169648140</v>
      </c>
      <c r="M166" s="166"/>
    </row>
    <row r="167" spans="1:13" x14ac:dyDescent="0.2">
      <c r="A167" s="33"/>
      <c r="B167" s="14"/>
      <c r="C167" s="11"/>
      <c r="D167" s="11"/>
      <c r="E167" s="12"/>
      <c r="F167" s="12"/>
      <c r="G167" s="105"/>
    </row>
    <row r="168" spans="1:13" x14ac:dyDescent="0.2">
      <c r="A168" s="32" t="s">
        <v>90</v>
      </c>
      <c r="B168" s="3" t="s">
        <v>245</v>
      </c>
      <c r="G168" s="105"/>
      <c r="J168" s="131"/>
    </row>
    <row r="169" spans="1:13" x14ac:dyDescent="0.2">
      <c r="A169" s="33"/>
      <c r="B169" s="17" t="s">
        <v>246</v>
      </c>
      <c r="E169" s="6">
        <v>2</v>
      </c>
      <c r="G169" s="105"/>
    </row>
    <row r="170" spans="1:13" x14ac:dyDescent="0.2">
      <c r="A170" s="33"/>
      <c r="B170" s="17" t="s">
        <v>247</v>
      </c>
      <c r="E170" s="191">
        <v>16.25</v>
      </c>
      <c r="G170" s="105"/>
    </row>
    <row r="171" spans="1:13" x14ac:dyDescent="0.2">
      <c r="A171" s="33"/>
      <c r="B171" s="20" t="s">
        <v>248</v>
      </c>
      <c r="E171" s="182">
        <f>E169+E170</f>
        <v>18.25</v>
      </c>
      <c r="G171" s="105"/>
    </row>
    <row r="172" spans="1:13" x14ac:dyDescent="0.2">
      <c r="A172" s="33"/>
      <c r="B172" s="17"/>
      <c r="E172" s="6"/>
      <c r="G172" s="105"/>
    </row>
    <row r="173" spans="1:13" x14ac:dyDescent="0.2">
      <c r="A173" s="33"/>
      <c r="B173" s="3"/>
      <c r="F173" s="78"/>
      <c r="G173" s="105"/>
    </row>
    <row r="174" spans="1:13" x14ac:dyDescent="0.2">
      <c r="A174" s="32" t="s">
        <v>95</v>
      </c>
      <c r="B174" s="3" t="s">
        <v>79</v>
      </c>
    </row>
    <row r="175" spans="1:13" x14ac:dyDescent="0.2">
      <c r="A175" s="32"/>
      <c r="B175" s="3"/>
      <c r="C175" s="50" t="s">
        <v>5</v>
      </c>
      <c r="D175" s="50" t="s">
        <v>139</v>
      </c>
      <c r="E175" s="50" t="s">
        <v>6</v>
      </c>
      <c r="F175" s="50" t="s">
        <v>7</v>
      </c>
      <c r="G175" s="50" t="s">
        <v>8</v>
      </c>
      <c r="H175" s="50" t="s">
        <v>9</v>
      </c>
      <c r="I175" s="50" t="s">
        <v>10</v>
      </c>
      <c r="J175" s="50" t="s">
        <v>11</v>
      </c>
      <c r="K175" s="50" t="s">
        <v>29</v>
      </c>
    </row>
    <row r="176" spans="1:13" x14ac:dyDescent="0.2">
      <c r="A176" s="33"/>
      <c r="B176" s="7" t="s">
        <v>80</v>
      </c>
      <c r="C176" s="107">
        <f>(+$E$153*C147)/C57</f>
        <v>18.597125881032579</v>
      </c>
      <c r="D176" s="107">
        <f>(+$E$153*D147)/SUMPRODUCT(D27:D38,D45:D56)</f>
        <v>23.994901276061107</v>
      </c>
      <c r="E176" s="107">
        <f t="shared" ref="E176:K176" si="42">(+$E$153*E147)/E57</f>
        <v>15.078045201010259</v>
      </c>
      <c r="F176" s="107">
        <f t="shared" si="42"/>
        <v>9.1059681646754989</v>
      </c>
      <c r="G176" s="107">
        <f t="shared" si="42"/>
        <v>11.399967458296711</v>
      </c>
      <c r="H176" s="107">
        <f t="shared" si="42"/>
        <v>9.1913998312149339</v>
      </c>
      <c r="I176" s="107">
        <f t="shared" si="42"/>
        <v>0</v>
      </c>
      <c r="J176" s="107">
        <f t="shared" si="42"/>
        <v>6.9475751662833058</v>
      </c>
      <c r="K176" s="107">
        <f t="shared" si="42"/>
        <v>16.637386981694576</v>
      </c>
      <c r="L176" s="107"/>
      <c r="M176" s="108"/>
    </row>
    <row r="177" spans="1:13" x14ac:dyDescent="0.2">
      <c r="A177" s="33"/>
      <c r="B177" s="7"/>
      <c r="C177" s="107"/>
      <c r="D177" s="107"/>
      <c r="E177" s="107"/>
      <c r="F177" s="107"/>
      <c r="H177" s="107"/>
      <c r="I177" s="107"/>
      <c r="J177" s="107"/>
      <c r="K177" s="107"/>
      <c r="L177" s="107"/>
      <c r="M177" s="108"/>
    </row>
    <row r="178" spans="1:13" x14ac:dyDescent="0.2">
      <c r="A178" s="33"/>
      <c r="B178" s="7" t="s">
        <v>81</v>
      </c>
      <c r="C178" s="107"/>
      <c r="D178" s="107"/>
      <c r="E178" s="107"/>
      <c r="F178" s="107"/>
      <c r="H178" s="107"/>
      <c r="I178" s="107"/>
      <c r="J178" s="107"/>
      <c r="K178" s="107"/>
      <c r="L178" s="107"/>
    </row>
    <row r="179" spans="1:13" x14ac:dyDescent="0.2">
      <c r="B179" s="7" t="s">
        <v>82</v>
      </c>
      <c r="C179" s="107">
        <f>($J$158*(C$145/$K$145))/C57</f>
        <v>23.105731519201342</v>
      </c>
      <c r="D179" s="107">
        <f>($J$158*(D$145/$K$145))/SUMPRODUCT(D27:D38,D45:D56)</f>
        <v>29.563860023103413</v>
      </c>
      <c r="E179" s="107">
        <f t="shared" ref="E179:J179" si="43">($J$158*(E$145/$K$145))/E57</f>
        <v>19.86524995322911</v>
      </c>
      <c r="F179" s="107">
        <f t="shared" si="43"/>
        <v>11.067083152737851</v>
      </c>
      <c r="G179" s="107">
        <f t="shared" si="43"/>
        <v>15.20810769075557</v>
      </c>
      <c r="H179" s="107">
        <f t="shared" si="43"/>
        <v>12.560131399623643</v>
      </c>
      <c r="I179" s="107">
        <f t="shared" si="43"/>
        <v>0</v>
      </c>
      <c r="J179" s="107">
        <f t="shared" si="43"/>
        <v>9.5422696844047685</v>
      </c>
      <c r="K179" s="107"/>
      <c r="L179" s="107"/>
    </row>
    <row r="180" spans="1:13" x14ac:dyDescent="0.2">
      <c r="A180" s="33"/>
      <c r="B180" s="7" t="s">
        <v>83</v>
      </c>
      <c r="C180" s="107">
        <f>($J$156*(C$145/$K$145))/SUM(C50:C53)</f>
        <v>18.106627645481659</v>
      </c>
      <c r="D180" s="107">
        <f>($J$156*(D$145/$K$145))/SUMPRODUCT(D50:D53,D32:D35)</f>
        <v>22.509595952892997</v>
      </c>
      <c r="E180" s="107">
        <f t="shared" ref="E180:J180" si="44">($J$156*(E$145/$K$145))/SUM(E50:E53)</f>
        <v>16.491914983241305</v>
      </c>
      <c r="F180" s="107">
        <f t="shared" si="44"/>
        <v>12.059359085055615</v>
      </c>
      <c r="G180" s="107">
        <f t="shared" si="44"/>
        <v>12.887868343193846</v>
      </c>
      <c r="H180" s="107">
        <f t="shared" si="44"/>
        <v>11.708454476784217</v>
      </c>
      <c r="I180" s="107">
        <f t="shared" si="44"/>
        <v>0</v>
      </c>
      <c r="J180" s="107">
        <f t="shared" si="44"/>
        <v>7.9130378237471124</v>
      </c>
      <c r="K180" s="107"/>
      <c r="L180" s="107"/>
    </row>
    <row r="181" spans="1:13" x14ac:dyDescent="0.2">
      <c r="A181" s="33"/>
      <c r="B181" s="7" t="s">
        <v>84</v>
      </c>
      <c r="C181" s="107">
        <f>($J$157*(C$145/$K$145))/SUM(C45:C49,C54:C56)</f>
        <v>26.823909975350649</v>
      </c>
      <c r="D181" s="107">
        <f>($J$157*(D$145/$K$145))/(SUMPRODUCT(D45:D49,D27:D31)+SUMPRODUCT(D54:D56,D36:D38))</f>
        <v>35.083948451170031</v>
      </c>
      <c r="E181" s="107">
        <f t="shared" ref="E181:J181" si="45">($J$157*(E$145/$K$145))/SUM(E45:E49,E54:E56)</f>
        <v>22.138750389911358</v>
      </c>
      <c r="F181" s="107">
        <f t="shared" si="45"/>
        <v>10.628032466736158</v>
      </c>
      <c r="G181" s="107">
        <f t="shared" si="45"/>
        <v>16.719313807873636</v>
      </c>
      <c r="H181" s="107">
        <f t="shared" si="45"/>
        <v>13.036211766347899</v>
      </c>
      <c r="I181" s="107">
        <f t="shared" si="45"/>
        <v>0</v>
      </c>
      <c r="J181" s="107">
        <f t="shared" si="45"/>
        <v>10.642367950137366</v>
      </c>
      <c r="K181" s="107"/>
      <c r="L181" s="107"/>
    </row>
    <row r="182" spans="1:13" x14ac:dyDescent="0.2">
      <c r="A182" s="33"/>
      <c r="F182" s="107"/>
      <c r="G182" s="107"/>
      <c r="H182" s="107"/>
      <c r="I182" s="107"/>
      <c r="K182" s="107"/>
      <c r="L182" s="107"/>
    </row>
    <row r="183" spans="1:13" x14ac:dyDescent="0.2">
      <c r="D183" s="107"/>
    </row>
    <row r="184" spans="1:13" x14ac:dyDescent="0.2">
      <c r="A184" s="32" t="s">
        <v>99</v>
      </c>
      <c r="B184" s="3" t="s">
        <v>86</v>
      </c>
      <c r="D184" s="107"/>
    </row>
    <row r="185" spans="1:13" x14ac:dyDescent="0.2">
      <c r="A185" s="33"/>
      <c r="B185" s="4" t="s">
        <v>250</v>
      </c>
    </row>
    <row r="186" spans="1:13" x14ac:dyDescent="0.2">
      <c r="A186" s="33"/>
      <c r="B186" s="4" t="s">
        <v>35</v>
      </c>
    </row>
    <row r="187" spans="1:13" x14ac:dyDescent="0.2">
      <c r="A187" s="33"/>
      <c r="C187" s="50" t="s">
        <v>5</v>
      </c>
      <c r="D187" s="50" t="s">
        <v>139</v>
      </c>
      <c r="E187" s="50" t="s">
        <v>6</v>
      </c>
      <c r="F187" s="50" t="s">
        <v>7</v>
      </c>
      <c r="G187" s="50" t="s">
        <v>8</v>
      </c>
      <c r="H187" s="50" t="s">
        <v>9</v>
      </c>
      <c r="I187" s="50" t="s">
        <v>10</v>
      </c>
      <c r="J187" s="50" t="s">
        <v>11</v>
      </c>
    </row>
    <row r="188" spans="1:13" x14ac:dyDescent="0.2">
      <c r="A188" s="33"/>
      <c r="C188" s="28"/>
      <c r="D188" s="28"/>
      <c r="E188" s="28"/>
      <c r="F188" s="28"/>
      <c r="H188" s="28"/>
    </row>
    <row r="189" spans="1:13" x14ac:dyDescent="0.2">
      <c r="A189" s="33"/>
      <c r="B189" s="34" t="s">
        <v>44</v>
      </c>
      <c r="C189" s="15">
        <f t="shared" ref="C189:J189" si="46">+C128+($E$171*C$80)+C$176+C180</f>
        <v>83.580391077443096</v>
      </c>
      <c r="D189" s="15">
        <f t="shared" si="46"/>
        <v>93.391892178471466</v>
      </c>
      <c r="E189" s="15">
        <f t="shared" si="46"/>
        <v>78.656489251063277</v>
      </c>
      <c r="F189" s="15">
        <f t="shared" si="46"/>
        <v>66.12140777379787</v>
      </c>
      <c r="G189" s="15">
        <f t="shared" si="46"/>
        <v>71.301580850849547</v>
      </c>
      <c r="H189" s="15">
        <f t="shared" si="46"/>
        <v>66.150091707964251</v>
      </c>
      <c r="I189" s="15">
        <f t="shared" si="46"/>
        <v>42.743791285529298</v>
      </c>
      <c r="J189" s="15">
        <f t="shared" si="46"/>
        <v>60.910905810973674</v>
      </c>
    </row>
    <row r="190" spans="1:13" x14ac:dyDescent="0.2">
      <c r="A190" s="33"/>
      <c r="B190" s="35" t="s">
        <v>162</v>
      </c>
      <c r="C190" s="15"/>
      <c r="D190" s="15">
        <f>D$129+(E$171*D$80)+D$176+D$180</f>
        <v>100.9564102836683</v>
      </c>
      <c r="E190" s="15"/>
      <c r="F190" s="15"/>
      <c r="G190" s="15"/>
      <c r="H190" s="15"/>
      <c r="I190" s="15"/>
      <c r="J190" s="15"/>
    </row>
    <row r="191" spans="1:13" x14ac:dyDescent="0.2">
      <c r="A191" s="33"/>
      <c r="B191" s="35" t="s">
        <v>163</v>
      </c>
      <c r="C191" s="15"/>
      <c r="D191" s="15">
        <f>D$130+(E$171*D$80)</f>
        <v>41.496363642719999</v>
      </c>
      <c r="E191" s="15"/>
      <c r="F191" s="15"/>
      <c r="G191" s="15"/>
      <c r="H191" s="15"/>
      <c r="I191" s="15"/>
      <c r="J191" s="15"/>
    </row>
    <row r="192" spans="1:13" x14ac:dyDescent="0.2">
      <c r="A192" s="33"/>
      <c r="B192" s="7" t="s">
        <v>73</v>
      </c>
      <c r="C192" s="15">
        <f>(C189*SUM(C50:C53)-$C$165*10*$F$164*SUM(C50:C53))/SUM(C50:C53)</f>
        <v>80.222293132869567</v>
      </c>
      <c r="D192" s="15"/>
      <c r="E192" s="15"/>
      <c r="F192" s="15"/>
      <c r="G192" s="15"/>
      <c r="H192" s="15"/>
      <c r="I192" s="15"/>
      <c r="J192" s="15"/>
    </row>
    <row r="193" spans="1:10" x14ac:dyDescent="0.2">
      <c r="A193" s="33"/>
      <c r="B193" s="7" t="s">
        <v>74</v>
      </c>
      <c r="C193" s="15">
        <f>+C192+$C$165*10</f>
        <v>88.874293132869568</v>
      </c>
      <c r="D193" s="15"/>
      <c r="E193" s="15"/>
      <c r="F193" s="15"/>
      <c r="G193" s="15"/>
      <c r="H193" s="15"/>
      <c r="I193" s="15"/>
      <c r="J193" s="15"/>
    </row>
    <row r="194" spans="1:10" x14ac:dyDescent="0.2">
      <c r="A194" s="33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">
      <c r="A195" s="33"/>
      <c r="B195" s="34" t="s">
        <v>45</v>
      </c>
      <c r="C195" s="15">
        <f t="shared" ref="C195:J195" si="47">+C132+($E$171*C$80)+C$176+C181</f>
        <v>97.453937519719346</v>
      </c>
      <c r="D195" s="15">
        <f t="shared" si="47"/>
        <v>111.2414158824978</v>
      </c>
      <c r="E195" s="15">
        <f t="shared" si="47"/>
        <v>88.824688074256926</v>
      </c>
      <c r="F195" s="15">
        <f t="shared" si="47"/>
        <v>70.127698819153636</v>
      </c>
      <c r="G195" s="15">
        <f t="shared" si="47"/>
        <v>79.994146370588126</v>
      </c>
      <c r="H195" s="15">
        <f t="shared" si="47"/>
        <v>72.157058874397904</v>
      </c>
      <c r="I195" s="15">
        <f t="shared" si="47"/>
        <v>50.160893604317884</v>
      </c>
      <c r="J195" s="15">
        <f t="shared" si="47"/>
        <v>68.817314998472995</v>
      </c>
    </row>
    <row r="196" spans="1:10" x14ac:dyDescent="0.2">
      <c r="A196" s="33"/>
      <c r="B196" s="35" t="s">
        <v>162</v>
      </c>
      <c r="C196" s="15"/>
      <c r="D196" s="15">
        <f>D$133+($E$171*D$80)+$D$176+D181</f>
        <v>116.08962343106815</v>
      </c>
      <c r="E196" s="15"/>
      <c r="F196" s="15"/>
      <c r="G196" s="15"/>
      <c r="H196" s="15"/>
      <c r="I196" s="15"/>
      <c r="J196" s="15"/>
    </row>
    <row r="197" spans="1:10" x14ac:dyDescent="0.2">
      <c r="A197" s="33"/>
      <c r="B197" s="35" t="s">
        <v>163</v>
      </c>
      <c r="C197" s="15"/>
      <c r="D197" s="15">
        <f>D$134+($E$171*D$80)</f>
        <v>49.417319795022962</v>
      </c>
      <c r="E197" s="15"/>
      <c r="F197" s="15"/>
      <c r="G197" s="15"/>
      <c r="H197" s="15"/>
      <c r="I197" s="15"/>
      <c r="J197" s="15"/>
    </row>
    <row r="198" spans="1:10" x14ac:dyDescent="0.2">
      <c r="A198" s="33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">
      <c r="A199" s="33"/>
      <c r="B199" s="5" t="s">
        <v>46</v>
      </c>
      <c r="C199" s="15">
        <f>+C136+($E$171*C$80)+C$176+C179</f>
        <v>91.536460083510889</v>
      </c>
      <c r="D199" s="15">
        <f>((D190*SUMPRODUCT(D32:D35,D50:D53)+D191*SUMPRODUCT(P32:P35,D50:D53))+(D196*(SUMPRODUCT(D27:D31,D45:D49)+SUMPRODUCT(D36:D38,D54:D56))+D197*(SUMPRODUCT(P27:P31,D45:D49)+SUMPRODUCT(P36:P38,D54:D56))))/D57</f>
        <v>70.573907746823991</v>
      </c>
      <c r="E199" s="15">
        <f t="shared" ref="E199:J199" si="48">+E136+($E$171*E$80)+E$176+E179</f>
        <v>84.730819066228761</v>
      </c>
      <c r="F199" s="15">
        <f t="shared" si="48"/>
        <v>68.898793543954383</v>
      </c>
      <c r="G199" s="15">
        <f t="shared" si="48"/>
        <v>76.565607896538253</v>
      </c>
      <c r="H199" s="15">
        <f t="shared" si="48"/>
        <v>70.003202025729365</v>
      </c>
      <c r="I199" s="15">
        <f t="shared" si="48"/>
        <v>47.755622139910244</v>
      </c>
      <c r="J199" s="15">
        <f t="shared" si="48"/>
        <v>65.63051580872316</v>
      </c>
    </row>
    <row r="200" spans="1:10" x14ac:dyDescent="0.2">
      <c r="A200" s="33"/>
      <c r="B200" s="3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">
      <c r="A201" s="33"/>
      <c r="B201" s="3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">
      <c r="A202" s="33"/>
    </row>
    <row r="203" spans="1:10" x14ac:dyDescent="0.2">
      <c r="A203" s="33"/>
      <c r="B203" s="7" t="s">
        <v>87</v>
      </c>
      <c r="C203" s="56">
        <f>(SUMPRODUCT(C199:J199,C57:J57)/1000)</f>
        <v>504839.97419134818</v>
      </c>
      <c r="D203" s="56"/>
      <c r="E203" s="56"/>
    </row>
    <row r="204" spans="1:10" x14ac:dyDescent="0.2">
      <c r="A204" s="33"/>
      <c r="B204" s="7"/>
      <c r="C204" s="55"/>
      <c r="D204" s="55"/>
    </row>
    <row r="205" spans="1:10" x14ac:dyDescent="0.2">
      <c r="A205" s="33"/>
      <c r="B205" s="5" t="s">
        <v>88</v>
      </c>
      <c r="F205" s="107">
        <f>+C203/SUM(C57:J57)*1000</f>
        <v>87.461791048333268</v>
      </c>
    </row>
    <row r="206" spans="1:10" x14ac:dyDescent="0.2">
      <c r="A206" s="33"/>
      <c r="B206" s="5" t="s">
        <v>89</v>
      </c>
      <c r="F206" s="107">
        <f>+C203/SUMPRODUCT(C57:J57,C84:J84)*1000</f>
        <v>82.779507384525004</v>
      </c>
      <c r="J206" s="107"/>
    </row>
    <row r="207" spans="1:10" x14ac:dyDescent="0.2">
      <c r="A207" s="33"/>
    </row>
    <row r="208" spans="1:10" x14ac:dyDescent="0.2">
      <c r="A208" s="33"/>
      <c r="F208" s="109"/>
    </row>
    <row r="209" spans="1:12" x14ac:dyDescent="0.2">
      <c r="A209" s="16" t="s">
        <v>101</v>
      </c>
      <c r="B209" s="17" t="s">
        <v>129</v>
      </c>
      <c r="C209" s="18"/>
      <c r="D209" s="18"/>
      <c r="E209" s="18"/>
      <c r="F209" s="18"/>
      <c r="G209" s="18"/>
      <c r="H209" s="18"/>
      <c r="I209" s="18"/>
      <c r="J209" s="18"/>
    </row>
    <row r="210" spans="1:12" x14ac:dyDescent="0.2">
      <c r="A210" s="19"/>
      <c r="B210" s="20" t="s">
        <v>251</v>
      </c>
      <c r="C210" s="18"/>
      <c r="D210" s="18"/>
      <c r="E210" s="18"/>
      <c r="F210" s="18"/>
      <c r="G210" s="18"/>
      <c r="H210" s="18"/>
      <c r="I210" s="18"/>
      <c r="J210" s="18"/>
    </row>
    <row r="211" spans="1:12" x14ac:dyDescent="0.2">
      <c r="A211" s="19"/>
      <c r="B211" s="17"/>
      <c r="C211" s="18"/>
      <c r="D211" s="18"/>
      <c r="E211" s="18"/>
      <c r="F211" s="18"/>
      <c r="G211" s="18"/>
      <c r="H211" s="18"/>
      <c r="I211" s="18"/>
      <c r="J211" s="18"/>
    </row>
    <row r="212" spans="1:12" x14ac:dyDescent="0.2">
      <c r="A212" s="19"/>
      <c r="B212" s="18"/>
      <c r="C212" s="21" t="s">
        <v>5</v>
      </c>
      <c r="D212" s="50" t="s">
        <v>139</v>
      </c>
      <c r="E212" s="21" t="s">
        <v>6</v>
      </c>
      <c r="F212" s="21" t="s">
        <v>7</v>
      </c>
      <c r="G212" s="21" t="s">
        <v>8</v>
      </c>
      <c r="H212" s="21" t="s">
        <v>9</v>
      </c>
      <c r="I212" s="21" t="s">
        <v>10</v>
      </c>
      <c r="J212" s="21" t="s">
        <v>11</v>
      </c>
    </row>
    <row r="213" spans="1:12" x14ac:dyDescent="0.2">
      <c r="A213" s="19"/>
      <c r="B213" s="18"/>
      <c r="C213" s="22"/>
      <c r="D213" s="22"/>
      <c r="E213" s="22"/>
      <c r="F213" s="22"/>
      <c r="G213" s="18"/>
      <c r="H213" s="22"/>
      <c r="I213" s="18"/>
      <c r="J213" s="18"/>
    </row>
    <row r="214" spans="1:12" x14ac:dyDescent="0.2">
      <c r="A214" s="19"/>
      <c r="B214" s="23" t="s">
        <v>44</v>
      </c>
      <c r="C214" s="3"/>
      <c r="D214" s="30">
        <f t="shared" ref="D214:J214" si="49">ROUND(+D189/$F$206,3)</f>
        <v>1.1279999999999999</v>
      </c>
      <c r="E214" s="30">
        <f t="shared" si="49"/>
        <v>0.95</v>
      </c>
      <c r="F214" s="30">
        <f t="shared" si="49"/>
        <v>0.79900000000000004</v>
      </c>
      <c r="G214" s="30">
        <f t="shared" si="49"/>
        <v>0.86099999999999999</v>
      </c>
      <c r="H214" s="30">
        <f t="shared" si="49"/>
        <v>0.79900000000000004</v>
      </c>
      <c r="I214" s="30">
        <f t="shared" si="49"/>
        <v>0.51600000000000001</v>
      </c>
      <c r="J214" s="30">
        <f t="shared" si="49"/>
        <v>0.73599999999999999</v>
      </c>
      <c r="K214" s="46"/>
      <c r="L214" s="46"/>
    </row>
    <row r="215" spans="1:12" x14ac:dyDescent="0.2">
      <c r="A215" s="19"/>
      <c r="B215" s="35" t="s">
        <v>134</v>
      </c>
      <c r="C215" s="3"/>
      <c r="D215" s="30">
        <f>ROUND(+D190/$F$206,3)</f>
        <v>1.22</v>
      </c>
      <c r="E215" s="30"/>
      <c r="F215" s="30"/>
      <c r="G215" s="30"/>
      <c r="H215" s="30"/>
      <c r="I215" s="30"/>
      <c r="J215" s="30"/>
      <c r="K215" s="46"/>
      <c r="L215" s="46"/>
    </row>
    <row r="216" spans="1:12" x14ac:dyDescent="0.2">
      <c r="A216" s="19"/>
      <c r="B216" s="35" t="s">
        <v>37</v>
      </c>
      <c r="C216" s="3"/>
      <c r="D216" s="30">
        <f>ROUND(+D191/$F$206,3)</f>
        <v>0.501</v>
      </c>
      <c r="E216" s="30"/>
      <c r="F216" s="30"/>
      <c r="G216" s="30"/>
      <c r="H216" s="30"/>
      <c r="I216" s="30"/>
      <c r="J216" s="30"/>
      <c r="K216" s="46"/>
      <c r="L216" s="46"/>
    </row>
    <row r="217" spans="1:12" x14ac:dyDescent="0.2">
      <c r="A217" s="19"/>
      <c r="B217" s="14" t="s">
        <v>91</v>
      </c>
      <c r="C217" s="30">
        <f>ROUND(+C189/$F$206,3)</f>
        <v>1.01</v>
      </c>
      <c r="D217" s="30"/>
      <c r="E217" s="25"/>
      <c r="F217" s="25"/>
      <c r="G217" s="25"/>
      <c r="H217" s="25"/>
      <c r="I217" s="24"/>
      <c r="J217" s="24"/>
      <c r="K217" s="46"/>
      <c r="L217" s="46"/>
    </row>
    <row r="218" spans="1:12" x14ac:dyDescent="0.2">
      <c r="A218" s="19"/>
      <c r="B218" s="14" t="s">
        <v>92</v>
      </c>
      <c r="C218" s="26">
        <f>C192-C$189</f>
        <v>-3.3580979445735295</v>
      </c>
      <c r="D218" s="26"/>
      <c r="E218" s="42" t="s">
        <v>93</v>
      </c>
      <c r="F218" s="42"/>
      <c r="G218" s="25"/>
      <c r="H218" s="24"/>
      <c r="I218" s="24"/>
      <c r="J218" s="24"/>
      <c r="K218" s="46"/>
      <c r="L218" s="46"/>
    </row>
    <row r="219" spans="1:12" x14ac:dyDescent="0.2">
      <c r="A219" s="19"/>
      <c r="B219" s="14" t="s">
        <v>92</v>
      </c>
      <c r="C219" s="26">
        <f>C193-C$189</f>
        <v>5.2939020554264715</v>
      </c>
      <c r="D219" s="26"/>
      <c r="E219" s="42" t="s">
        <v>94</v>
      </c>
      <c r="F219" s="42"/>
      <c r="G219" s="25"/>
      <c r="H219" s="24"/>
      <c r="I219" s="24"/>
      <c r="J219" s="24"/>
      <c r="K219" s="46"/>
      <c r="L219" s="46"/>
    </row>
    <row r="220" spans="1:12" x14ac:dyDescent="0.2">
      <c r="A220" s="19"/>
      <c r="B220" s="14"/>
      <c r="C220" s="26"/>
      <c r="D220" s="26"/>
      <c r="E220" s="42"/>
      <c r="F220" s="42"/>
      <c r="G220" s="25"/>
      <c r="H220" s="24"/>
      <c r="I220" s="24"/>
      <c r="J220" s="24"/>
      <c r="K220" s="46"/>
      <c r="L220" s="46"/>
    </row>
    <row r="221" spans="1:12" x14ac:dyDescent="0.2">
      <c r="A221" s="19"/>
      <c r="B221" s="23" t="s">
        <v>45</v>
      </c>
      <c r="C221" s="30">
        <f>ROUND(+C195/$F$206,3)</f>
        <v>1.177</v>
      </c>
      <c r="D221" s="30">
        <f>ROUND(+D195/$F$206,3)</f>
        <v>1.3440000000000001</v>
      </c>
      <c r="E221" s="30">
        <f t="shared" ref="E221:J221" si="50">ROUND(+E195/$F$206,3)</f>
        <v>1.073</v>
      </c>
      <c r="F221" s="30">
        <f t="shared" si="50"/>
        <v>0.84699999999999998</v>
      </c>
      <c r="G221" s="30">
        <f t="shared" si="50"/>
        <v>0.96599999999999997</v>
      </c>
      <c r="H221" s="30">
        <f t="shared" si="50"/>
        <v>0.872</v>
      </c>
      <c r="I221" s="30">
        <f t="shared" si="50"/>
        <v>0.60599999999999998</v>
      </c>
      <c r="J221" s="30">
        <f t="shared" si="50"/>
        <v>0.83099999999999996</v>
      </c>
      <c r="K221" s="46"/>
      <c r="L221" s="46"/>
    </row>
    <row r="222" spans="1:12" x14ac:dyDescent="0.2">
      <c r="A222" s="19"/>
      <c r="B222" s="35" t="s">
        <v>134</v>
      </c>
      <c r="C222" s="30"/>
      <c r="D222" s="30">
        <f>ROUND(+D196/$F$206,3)</f>
        <v>1.4019999999999999</v>
      </c>
      <c r="E222" s="30"/>
      <c r="F222" s="30"/>
      <c r="G222" s="30"/>
      <c r="H222" s="30"/>
      <c r="I222" s="30"/>
      <c r="J222" s="30"/>
      <c r="K222" s="46"/>
      <c r="L222" s="46"/>
    </row>
    <row r="223" spans="1:12" x14ac:dyDescent="0.2">
      <c r="A223" s="19"/>
      <c r="B223" s="35" t="s">
        <v>37</v>
      </c>
      <c r="C223" s="30"/>
      <c r="D223" s="30">
        <f>ROUND(+D197/$F$206,3)</f>
        <v>0.59699999999999998</v>
      </c>
      <c r="E223" s="30"/>
      <c r="F223" s="30"/>
      <c r="G223" s="30"/>
      <c r="H223" s="30"/>
      <c r="I223" s="30"/>
      <c r="J223" s="30"/>
      <c r="K223" s="46"/>
      <c r="L223" s="46"/>
    </row>
    <row r="224" spans="1:12" x14ac:dyDescent="0.2">
      <c r="A224" s="19"/>
      <c r="B224" s="18"/>
      <c r="C224" s="24"/>
      <c r="D224" s="24"/>
      <c r="E224" s="24"/>
      <c r="F224" s="24"/>
      <c r="G224" s="24"/>
      <c r="H224" s="24"/>
      <c r="I224" s="24"/>
      <c r="J224" s="24"/>
      <c r="K224" s="46"/>
      <c r="L224" s="46"/>
    </row>
    <row r="225" spans="1:12" x14ac:dyDescent="0.2">
      <c r="A225" s="19"/>
      <c r="B225" s="18" t="s">
        <v>46</v>
      </c>
      <c r="C225" s="30">
        <f>ROUND(+C199/$F$206,3)</f>
        <v>1.1060000000000001</v>
      </c>
      <c r="D225" s="30">
        <f>ROUND(+D199/$F$206,3)</f>
        <v>0.85299999999999998</v>
      </c>
      <c r="E225" s="30">
        <f t="shared" ref="E225:J225" si="51">ROUND(+E199/$F$206,3)</f>
        <v>1.024</v>
      </c>
      <c r="F225" s="30">
        <f t="shared" si="51"/>
        <v>0.83199999999999996</v>
      </c>
      <c r="G225" s="30">
        <f t="shared" si="51"/>
        <v>0.92500000000000004</v>
      </c>
      <c r="H225" s="30">
        <f t="shared" si="51"/>
        <v>0.84599999999999997</v>
      </c>
      <c r="I225" s="30">
        <f t="shared" si="51"/>
        <v>0.57699999999999996</v>
      </c>
      <c r="J225" s="30">
        <f t="shared" si="51"/>
        <v>0.79300000000000004</v>
      </c>
      <c r="K225" s="46"/>
      <c r="L225" s="46"/>
    </row>
    <row r="226" spans="1:12" x14ac:dyDescent="0.2">
      <c r="A226" s="33"/>
    </row>
    <row r="227" spans="1:12" x14ac:dyDescent="0.2">
      <c r="A227" s="33"/>
    </row>
    <row r="228" spans="1:12" x14ac:dyDescent="0.2">
      <c r="A228" s="32" t="s">
        <v>111</v>
      </c>
      <c r="B228" s="3" t="s">
        <v>96</v>
      </c>
    </row>
    <row r="229" spans="1:12" x14ac:dyDescent="0.2">
      <c r="A229" s="33"/>
      <c r="B229" s="20" t="s">
        <v>252</v>
      </c>
    </row>
    <row r="230" spans="1:12" x14ac:dyDescent="0.2">
      <c r="A230" s="33"/>
      <c r="B230" s="4" t="s">
        <v>35</v>
      </c>
    </row>
    <row r="231" spans="1:12" x14ac:dyDescent="0.2">
      <c r="A231" s="33"/>
      <c r="C231" s="50" t="s">
        <v>5</v>
      </c>
      <c r="D231" s="50" t="s">
        <v>139</v>
      </c>
      <c r="E231" s="50" t="s">
        <v>6</v>
      </c>
      <c r="F231" s="50" t="s">
        <v>7</v>
      </c>
      <c r="G231" s="50" t="s">
        <v>8</v>
      </c>
      <c r="H231" s="50" t="s">
        <v>9</v>
      </c>
      <c r="I231" s="50" t="s">
        <v>10</v>
      </c>
      <c r="J231" s="50" t="s">
        <v>11</v>
      </c>
    </row>
    <row r="232" spans="1:12" x14ac:dyDescent="0.2">
      <c r="A232" s="33"/>
      <c r="C232" s="186"/>
      <c r="D232" s="28"/>
      <c r="E232" s="28"/>
      <c r="F232" s="28"/>
      <c r="H232" s="28"/>
    </row>
    <row r="233" spans="1:12" x14ac:dyDescent="0.2">
      <c r="A233" s="33"/>
      <c r="B233" s="34" t="s">
        <v>44</v>
      </c>
      <c r="C233" s="15">
        <f t="shared" ref="C233:J233" si="52">+C128+($E$171*C$80)+C180</f>
        <v>64.983265196410514</v>
      </c>
      <c r="D233" s="15">
        <f t="shared" si="52"/>
        <v>69.396990902410366</v>
      </c>
      <c r="E233" s="15">
        <f t="shared" si="52"/>
        <v>63.578444050053022</v>
      </c>
      <c r="F233" s="15">
        <f t="shared" si="52"/>
        <v>57.015439609122367</v>
      </c>
      <c r="G233" s="15">
        <f t="shared" si="52"/>
        <v>59.901613392552832</v>
      </c>
      <c r="H233" s="15">
        <f t="shared" si="52"/>
        <v>56.95869187674932</v>
      </c>
      <c r="I233" s="15">
        <f t="shared" si="52"/>
        <v>42.743791285529298</v>
      </c>
      <c r="J233" s="15">
        <f t="shared" si="52"/>
        <v>53.963330644690366</v>
      </c>
    </row>
    <row r="234" spans="1:12" x14ac:dyDescent="0.2">
      <c r="A234" s="33"/>
      <c r="B234" s="35" t="s">
        <v>134</v>
      </c>
      <c r="C234" s="15"/>
      <c r="D234" s="15">
        <f>D$129+(E$171*D$80)+D$180</f>
        <v>76.961509007607205</v>
      </c>
      <c r="E234" s="15"/>
      <c r="F234" s="15"/>
      <c r="G234" s="15"/>
      <c r="H234" s="15"/>
      <c r="I234" s="15"/>
      <c r="J234" s="15"/>
    </row>
    <row r="235" spans="1:12" x14ac:dyDescent="0.2">
      <c r="A235" s="33"/>
      <c r="B235" s="35" t="s">
        <v>37</v>
      </c>
      <c r="C235" s="15"/>
      <c r="D235" s="15">
        <f>D$130+(E$171*D$80)</f>
        <v>41.496363642719999</v>
      </c>
      <c r="E235" s="15"/>
      <c r="F235" s="15"/>
      <c r="G235" s="15"/>
      <c r="H235" s="15"/>
      <c r="I235" s="15"/>
      <c r="J235" s="15"/>
    </row>
    <row r="236" spans="1:12" x14ac:dyDescent="0.2">
      <c r="A236" s="33"/>
      <c r="B236" s="7" t="s">
        <v>73</v>
      </c>
      <c r="C236" s="15">
        <f>(C233*SUM(C50:C53)-$C$165*10*$F$164*SUM(C50:C53))/SUM(C50:C53)</f>
        <v>61.625167251836984</v>
      </c>
      <c r="D236" s="15"/>
      <c r="E236" s="15"/>
      <c r="F236" s="15"/>
      <c r="G236" s="15"/>
      <c r="H236" s="15"/>
      <c r="I236" s="15"/>
      <c r="J236" s="15"/>
    </row>
    <row r="237" spans="1:12" x14ac:dyDescent="0.2">
      <c r="A237" s="33"/>
      <c r="B237" s="7" t="s">
        <v>74</v>
      </c>
      <c r="C237" s="15">
        <f>+C236+$C$165*10</f>
        <v>70.277167251836985</v>
      </c>
      <c r="D237" s="15"/>
      <c r="E237" s="15"/>
      <c r="F237" s="15"/>
      <c r="G237" s="15"/>
      <c r="H237" s="15"/>
      <c r="I237" s="15"/>
      <c r="J237" s="15"/>
    </row>
    <row r="238" spans="1:12" x14ac:dyDescent="0.2">
      <c r="A238" s="33"/>
      <c r="B238" s="34" t="s">
        <v>45</v>
      </c>
      <c r="C238" s="15">
        <f t="shared" ref="C238:J238" si="53">+C132+($E$171*C$80)+C$181</f>
        <v>78.856811638686764</v>
      </c>
      <c r="D238" s="15">
        <f t="shared" si="53"/>
        <v>87.246514606436705</v>
      </c>
      <c r="E238" s="15">
        <f t="shared" si="53"/>
        <v>73.746642873246685</v>
      </c>
      <c r="F238" s="15">
        <f t="shared" si="53"/>
        <v>61.021730654478141</v>
      </c>
      <c r="G238" s="15">
        <f t="shared" si="53"/>
        <v>68.594178912291412</v>
      </c>
      <c r="H238" s="15">
        <f t="shared" si="53"/>
        <v>62.96565904318296</v>
      </c>
      <c r="I238" s="15">
        <f t="shared" si="53"/>
        <v>50.160893604317884</v>
      </c>
      <c r="J238" s="15">
        <f t="shared" si="53"/>
        <v>61.869739832189694</v>
      </c>
    </row>
    <row r="239" spans="1:12" x14ac:dyDescent="0.2">
      <c r="A239" s="33"/>
      <c r="B239" s="35" t="s">
        <v>134</v>
      </c>
      <c r="C239" s="15"/>
      <c r="D239" s="15">
        <f>D$133+($E$171*D$80)+$D$181</f>
        <v>92.094722155007034</v>
      </c>
      <c r="E239" s="15"/>
      <c r="F239" s="15"/>
      <c r="G239" s="15"/>
      <c r="H239" s="15"/>
      <c r="I239" s="15"/>
      <c r="J239" s="15"/>
    </row>
    <row r="240" spans="1:12" x14ac:dyDescent="0.2">
      <c r="A240" s="33"/>
      <c r="B240" s="35" t="s">
        <v>37</v>
      </c>
      <c r="C240" s="15"/>
      <c r="D240" s="15">
        <f>D$134+($E$171*D$80)</f>
        <v>49.417319795022962</v>
      </c>
      <c r="E240" s="15"/>
      <c r="F240" s="15"/>
      <c r="G240" s="15"/>
      <c r="H240" s="15"/>
      <c r="I240" s="15"/>
      <c r="J240" s="15"/>
    </row>
    <row r="241" spans="1:10" x14ac:dyDescent="0.2">
      <c r="A241" s="33"/>
      <c r="B241" s="5" t="s">
        <v>46</v>
      </c>
      <c r="C241" s="15">
        <f>+C136+($E$171*C$80)+C179</f>
        <v>72.939334202478307</v>
      </c>
      <c r="D241" s="15">
        <f>((D234*SUMPRODUCT(D32:D35,D50:D53)+D235*SUMPRODUCT(D50:D53,P32:P35))+(D239*(SUMPRODUCT(D45:D49,D27:D31)+SUMPRODUCT(D54:D56,D36:D38))+D240*(SUMPRODUCT(D45:D49,P27:P31)+SUMPRODUCT(D54:D56,P36:P38))))/D57</f>
        <v>61.368957505393013</v>
      </c>
      <c r="E241" s="15">
        <f t="shared" ref="E241:J241" si="54">+E136+($E$171*E$80)+E179</f>
        <v>69.652773865218506</v>
      </c>
      <c r="F241" s="15">
        <f t="shared" si="54"/>
        <v>59.792825379278888</v>
      </c>
      <c r="G241" s="15">
        <f t="shared" si="54"/>
        <v>65.165640438241553</v>
      </c>
      <c r="H241" s="15">
        <f t="shared" si="54"/>
        <v>60.811802194514435</v>
      </c>
      <c r="I241" s="15">
        <f t="shared" si="54"/>
        <v>47.755622139910244</v>
      </c>
      <c r="J241" s="15">
        <f t="shared" si="54"/>
        <v>58.68294064243986</v>
      </c>
    </row>
    <row r="242" spans="1:10" x14ac:dyDescent="0.2">
      <c r="A242" s="33"/>
    </row>
    <row r="243" spans="1:10" x14ac:dyDescent="0.2">
      <c r="A243" s="33"/>
      <c r="C243" s="15"/>
      <c r="D243" s="15"/>
      <c r="E243" s="15"/>
    </row>
    <row r="244" spans="1:10" x14ac:dyDescent="0.2">
      <c r="A244" s="33"/>
      <c r="B244" s="7" t="s">
        <v>87</v>
      </c>
      <c r="C244" s="56">
        <f>(SUMPRODUCT(C241:J241,C57:J57)/1000)</f>
        <v>408806.97608125268</v>
      </c>
      <c r="D244" s="56"/>
      <c r="E244" s="56"/>
    </row>
    <row r="245" spans="1:10" x14ac:dyDescent="0.2">
      <c r="A245" s="33"/>
      <c r="B245" s="7"/>
      <c r="C245" s="55"/>
      <c r="D245" s="55"/>
    </row>
    <row r="246" spans="1:10" x14ac:dyDescent="0.2">
      <c r="A246" s="33"/>
      <c r="B246" s="5" t="s">
        <v>97</v>
      </c>
      <c r="G246" s="107">
        <f>+C244/SUM(C57:J57)*1000</f>
        <v>70.824404066638706</v>
      </c>
      <c r="H246" s="110"/>
    </row>
    <row r="247" spans="1:10" x14ac:dyDescent="0.2">
      <c r="A247" s="33"/>
      <c r="B247" s="5" t="s">
        <v>98</v>
      </c>
      <c r="G247" s="107">
        <f>+C244/SUMPRODUCT(C57:J57,C84:J84)*1000</f>
        <v>67.03280608784911</v>
      </c>
      <c r="H247" s="110"/>
    </row>
    <row r="248" spans="1:10" x14ac:dyDescent="0.2">
      <c r="A248" s="33"/>
    </row>
    <row r="249" spans="1:10" x14ac:dyDescent="0.2">
      <c r="A249" s="33"/>
    </row>
    <row r="250" spans="1:10" x14ac:dyDescent="0.2">
      <c r="A250" s="16" t="s">
        <v>112</v>
      </c>
      <c r="B250" s="17" t="s">
        <v>130</v>
      </c>
      <c r="C250" s="18"/>
      <c r="D250" s="18"/>
      <c r="E250" s="18"/>
      <c r="F250" s="18"/>
      <c r="G250" s="18"/>
      <c r="H250" s="18"/>
      <c r="I250" s="18"/>
      <c r="J250" s="18"/>
    </row>
    <row r="251" spans="1:10" x14ac:dyDescent="0.2">
      <c r="A251" s="19"/>
      <c r="B251" s="20" t="s">
        <v>253</v>
      </c>
      <c r="C251" s="18"/>
      <c r="D251" s="18"/>
      <c r="E251" s="18"/>
      <c r="F251" s="18"/>
      <c r="G251" s="18"/>
      <c r="H251" s="18"/>
      <c r="I251" s="18"/>
      <c r="J251" s="18"/>
    </row>
    <row r="252" spans="1:10" x14ac:dyDescent="0.2">
      <c r="A252" s="19"/>
      <c r="B252" s="20" t="s">
        <v>100</v>
      </c>
      <c r="C252" s="18"/>
      <c r="D252" s="18"/>
      <c r="E252" s="18"/>
      <c r="F252" s="18"/>
      <c r="G252" s="18"/>
      <c r="H252" s="18"/>
      <c r="I252" s="18"/>
      <c r="J252" s="18"/>
    </row>
    <row r="253" spans="1:10" x14ac:dyDescent="0.2">
      <c r="A253" s="19"/>
      <c r="B253" s="20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">
      <c r="A254" s="19"/>
      <c r="B254" s="18"/>
      <c r="C254" s="21" t="s">
        <v>5</v>
      </c>
      <c r="D254" s="50" t="s">
        <v>139</v>
      </c>
      <c r="E254" s="21" t="s">
        <v>6</v>
      </c>
      <c r="F254" s="21" t="s">
        <v>7</v>
      </c>
      <c r="G254" s="21" t="s">
        <v>8</v>
      </c>
      <c r="H254" s="21" t="s">
        <v>9</v>
      </c>
      <c r="I254" s="21" t="s">
        <v>10</v>
      </c>
      <c r="J254" s="21" t="s">
        <v>11</v>
      </c>
    </row>
    <row r="255" spans="1:10" x14ac:dyDescent="0.2">
      <c r="A255" s="19"/>
      <c r="B255" s="18"/>
      <c r="C255" s="22"/>
      <c r="D255" s="22"/>
      <c r="E255" s="22"/>
      <c r="F255" s="22"/>
      <c r="G255" s="18"/>
      <c r="H255" s="22"/>
      <c r="I255" s="18"/>
      <c r="J255" s="18"/>
    </row>
    <row r="256" spans="1:10" x14ac:dyDescent="0.2">
      <c r="A256" s="19"/>
      <c r="B256" s="23" t="s">
        <v>44</v>
      </c>
      <c r="D256" s="30">
        <f>ROUND(D233/$G$247,3)</f>
        <v>1.0349999999999999</v>
      </c>
      <c r="E256" s="30">
        <f t="shared" ref="E256:J256" si="55">ROUND(E233/$G$247,3)</f>
        <v>0.94799999999999995</v>
      </c>
      <c r="F256" s="30">
        <f t="shared" si="55"/>
        <v>0.85099999999999998</v>
      </c>
      <c r="G256" s="30">
        <f t="shared" si="55"/>
        <v>0.89400000000000002</v>
      </c>
      <c r="H256" s="30">
        <f t="shared" si="55"/>
        <v>0.85</v>
      </c>
      <c r="I256" s="30">
        <f t="shared" si="55"/>
        <v>0.63800000000000001</v>
      </c>
      <c r="J256" s="30">
        <f t="shared" si="55"/>
        <v>0.80500000000000005</v>
      </c>
    </row>
    <row r="257" spans="1:12" x14ac:dyDescent="0.2">
      <c r="A257" s="19"/>
      <c r="B257" s="35" t="s">
        <v>134</v>
      </c>
      <c r="D257" s="30">
        <f>ROUND(D234/$G$247,3)</f>
        <v>1.1479999999999999</v>
      </c>
      <c r="E257" s="30"/>
      <c r="F257" s="30"/>
      <c r="G257" s="30"/>
      <c r="H257" s="30"/>
      <c r="I257" s="30"/>
      <c r="J257" s="30"/>
    </row>
    <row r="258" spans="1:12" x14ac:dyDescent="0.2">
      <c r="A258" s="19"/>
      <c r="B258" s="35" t="s">
        <v>37</v>
      </c>
      <c r="D258" s="30">
        <f>ROUND(D235/$G$247,3)</f>
        <v>0.61899999999999999</v>
      </c>
      <c r="E258" s="30"/>
      <c r="F258" s="30"/>
      <c r="G258" s="30"/>
      <c r="H258" s="30"/>
      <c r="I258" s="30"/>
      <c r="J258" s="30"/>
    </row>
    <row r="259" spans="1:12" x14ac:dyDescent="0.2">
      <c r="A259" s="19"/>
      <c r="B259" s="14" t="s">
        <v>91</v>
      </c>
      <c r="C259" s="30">
        <f>ROUND(C233/$G$247,3)</f>
        <v>0.96899999999999997</v>
      </c>
      <c r="D259" s="30"/>
      <c r="E259" s="25"/>
      <c r="F259" s="24"/>
      <c r="G259" s="24"/>
      <c r="H259" s="24"/>
      <c r="I259" s="24"/>
      <c r="J259" s="158"/>
    </row>
    <row r="260" spans="1:12" x14ac:dyDescent="0.2">
      <c r="A260" s="19"/>
      <c r="B260" s="14" t="s">
        <v>92</v>
      </c>
      <c r="C260" s="26">
        <f>(C236-C$233)</f>
        <v>-3.3580979445735295</v>
      </c>
      <c r="D260" s="26"/>
      <c r="E260" s="27" t="s">
        <v>93</v>
      </c>
      <c r="F260" s="24"/>
      <c r="G260" s="24"/>
      <c r="H260" s="24"/>
      <c r="I260" s="24"/>
      <c r="J260" s="158"/>
    </row>
    <row r="261" spans="1:12" x14ac:dyDescent="0.2">
      <c r="A261" s="19"/>
      <c r="B261" s="14" t="s">
        <v>92</v>
      </c>
      <c r="C261" s="26">
        <f>(C237-C$233)</f>
        <v>5.2939020554264715</v>
      </c>
      <c r="D261" s="26"/>
      <c r="E261" s="27" t="s">
        <v>94</v>
      </c>
      <c r="F261" s="24"/>
      <c r="G261" s="24"/>
      <c r="H261" s="24"/>
      <c r="I261" s="24"/>
      <c r="J261" s="158"/>
    </row>
    <row r="262" spans="1:12" x14ac:dyDescent="0.2">
      <c r="A262" s="19"/>
      <c r="B262" s="23"/>
      <c r="C262" s="24"/>
      <c r="D262" s="24"/>
      <c r="E262" s="24"/>
      <c r="F262" s="24"/>
      <c r="G262" s="24"/>
      <c r="H262" s="24"/>
      <c r="I262" s="24"/>
      <c r="J262" s="158"/>
    </row>
    <row r="263" spans="1:12" x14ac:dyDescent="0.2">
      <c r="A263" s="19"/>
      <c r="B263" s="23" t="s">
        <v>45</v>
      </c>
      <c r="C263" s="30">
        <f t="shared" ref="C263:J263" si="56">ROUND(+C238/$G$247,3)</f>
        <v>1.1759999999999999</v>
      </c>
      <c r="D263" s="30">
        <f t="shared" si="56"/>
        <v>1.302</v>
      </c>
      <c r="E263" s="30">
        <f>ROUND(+E238/$G$247,3)</f>
        <v>1.1000000000000001</v>
      </c>
      <c r="F263" s="30">
        <f t="shared" si="56"/>
        <v>0.91</v>
      </c>
      <c r="G263" s="30">
        <f t="shared" si="56"/>
        <v>1.0229999999999999</v>
      </c>
      <c r="H263" s="30">
        <f t="shared" si="56"/>
        <v>0.93899999999999995</v>
      </c>
      <c r="I263" s="30">
        <f t="shared" si="56"/>
        <v>0.748</v>
      </c>
      <c r="J263" s="30">
        <f t="shared" si="56"/>
        <v>0.92300000000000004</v>
      </c>
    </row>
    <row r="264" spans="1:12" x14ac:dyDescent="0.2">
      <c r="A264" s="19"/>
      <c r="B264" s="35" t="s">
        <v>134</v>
      </c>
      <c r="C264" s="30"/>
      <c r="D264" s="30">
        <f>ROUND(+D239/$G$247,3)</f>
        <v>1.3740000000000001</v>
      </c>
      <c r="E264" s="30"/>
      <c r="F264" s="30"/>
      <c r="G264" s="30"/>
      <c r="H264" s="30"/>
      <c r="I264" s="30"/>
      <c r="J264" s="30"/>
    </row>
    <row r="265" spans="1:12" x14ac:dyDescent="0.2">
      <c r="A265" s="19"/>
      <c r="B265" s="35" t="s">
        <v>37</v>
      </c>
      <c r="C265" s="30"/>
      <c r="D265" s="30">
        <f>ROUND(+D240/$G$247,3)</f>
        <v>0.73699999999999999</v>
      </c>
      <c r="E265" s="30"/>
      <c r="F265" s="30"/>
      <c r="G265" s="30"/>
      <c r="H265" s="30"/>
      <c r="I265" s="30"/>
      <c r="J265" s="30"/>
    </row>
    <row r="266" spans="1:12" x14ac:dyDescent="0.2">
      <c r="A266" s="19"/>
      <c r="B266" s="18" t="s">
        <v>46</v>
      </c>
      <c r="C266" s="30">
        <f>ROUND(+C241/$G$247,3)</f>
        <v>1.0880000000000001</v>
      </c>
      <c r="D266" s="30">
        <f>ROUND(+D241/$G$247,3)</f>
        <v>0.91600000000000004</v>
      </c>
      <c r="E266" s="30">
        <f t="shared" ref="E266:J266" si="57">ROUND(+E241/$G$247,3)</f>
        <v>1.0389999999999999</v>
      </c>
      <c r="F266" s="30">
        <f t="shared" si="57"/>
        <v>0.89200000000000002</v>
      </c>
      <c r="G266" s="30">
        <f t="shared" si="57"/>
        <v>0.97199999999999998</v>
      </c>
      <c r="H266" s="30">
        <f t="shared" si="57"/>
        <v>0.90700000000000003</v>
      </c>
      <c r="I266" s="30">
        <f t="shared" si="57"/>
        <v>0.71199999999999997</v>
      </c>
      <c r="J266" s="30">
        <f t="shared" si="57"/>
        <v>0.875</v>
      </c>
    </row>
    <row r="267" spans="1:12" x14ac:dyDescent="0.2">
      <c r="A267" s="33"/>
    </row>
    <row r="268" spans="1:12" x14ac:dyDescent="0.2">
      <c r="A268" s="33"/>
    </row>
    <row r="269" spans="1:12" x14ac:dyDescent="0.2">
      <c r="A269" s="32" t="s">
        <v>113</v>
      </c>
      <c r="B269" s="3" t="s">
        <v>102</v>
      </c>
    </row>
    <row r="270" spans="1:12" x14ac:dyDescent="0.2">
      <c r="A270" s="33"/>
      <c r="B270" s="3"/>
    </row>
    <row r="271" spans="1:12" x14ac:dyDescent="0.2">
      <c r="A271" s="33"/>
      <c r="C271" s="21" t="s">
        <v>5</v>
      </c>
      <c r="D271" s="50" t="s">
        <v>139</v>
      </c>
      <c r="E271" s="21" t="s">
        <v>6</v>
      </c>
      <c r="F271" s="21" t="s">
        <v>7</v>
      </c>
      <c r="G271" s="21" t="s">
        <v>8</v>
      </c>
      <c r="H271" s="21" t="s">
        <v>9</v>
      </c>
      <c r="I271" s="21" t="s">
        <v>10</v>
      </c>
      <c r="J271" s="21" t="s">
        <v>11</v>
      </c>
      <c r="K271" s="28"/>
      <c r="L271" s="28"/>
    </row>
    <row r="272" spans="1:12" x14ac:dyDescent="0.2">
      <c r="A272" s="33"/>
      <c r="B272" s="5" t="s">
        <v>103</v>
      </c>
    </row>
    <row r="273" spans="1:13" x14ac:dyDescent="0.2">
      <c r="A273" s="33"/>
      <c r="B273" s="54" t="s">
        <v>63</v>
      </c>
      <c r="C273" s="55">
        <f>((C192*O$48*F$163)+(C193*O$48*F$164))/1000</f>
        <v>137989.28229398502</v>
      </c>
      <c r="D273" s="55">
        <f t="shared" ref="D273:J273" si="58">+D189*SUM(D50:D53)/1000</f>
        <v>141.63836519187461</v>
      </c>
      <c r="E273" s="55">
        <f t="shared" si="58"/>
        <v>26922.113917913011</v>
      </c>
      <c r="F273" s="55">
        <f t="shared" si="58"/>
        <v>352.58783383009467</v>
      </c>
      <c r="G273" s="55">
        <f t="shared" si="58"/>
        <v>25714.819089697812</v>
      </c>
      <c r="H273" s="55">
        <f t="shared" si="58"/>
        <v>1417.5389940671498</v>
      </c>
      <c r="I273" s="55">
        <f t="shared" si="58"/>
        <v>647.56159066219959</v>
      </c>
      <c r="J273" s="55">
        <f t="shared" si="58"/>
        <v>227.95478927813815</v>
      </c>
      <c r="K273" s="55"/>
      <c r="L273" s="55"/>
    </row>
    <row r="274" spans="1:13" x14ac:dyDescent="0.2">
      <c r="A274" s="33"/>
      <c r="B274" s="54" t="s">
        <v>66</v>
      </c>
      <c r="C274" s="55">
        <f t="shared" ref="C274:J274" si="59">+C195*SUM(C45:C49,C54:C56)/1000</f>
        <v>216322.79150155815</v>
      </c>
      <c r="D274" s="55">
        <f t="shared" si="59"/>
        <v>248.15211016722537</v>
      </c>
      <c r="E274" s="55">
        <f t="shared" si="59"/>
        <v>45109.988558197139</v>
      </c>
      <c r="F274" s="55">
        <f t="shared" si="59"/>
        <v>845.14770603875775</v>
      </c>
      <c r="G274" s="55">
        <f t="shared" si="59"/>
        <v>44294.68396179819</v>
      </c>
      <c r="H274" s="55">
        <f t="shared" si="59"/>
        <v>2766.1644446461223</v>
      </c>
      <c r="I274" s="55">
        <f t="shared" si="59"/>
        <v>1583.4545849456745</v>
      </c>
      <c r="J274" s="55">
        <f t="shared" si="59"/>
        <v>381.41942005792941</v>
      </c>
      <c r="K274" s="55"/>
      <c r="L274" s="55"/>
    </row>
    <row r="275" spans="1:13" x14ac:dyDescent="0.2">
      <c r="A275" s="33"/>
      <c r="B275" s="54" t="s">
        <v>29</v>
      </c>
      <c r="C275" s="41">
        <f t="shared" ref="C275:J275" si="60">+C274+C273</f>
        <v>354312.07379554317</v>
      </c>
      <c r="D275" s="41">
        <f t="shared" si="60"/>
        <v>389.79047535910001</v>
      </c>
      <c r="E275" s="41">
        <f t="shared" si="60"/>
        <v>72032.102476110158</v>
      </c>
      <c r="F275" s="41">
        <f t="shared" si="60"/>
        <v>1197.7355398688524</v>
      </c>
      <c r="G275" s="41">
        <f t="shared" si="60"/>
        <v>70009.503051495994</v>
      </c>
      <c r="H275" s="41">
        <f t="shared" si="60"/>
        <v>4183.7034387132717</v>
      </c>
      <c r="I275" s="41">
        <f t="shared" si="60"/>
        <v>2231.0161756078742</v>
      </c>
      <c r="J275" s="55">
        <f t="shared" si="60"/>
        <v>609.37420933606757</v>
      </c>
      <c r="K275" s="55"/>
      <c r="L275" s="55"/>
    </row>
    <row r="276" spans="1:13" x14ac:dyDescent="0.2">
      <c r="A276" s="33"/>
      <c r="B276" s="54"/>
    </row>
    <row r="277" spans="1:13" x14ac:dyDescent="0.2">
      <c r="A277" s="33"/>
      <c r="B277" s="5" t="s">
        <v>104</v>
      </c>
    </row>
    <row r="278" spans="1:13" x14ac:dyDescent="0.2">
      <c r="A278" s="33"/>
      <c r="B278" s="54" t="s">
        <v>63</v>
      </c>
      <c r="C278" s="111">
        <f t="shared" ref="C278:J278" si="61">+C273/C275</f>
        <v>0.389456901131775</v>
      </c>
      <c r="D278" s="111">
        <f>+D273/D275</f>
        <v>0.36337051350828481</v>
      </c>
      <c r="E278" s="111">
        <f t="shared" si="61"/>
        <v>0.37375160508249605</v>
      </c>
      <c r="F278" s="111">
        <f t="shared" si="61"/>
        <v>0.29437870222061019</v>
      </c>
      <c r="G278" s="111">
        <f t="shared" si="61"/>
        <v>0.36730469391823983</v>
      </c>
      <c r="H278" s="111">
        <f t="shared" si="61"/>
        <v>0.33882396657233532</v>
      </c>
      <c r="I278" s="111">
        <f>+I273/I275</f>
        <v>0.2902540993391774</v>
      </c>
      <c r="J278" s="111">
        <f t="shared" si="61"/>
        <v>0.37408013956892283</v>
      </c>
      <c r="K278" s="111"/>
      <c r="L278" s="111"/>
    </row>
    <row r="279" spans="1:13" x14ac:dyDescent="0.2">
      <c r="A279" s="33"/>
      <c r="B279" s="54" t="s">
        <v>66</v>
      </c>
      <c r="C279" s="111">
        <f t="shared" ref="C279:J279" si="62">+C274/C275</f>
        <v>0.610543098868225</v>
      </c>
      <c r="D279" s="111">
        <f>+D274/D275</f>
        <v>0.63662948649171514</v>
      </c>
      <c r="E279" s="111">
        <f t="shared" si="62"/>
        <v>0.62624839491750384</v>
      </c>
      <c r="F279" s="111">
        <f t="shared" si="62"/>
        <v>0.70562129777938987</v>
      </c>
      <c r="G279" s="111">
        <f t="shared" si="62"/>
        <v>0.63269530608176028</v>
      </c>
      <c r="H279" s="111">
        <f t="shared" si="62"/>
        <v>0.66117603342766484</v>
      </c>
      <c r="I279" s="111">
        <f t="shared" si="62"/>
        <v>0.70974590066082255</v>
      </c>
      <c r="J279" s="111">
        <f t="shared" si="62"/>
        <v>0.62591986043107717</v>
      </c>
      <c r="K279" s="111"/>
      <c r="L279" s="111"/>
    </row>
    <row r="280" spans="1:13" x14ac:dyDescent="0.2">
      <c r="A280" s="33"/>
    </row>
    <row r="281" spans="1:13" x14ac:dyDescent="0.2">
      <c r="A281" s="33"/>
      <c r="B281" s="5" t="s">
        <v>105</v>
      </c>
    </row>
    <row r="282" spans="1:13" x14ac:dyDescent="0.2">
      <c r="A282" s="33"/>
      <c r="B282" s="54" t="s">
        <v>63</v>
      </c>
      <c r="C282" s="112">
        <f>+SUM(C273:J273)</f>
        <v>193413.49687462527</v>
      </c>
      <c r="D282" s="112"/>
    </row>
    <row r="283" spans="1:13" x14ac:dyDescent="0.2">
      <c r="A283" s="33"/>
      <c r="B283" s="54" t="s">
        <v>66</v>
      </c>
      <c r="C283" s="112">
        <f>+SUM(C274:J274)</f>
        <v>311551.8022874092</v>
      </c>
      <c r="D283" s="112"/>
    </row>
    <row r="284" spans="1:13" x14ac:dyDescent="0.2">
      <c r="A284" s="33"/>
      <c r="B284" s="54" t="s">
        <v>29</v>
      </c>
      <c r="C284" s="41">
        <f>+C283+C282</f>
        <v>504965.29916203447</v>
      </c>
      <c r="D284" s="41"/>
    </row>
    <row r="285" spans="1:13" x14ac:dyDescent="0.2">
      <c r="A285" s="33"/>
    </row>
    <row r="286" spans="1:13" x14ac:dyDescent="0.2">
      <c r="A286" s="33"/>
      <c r="B286" s="5" t="s">
        <v>106</v>
      </c>
      <c r="D286" s="5" t="s">
        <v>107</v>
      </c>
    </row>
    <row r="287" spans="1:13" x14ac:dyDescent="0.2">
      <c r="A287" s="33"/>
      <c r="B287" s="54" t="s">
        <v>63</v>
      </c>
      <c r="C287" s="111">
        <f>+C282/C284</f>
        <v>0.38302334278332717</v>
      </c>
      <c r="E287" s="106">
        <f>+C282/SUMPRODUCT(O48:V48,C84:J84)*1000</f>
        <v>76.236178640622299</v>
      </c>
      <c r="F287" s="5" t="s">
        <v>108</v>
      </c>
      <c r="I287" s="5" t="s">
        <v>109</v>
      </c>
      <c r="K287" s="5" t="s">
        <v>110</v>
      </c>
      <c r="L287" s="54" t="s">
        <v>63</v>
      </c>
      <c r="M287" s="159">
        <f>IF(ROUND(E$287/F$206,4)&lt;ROUND(E$288/F$206,4),1,ROUND(E287/F$206,4))</f>
        <v>1</v>
      </c>
    </row>
    <row r="288" spans="1:13" x14ac:dyDescent="0.2">
      <c r="A288" s="33"/>
      <c r="B288" s="54" t="s">
        <v>66</v>
      </c>
      <c r="C288" s="111">
        <f>+C283/C284</f>
        <v>0.61697665721667283</v>
      </c>
      <c r="E288" s="106">
        <f>+C283/SUMPRODUCT(O45:V45,C84:J84)*1000</f>
        <v>87.475722967819948</v>
      </c>
      <c r="F288" s="5" t="s">
        <v>108</v>
      </c>
      <c r="I288" s="5" t="s">
        <v>132</v>
      </c>
      <c r="L288" s="54" t="s">
        <v>66</v>
      </c>
      <c r="M288" s="159">
        <f>IF(ROUND(E$287/F$206,4)&lt;ROUND(E$288/F$206,4),1,ROUND(E288/F$206,4))</f>
        <v>1</v>
      </c>
    </row>
    <row r="289" spans="1:6" x14ac:dyDescent="0.2">
      <c r="A289" s="33"/>
    </row>
    <row r="290" spans="1:6" x14ac:dyDescent="0.2">
      <c r="A290" s="33"/>
    </row>
    <row r="291" spans="1:6" x14ac:dyDescent="0.2">
      <c r="A291" s="32"/>
      <c r="B291" s="3" t="s">
        <v>114</v>
      </c>
      <c r="F291" s="106"/>
    </row>
    <row r="292" spans="1:6" x14ac:dyDescent="0.2">
      <c r="A292" s="33"/>
      <c r="B292" s="7" t="s">
        <v>115</v>
      </c>
      <c r="C292" s="190">
        <f>D156</f>
        <v>169.63</v>
      </c>
      <c r="D292" s="108"/>
      <c r="E292" s="5" t="s">
        <v>116</v>
      </c>
      <c r="F292" s="5" t="s">
        <v>117</v>
      </c>
    </row>
    <row r="293" spans="1:6" x14ac:dyDescent="0.2">
      <c r="A293" s="33"/>
      <c r="B293" s="7" t="s">
        <v>118</v>
      </c>
      <c r="C293" s="190">
        <f>D157</f>
        <v>169.63</v>
      </c>
      <c r="D293" s="108"/>
      <c r="E293" s="5" t="s">
        <v>116</v>
      </c>
      <c r="F293" s="5" t="s">
        <v>119</v>
      </c>
    </row>
    <row r="294" spans="1:6" x14ac:dyDescent="0.2">
      <c r="A294" s="33"/>
      <c r="B294" s="7" t="s">
        <v>120</v>
      </c>
      <c r="C294" s="41">
        <f>+E153</f>
        <v>51759.652319495617</v>
      </c>
      <c r="D294" s="41"/>
      <c r="E294" s="105" t="s">
        <v>61</v>
      </c>
    </row>
    <row r="295" spans="1:6" x14ac:dyDescent="0.2">
      <c r="A295" s="33"/>
      <c r="B295" s="7" t="s">
        <v>121</v>
      </c>
      <c r="C295" s="36">
        <f>+E169</f>
        <v>2</v>
      </c>
      <c r="D295" s="36"/>
      <c r="E295" s="5" t="s">
        <v>131</v>
      </c>
      <c r="F295" s="78"/>
    </row>
    <row r="296" spans="1:6" x14ac:dyDescent="0.2">
      <c r="A296" s="33"/>
      <c r="B296" s="183" t="s">
        <v>249</v>
      </c>
      <c r="C296" s="36">
        <f>E170</f>
        <v>16.25</v>
      </c>
      <c r="D296" s="36"/>
      <c r="E296" s="5" t="s">
        <v>131</v>
      </c>
      <c r="F296" s="78"/>
    </row>
    <row r="297" spans="1:6" x14ac:dyDescent="0.2">
      <c r="A297" s="33"/>
      <c r="B297" s="7" t="s">
        <v>122</v>
      </c>
      <c r="C297" s="138" t="s">
        <v>271</v>
      </c>
    </row>
    <row r="298" spans="1:6" x14ac:dyDescent="0.2">
      <c r="A298" s="33"/>
      <c r="B298" s="7" t="s">
        <v>123</v>
      </c>
      <c r="C298" s="27" t="s">
        <v>238</v>
      </c>
      <c r="D298" s="27"/>
    </row>
    <row r="299" spans="1:6" x14ac:dyDescent="0.2">
      <c r="A299" s="33"/>
      <c r="B299" s="7" t="s">
        <v>124</v>
      </c>
      <c r="C299" s="138" t="s">
        <v>272</v>
      </c>
    </row>
    <row r="300" spans="1:6" x14ac:dyDescent="0.2">
      <c r="A300" s="33"/>
      <c r="B300" s="7" t="s">
        <v>125</v>
      </c>
      <c r="C300" s="5" t="s">
        <v>243</v>
      </c>
    </row>
    <row r="301" spans="1:6" x14ac:dyDescent="0.2">
      <c r="A301" s="33"/>
      <c r="B301" s="7" t="s">
        <v>126</v>
      </c>
      <c r="C301" s="5" t="s">
        <v>206</v>
      </c>
    </row>
    <row r="302" spans="1:6" x14ac:dyDescent="0.2">
      <c r="A302" s="33"/>
      <c r="C302" s="5" t="s">
        <v>207</v>
      </c>
    </row>
    <row r="305" spans="1:19" x14ac:dyDescent="0.2">
      <c r="A305" s="32" t="s">
        <v>224</v>
      </c>
      <c r="B305" s="3" t="s">
        <v>241</v>
      </c>
    </row>
    <row r="306" spans="1:19" x14ac:dyDescent="0.2">
      <c r="A306" s="33"/>
      <c r="B306" s="4" t="s">
        <v>254</v>
      </c>
      <c r="N306" s="18"/>
      <c r="O306" s="18"/>
      <c r="P306" s="18"/>
      <c r="Q306" s="18"/>
      <c r="R306" s="18"/>
      <c r="S306" s="18"/>
    </row>
    <row r="307" spans="1:19" x14ac:dyDescent="0.2">
      <c r="A307" s="33"/>
      <c r="B307" s="4" t="s">
        <v>35</v>
      </c>
      <c r="N307" s="18"/>
      <c r="O307" s="18"/>
      <c r="P307" s="18"/>
      <c r="Q307" s="18"/>
      <c r="R307" s="18"/>
      <c r="S307" s="18"/>
    </row>
    <row r="308" spans="1:19" x14ac:dyDescent="0.2">
      <c r="A308" s="33"/>
      <c r="B308" s="4"/>
      <c r="N308" s="18"/>
      <c r="O308" s="18"/>
      <c r="P308" s="18"/>
      <c r="Q308" s="18"/>
      <c r="R308" s="18"/>
      <c r="S308" s="18"/>
    </row>
    <row r="309" spans="1:19" x14ac:dyDescent="0.2">
      <c r="A309" s="33"/>
      <c r="B309" s="83" t="s">
        <v>225</v>
      </c>
      <c r="C309" s="160">
        <f>'auction results and rates'!C29</f>
        <v>85.436999999999998</v>
      </c>
      <c r="D309" s="84"/>
      <c r="E309" s="108"/>
      <c r="N309" s="18"/>
      <c r="O309" s="132"/>
      <c r="P309" s="132"/>
      <c r="Q309" s="75"/>
      <c r="R309" s="75"/>
      <c r="S309" s="18"/>
    </row>
    <row r="310" spans="1:19" x14ac:dyDescent="0.2">
      <c r="A310" s="33"/>
      <c r="B310" s="85" t="s">
        <v>226</v>
      </c>
      <c r="C310" s="161">
        <f>K176*K57/SUMPRODUCT(C57:J57,C80:J80)</f>
        <v>15.466740694322308</v>
      </c>
      <c r="D310" s="84"/>
      <c r="N310" s="18"/>
      <c r="O310" s="74"/>
      <c r="P310" s="74"/>
      <c r="Q310" s="75"/>
      <c r="R310" s="75"/>
      <c r="S310" s="18"/>
    </row>
    <row r="311" spans="1:19" x14ac:dyDescent="0.2">
      <c r="A311" s="33"/>
      <c r="B311" s="86" t="s">
        <v>227</v>
      </c>
      <c r="C311" s="179">
        <f>C309-C310</f>
        <v>69.970259305677686</v>
      </c>
      <c r="D311" s="87"/>
      <c r="E311" s="136"/>
      <c r="N311" s="18"/>
      <c r="O311" s="76"/>
      <c r="P311" s="76"/>
      <c r="Q311" s="76"/>
      <c r="R311" s="76"/>
      <c r="S311" s="18"/>
    </row>
    <row r="312" spans="1:19" x14ac:dyDescent="0.2">
      <c r="A312" s="33"/>
      <c r="B312" s="4"/>
      <c r="N312" s="18"/>
      <c r="O312" s="133"/>
      <c r="P312" s="133"/>
      <c r="Q312" s="133"/>
      <c r="R312" s="133"/>
      <c r="S312" s="18"/>
    </row>
    <row r="313" spans="1:19" x14ac:dyDescent="0.2">
      <c r="A313" s="33"/>
      <c r="C313" s="21" t="s">
        <v>5</v>
      </c>
      <c r="D313" s="50" t="s">
        <v>139</v>
      </c>
      <c r="E313" s="21" t="s">
        <v>6</v>
      </c>
      <c r="F313" s="21" t="s">
        <v>7</v>
      </c>
      <c r="G313" s="21" t="s">
        <v>8</v>
      </c>
      <c r="H313" s="21" t="s">
        <v>9</v>
      </c>
      <c r="I313" s="21" t="s">
        <v>10</v>
      </c>
      <c r="J313" s="21" t="s">
        <v>11</v>
      </c>
      <c r="N313" s="18"/>
      <c r="O313" s="18"/>
      <c r="P313" s="18"/>
      <c r="Q313" s="18"/>
      <c r="R313" s="18"/>
      <c r="S313" s="18"/>
    </row>
    <row r="314" spans="1:19" x14ac:dyDescent="0.2">
      <c r="A314" s="33"/>
      <c r="B314" s="34" t="s">
        <v>44</v>
      </c>
      <c r="D314" s="110">
        <f>$C$311*D256*'auction results and rates'!E100</f>
        <v>78.635684087233741</v>
      </c>
      <c r="E314" s="110">
        <f>$C$311*E256*'auction results and rates'!$E$100</f>
        <v>72.025728033524231</v>
      </c>
      <c r="F314" s="110">
        <f>$C$311*F256*'auction results and rates'!$E$100</f>
        <v>64.656006916169972</v>
      </c>
      <c r="G314" s="110">
        <f>$C$311*G256*'auction results and rates'!$E$100</f>
        <v>67.922996689842492</v>
      </c>
      <c r="H314" s="110">
        <f>$C$311*H256*'auction results and rates'!$E$100</f>
        <v>64.580030409805502</v>
      </c>
      <c r="I314" s="110">
        <f>$C$311*I256*'auction results and rates'!$E$100</f>
        <v>48.473011060536358</v>
      </c>
      <c r="J314" s="110">
        <f>$C$311*J256*'auction results and rates'!$E$100</f>
        <v>61.161087623404029</v>
      </c>
      <c r="L314" s="113"/>
      <c r="M314" s="113"/>
      <c r="N314" s="18"/>
      <c r="O314" s="18"/>
      <c r="P314" s="18"/>
      <c r="Q314" s="134"/>
      <c r="R314" s="134"/>
      <c r="S314" s="18"/>
    </row>
    <row r="315" spans="1:19" x14ac:dyDescent="0.2">
      <c r="A315" s="33"/>
      <c r="B315" s="35" t="s">
        <v>134</v>
      </c>
      <c r="D315" s="110">
        <f>$C$311*D257*'auction results and rates'!E100</f>
        <v>87.221029306419652</v>
      </c>
      <c r="E315" s="110"/>
      <c r="F315" s="110"/>
      <c r="G315" s="110"/>
      <c r="H315" s="110"/>
      <c r="I315" s="110"/>
      <c r="J315" s="110"/>
      <c r="N315" s="18"/>
      <c r="O315" s="18"/>
      <c r="P315" s="18"/>
      <c r="Q315" s="18"/>
      <c r="R315" s="18"/>
      <c r="S315" s="18"/>
    </row>
    <row r="316" spans="1:19" x14ac:dyDescent="0.2">
      <c r="A316" s="33"/>
      <c r="B316" s="35" t="s">
        <v>37</v>
      </c>
      <c r="D316" s="110">
        <f>$C$311*D258*'auction results and rates'!E100</f>
        <v>47.029457439611292</v>
      </c>
      <c r="E316" s="110"/>
      <c r="F316" s="110"/>
      <c r="G316" s="110"/>
      <c r="H316" s="110"/>
      <c r="I316" s="110"/>
      <c r="J316" s="110"/>
      <c r="N316" s="18"/>
      <c r="O316" s="18"/>
      <c r="P316" s="18"/>
      <c r="Q316" s="18"/>
      <c r="R316" s="18"/>
      <c r="S316" s="18"/>
    </row>
    <row r="317" spans="1:19" x14ac:dyDescent="0.2">
      <c r="A317" s="33"/>
      <c r="B317" s="7" t="s">
        <v>73</v>
      </c>
      <c r="C317" s="110">
        <f>($C$311*$C$259+C260)*'auction results and rates'!E100</f>
        <v>69.974877595042528</v>
      </c>
      <c r="D317" s="110"/>
      <c r="E317" s="110"/>
      <c r="F317" s="110"/>
      <c r="G317" s="110"/>
      <c r="H317" s="110"/>
      <c r="I317" s="110"/>
      <c r="J317" s="110"/>
      <c r="N317" s="18"/>
      <c r="O317" s="18"/>
      <c r="P317" s="18"/>
      <c r="Q317" s="18"/>
      <c r="R317" s="18"/>
      <c r="S317" s="18"/>
    </row>
    <row r="318" spans="1:19" x14ac:dyDescent="0.2">
      <c r="A318" s="33"/>
      <c r="B318" s="7" t="s">
        <v>74</v>
      </c>
      <c r="C318" s="110">
        <f>($C$311*$C$259+C261)*'auction results and rates'!E100</f>
        <v>79.369565275042532</v>
      </c>
      <c r="D318" s="110"/>
      <c r="E318" s="110"/>
      <c r="F318" s="110"/>
      <c r="G318" s="110"/>
      <c r="H318" s="110"/>
      <c r="I318" s="110"/>
      <c r="J318" s="110"/>
      <c r="N318" s="18"/>
      <c r="O318" s="18"/>
      <c r="P318" s="18"/>
      <c r="Q318" s="18"/>
      <c r="R318" s="18"/>
      <c r="S318" s="18"/>
    </row>
    <row r="319" spans="1:19" x14ac:dyDescent="0.2">
      <c r="A319" s="33"/>
      <c r="B319" s="34" t="s">
        <v>45</v>
      </c>
      <c r="C319" s="110">
        <f>$C$311*C263*'auction results and rates'!E101</f>
        <v>77.900055964239073</v>
      </c>
      <c r="D319" s="110">
        <f>$C$311*D263*'auction results and rates'!E101</f>
        <v>86.246490531836116</v>
      </c>
      <c r="E319" s="110">
        <f>$C$311*E263*'auction results and rates'!$E$101</f>
        <v>72.86569860600595</v>
      </c>
      <c r="F319" s="110">
        <f>$C$311*F263*'auction results and rates'!$E$101</f>
        <v>60.279805210423099</v>
      </c>
      <c r="G319" s="110">
        <f>$C$311*G263*'auction results and rates'!$E$101</f>
        <v>67.76509970358552</v>
      </c>
      <c r="H319" s="110">
        <f>$C$311*H263*'auction results and rates'!$E$101</f>
        <v>62.200809991854157</v>
      </c>
      <c r="I319" s="110">
        <f>$C$311*I263*'auction results and rates'!$E$101</f>
        <v>49.548675052084036</v>
      </c>
      <c r="J319" s="110">
        <f>$C$311*J263*'auction results and rates'!$E$101</f>
        <v>61.140945284857722</v>
      </c>
      <c r="N319" s="18"/>
      <c r="O319" s="18"/>
      <c r="P319" s="18"/>
      <c r="Q319" s="134"/>
      <c r="R319" s="134"/>
      <c r="S319" s="18"/>
    </row>
    <row r="320" spans="1:19" x14ac:dyDescent="0.2">
      <c r="A320" s="33"/>
      <c r="B320" s="35" t="s">
        <v>134</v>
      </c>
      <c r="C320" s="110"/>
      <c r="D320" s="110">
        <f>$C$311*D264*'auction results and rates'!E101</f>
        <v>91.015881713320155</v>
      </c>
      <c r="E320" s="110"/>
      <c r="F320" s="110"/>
      <c r="G320" s="110"/>
      <c r="H320" s="110"/>
      <c r="I320" s="110"/>
      <c r="J320" s="110"/>
      <c r="N320" s="18"/>
      <c r="O320" s="18"/>
      <c r="P320" s="18"/>
      <c r="Q320" s="18"/>
      <c r="R320" s="18"/>
      <c r="S320" s="18"/>
    </row>
    <row r="321" spans="1:19" x14ac:dyDescent="0.2">
      <c r="A321" s="33"/>
      <c r="B321" s="35" t="s">
        <v>37</v>
      </c>
      <c r="C321" s="110"/>
      <c r="D321" s="110">
        <f>$C$311*D265*'auction results and rates'!E101</f>
        <v>48.820018066023977</v>
      </c>
      <c r="E321" s="110"/>
      <c r="F321" s="110"/>
      <c r="G321" s="110"/>
      <c r="H321" s="110"/>
      <c r="I321" s="110"/>
      <c r="J321" s="110"/>
      <c r="N321" s="18"/>
      <c r="O321" s="18"/>
      <c r="P321" s="18"/>
      <c r="Q321" s="18"/>
      <c r="R321" s="18"/>
      <c r="S321" s="18"/>
    </row>
    <row r="322" spans="1:19" x14ac:dyDescent="0.2">
      <c r="A322" s="33"/>
      <c r="B322" s="5" t="s">
        <v>46</v>
      </c>
      <c r="C322" s="110">
        <f t="shared" ref="C322:J322" si="63">$C$311*C266</f>
        <v>76.127642124577335</v>
      </c>
      <c r="D322" s="110">
        <f>$C$311*D266</f>
        <v>64.09275752400076</v>
      </c>
      <c r="E322" s="110">
        <f t="shared" si="63"/>
        <v>72.699099418599104</v>
      </c>
      <c r="F322" s="110">
        <f t="shared" si="63"/>
        <v>62.413471300664497</v>
      </c>
      <c r="G322" s="110">
        <f t="shared" si="63"/>
        <v>68.011092045118716</v>
      </c>
      <c r="H322" s="110">
        <f t="shared" si="63"/>
        <v>63.463025190249667</v>
      </c>
      <c r="I322" s="110">
        <f t="shared" si="63"/>
        <v>49.818824625642513</v>
      </c>
      <c r="J322" s="110">
        <f t="shared" si="63"/>
        <v>61.223976892467974</v>
      </c>
      <c r="N322" s="18"/>
      <c r="O322" s="18"/>
      <c r="P322" s="18"/>
      <c r="Q322" s="134"/>
      <c r="R322" s="134"/>
      <c r="S322" s="18"/>
    </row>
    <row r="323" spans="1:19" x14ac:dyDescent="0.2">
      <c r="A323" s="33"/>
      <c r="C323" s="162"/>
      <c r="D323" s="162"/>
      <c r="E323" s="162"/>
      <c r="F323" s="162"/>
      <c r="G323" s="162"/>
      <c r="H323" s="162"/>
      <c r="I323" s="162"/>
      <c r="J323" s="162"/>
      <c r="N323" s="18"/>
      <c r="O323" s="18"/>
      <c r="P323" s="18"/>
      <c r="Q323" s="135"/>
      <c r="R323" s="135"/>
      <c r="S323" s="18"/>
    </row>
    <row r="324" spans="1:19" x14ac:dyDescent="0.2">
      <c r="A324" s="19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N324" s="18"/>
      <c r="O324" s="18"/>
      <c r="P324" s="18"/>
      <c r="Q324" s="18"/>
      <c r="R324" s="18"/>
      <c r="S324" s="18"/>
    </row>
    <row r="325" spans="1:19" ht="12.75" customHeight="1" x14ac:dyDescent="0.2">
      <c r="A325" s="32" t="s">
        <v>228</v>
      </c>
      <c r="B325" s="17" t="s">
        <v>242</v>
      </c>
      <c r="C325" s="18"/>
      <c r="D325" s="18"/>
      <c r="E325" s="18"/>
      <c r="F325" s="18"/>
      <c r="G325" s="18"/>
      <c r="H325" s="18"/>
      <c r="I325" s="18"/>
      <c r="J325" s="18"/>
      <c r="K325" s="18"/>
      <c r="N325" s="18"/>
      <c r="O325" s="18"/>
      <c r="P325" s="18"/>
      <c r="Q325" s="18"/>
      <c r="R325" s="18"/>
      <c r="S325" s="18"/>
    </row>
    <row r="326" spans="1:19" x14ac:dyDescent="0.2">
      <c r="A326" s="33"/>
      <c r="B326" s="20" t="s">
        <v>256</v>
      </c>
      <c r="C326" s="18"/>
      <c r="D326" s="18"/>
      <c r="E326" s="18"/>
      <c r="F326" s="18"/>
      <c r="G326" s="18"/>
      <c r="H326" s="18"/>
      <c r="I326" s="18"/>
      <c r="J326" s="18"/>
      <c r="K326" s="18"/>
      <c r="N326" s="18"/>
      <c r="O326" s="18"/>
      <c r="P326" s="18"/>
      <c r="Q326" s="18"/>
      <c r="R326" s="18"/>
      <c r="S326" s="18"/>
    </row>
    <row r="327" spans="1:19" x14ac:dyDescent="0.2">
      <c r="A327" s="33"/>
      <c r="B327" s="20" t="s">
        <v>229</v>
      </c>
      <c r="C327" s="18"/>
      <c r="D327" s="18"/>
      <c r="E327" s="18"/>
      <c r="F327" s="18"/>
      <c r="G327" s="18"/>
      <c r="H327" s="18"/>
      <c r="I327" s="18"/>
      <c r="J327" s="18"/>
      <c r="K327" s="18"/>
      <c r="N327" s="18"/>
      <c r="O327" s="18"/>
      <c r="P327" s="18"/>
      <c r="Q327" s="18"/>
      <c r="R327" s="18"/>
      <c r="S327" s="18"/>
    </row>
    <row r="328" spans="1:19" x14ac:dyDescent="0.2">
      <c r="A328" s="33"/>
      <c r="B328" s="114" t="s">
        <v>230</v>
      </c>
      <c r="C328" s="18">
        <f>1/(1-(0.002311335+0.000552639))</f>
        <v>1.0028721999058532</v>
      </c>
      <c r="D328" s="18"/>
      <c r="E328" s="169"/>
      <c r="F328" s="18"/>
      <c r="G328" s="18"/>
      <c r="H328" s="18"/>
      <c r="I328" s="18"/>
      <c r="J328" s="18"/>
      <c r="K328" s="18"/>
      <c r="N328" s="18"/>
      <c r="O328" s="18"/>
      <c r="P328" s="18"/>
      <c r="Q328" s="18"/>
      <c r="R328" s="18"/>
      <c r="S328" s="18"/>
    </row>
    <row r="329" spans="1:19" x14ac:dyDescent="0.2">
      <c r="A329" s="33"/>
      <c r="B329" s="114" t="s">
        <v>231</v>
      </c>
      <c r="C329" s="18"/>
      <c r="D329" s="18"/>
      <c r="E329" s="18"/>
      <c r="F329" s="18"/>
      <c r="G329" s="18"/>
      <c r="H329" s="18"/>
      <c r="I329" s="18"/>
      <c r="J329" s="18"/>
      <c r="K329" s="18"/>
      <c r="N329" s="18"/>
      <c r="O329" s="115"/>
      <c r="P329" s="18"/>
      <c r="Q329" s="18"/>
      <c r="R329" s="18"/>
      <c r="S329" s="18"/>
    </row>
    <row r="330" spans="1:19" x14ac:dyDescent="0.2">
      <c r="A330" s="33"/>
      <c r="B330" s="20"/>
      <c r="C330" s="18"/>
      <c r="D330" s="18"/>
      <c r="E330" s="18"/>
      <c r="F330" s="18"/>
      <c r="G330" s="18"/>
      <c r="H330" s="18"/>
      <c r="I330" s="18"/>
      <c r="J330" s="18"/>
      <c r="K330" s="18"/>
      <c r="N330" s="18"/>
      <c r="O330" s="18"/>
      <c r="P330" s="18"/>
      <c r="Q330" s="18"/>
      <c r="R330" s="18"/>
      <c r="S330" s="18"/>
    </row>
    <row r="331" spans="1:19" x14ac:dyDescent="0.2">
      <c r="A331" s="33"/>
      <c r="B331" s="18"/>
      <c r="C331" s="21" t="s">
        <v>5</v>
      </c>
      <c r="D331" s="21" t="s">
        <v>139</v>
      </c>
      <c r="E331" s="21" t="s">
        <v>6</v>
      </c>
      <c r="F331" s="21" t="s">
        <v>7</v>
      </c>
      <c r="G331" s="21" t="s">
        <v>8</v>
      </c>
      <c r="H331" s="21" t="s">
        <v>9</v>
      </c>
      <c r="I331" s="21" t="s">
        <v>10</v>
      </c>
      <c r="J331" s="21" t="s">
        <v>11</v>
      </c>
      <c r="K331" s="18"/>
      <c r="N331" s="18"/>
      <c r="O331" s="18"/>
      <c r="P331" s="18"/>
      <c r="Q331" s="18"/>
      <c r="R331" s="18"/>
      <c r="S331" s="18"/>
    </row>
    <row r="332" spans="1:19" x14ac:dyDescent="0.2">
      <c r="A332" s="33"/>
      <c r="B332" s="23" t="s">
        <v>44</v>
      </c>
      <c r="C332" s="163"/>
      <c r="D332" s="163"/>
      <c r="E332" s="115">
        <f t="shared" ref="E332:J332" si="64">ROUND((E314*$C$328*1.06625)/1000,6)</f>
        <v>7.7018000000000003E-2</v>
      </c>
      <c r="F332" s="115">
        <f t="shared" si="64"/>
        <v>6.9137000000000004E-2</v>
      </c>
      <c r="G332" s="115">
        <f t="shared" si="64"/>
        <v>7.2631000000000001E-2</v>
      </c>
      <c r="H332" s="115">
        <f t="shared" si="64"/>
        <v>6.9056000000000006E-2</v>
      </c>
      <c r="I332" s="115">
        <f t="shared" si="64"/>
        <v>5.1832999999999997E-2</v>
      </c>
      <c r="J332" s="115">
        <f t="shared" si="64"/>
        <v>6.54E-2</v>
      </c>
      <c r="K332" s="18"/>
    </row>
    <row r="333" spans="1:19" x14ac:dyDescent="0.2">
      <c r="A333" s="33"/>
      <c r="B333" s="116" t="s">
        <v>134</v>
      </c>
      <c r="C333" s="163"/>
      <c r="D333" s="115">
        <f>ROUND((D315*$C$328*1.06625)/1000,6)</f>
        <v>9.3267000000000003E-2</v>
      </c>
      <c r="E333" s="115"/>
      <c r="F333" s="115"/>
      <c r="G333" s="115"/>
      <c r="H333" s="115"/>
      <c r="I333" s="115"/>
      <c r="J333" s="164"/>
      <c r="K333" s="18"/>
    </row>
    <row r="334" spans="1:19" x14ac:dyDescent="0.2">
      <c r="A334" s="33"/>
      <c r="B334" s="116" t="s">
        <v>37</v>
      </c>
      <c r="C334" s="163"/>
      <c r="D334" s="115">
        <f>ROUND((D316*$C$328*1.06625)/1000,6)</f>
        <v>5.0289E-2</v>
      </c>
      <c r="E334" s="115"/>
      <c r="F334" s="115"/>
      <c r="G334" s="115"/>
      <c r="H334" s="115"/>
      <c r="I334" s="115"/>
      <c r="J334" s="164"/>
      <c r="K334" s="18"/>
    </row>
    <row r="335" spans="1:19" x14ac:dyDescent="0.2">
      <c r="A335" s="33"/>
      <c r="B335" s="73" t="s">
        <v>73</v>
      </c>
      <c r="C335" s="115">
        <f>ROUND((C317*$C$328*1.06625)/1000,6)</f>
        <v>7.4825000000000003E-2</v>
      </c>
      <c r="D335" s="115"/>
      <c r="E335" s="115"/>
      <c r="F335" s="115"/>
      <c r="G335" s="115"/>
      <c r="H335" s="115"/>
      <c r="I335" s="115"/>
      <c r="J335" s="18"/>
      <c r="K335" s="18"/>
    </row>
    <row r="336" spans="1:19" x14ac:dyDescent="0.2">
      <c r="A336" s="33"/>
      <c r="B336" s="73" t="s">
        <v>74</v>
      </c>
      <c r="C336" s="115">
        <f>ROUND((C318*$C$328*1.06625)/1000,6)</f>
        <v>8.4871000000000002E-2</v>
      </c>
      <c r="D336" s="115"/>
      <c r="E336" s="115"/>
      <c r="F336" s="115"/>
      <c r="G336" s="115"/>
      <c r="H336" s="115"/>
      <c r="I336" s="115"/>
      <c r="J336" s="18"/>
      <c r="K336" s="18"/>
    </row>
    <row r="337" spans="1:11" x14ac:dyDescent="0.2">
      <c r="A337" s="33"/>
      <c r="B337" s="23" t="s">
        <v>45</v>
      </c>
      <c r="C337" s="115">
        <f>ROUND((C319*$C$328*1.06625)/1000,6)</f>
        <v>8.3299999999999999E-2</v>
      </c>
      <c r="D337" s="115"/>
      <c r="E337" s="115">
        <f t="shared" ref="E337:J337" si="65">ROUND((E319*$C$328*1.06625)/1000,6)</f>
        <v>7.7915999999999999E-2</v>
      </c>
      <c r="F337" s="115">
        <f t="shared" si="65"/>
        <v>6.4458000000000001E-2</v>
      </c>
      <c r="G337" s="115">
        <f t="shared" si="65"/>
        <v>7.2461999999999999E-2</v>
      </c>
      <c r="H337" s="115">
        <f t="shared" si="65"/>
        <v>6.6512000000000002E-2</v>
      </c>
      <c r="I337" s="115">
        <f t="shared" si="65"/>
        <v>5.2983000000000002E-2</v>
      </c>
      <c r="J337" s="115">
        <f t="shared" si="65"/>
        <v>6.5379000000000007E-2</v>
      </c>
      <c r="K337" s="18"/>
    </row>
    <row r="338" spans="1:11" x14ac:dyDescent="0.2">
      <c r="A338" s="33"/>
      <c r="B338" s="116" t="s">
        <v>134</v>
      </c>
      <c r="C338" s="115"/>
      <c r="D338" s="115">
        <f>ROUND((D320*$C$328*1.06625)/1000,6)</f>
        <v>9.7323999999999994E-2</v>
      </c>
      <c r="E338" s="115"/>
      <c r="F338" s="115"/>
      <c r="G338" s="115"/>
      <c r="H338" s="115"/>
      <c r="I338" s="115"/>
      <c r="J338" s="164"/>
      <c r="K338" s="18"/>
    </row>
    <row r="339" spans="1:11" x14ac:dyDescent="0.2">
      <c r="A339" s="33"/>
      <c r="B339" s="116" t="s">
        <v>37</v>
      </c>
      <c r="C339" s="115"/>
      <c r="D339" s="115">
        <f>ROUND((D321*$C$328*1.06625)/1000,6)</f>
        <v>5.2204E-2</v>
      </c>
      <c r="E339" s="115"/>
      <c r="F339" s="115"/>
      <c r="G339" s="115"/>
      <c r="H339" s="115"/>
      <c r="I339" s="115"/>
      <c r="J339" s="164"/>
      <c r="K339" s="18"/>
    </row>
    <row r="340" spans="1:11" x14ac:dyDescent="0.2">
      <c r="A340" s="33"/>
      <c r="B340" s="18" t="s">
        <v>46</v>
      </c>
      <c r="C340" s="115">
        <f>ROUND((C322*$C$328*1.06625)/1000,6)</f>
        <v>8.1404000000000004E-2</v>
      </c>
      <c r="D340" s="115">
        <f>ROUND((D322*$C$328*1.06625)/1000,6)</f>
        <v>6.8534999999999999E-2</v>
      </c>
      <c r="E340" s="115">
        <f t="shared" ref="E340:J340" si="66">ROUND((E322*$C$328*1.06625)/1000,6)</f>
        <v>7.7738000000000002E-2</v>
      </c>
      <c r="F340" s="115">
        <f t="shared" si="66"/>
        <v>6.6739999999999994E-2</v>
      </c>
      <c r="G340" s="115">
        <f t="shared" si="66"/>
        <v>7.2724999999999998E-2</v>
      </c>
      <c r="H340" s="115">
        <f t="shared" si="66"/>
        <v>6.7862000000000006E-2</v>
      </c>
      <c r="I340" s="115">
        <f t="shared" si="66"/>
        <v>5.3272E-2</v>
      </c>
      <c r="J340" s="115">
        <f t="shared" si="66"/>
        <v>6.5467999999999998E-2</v>
      </c>
      <c r="K340" s="18"/>
    </row>
    <row r="341" spans="1:11" x14ac:dyDescent="0.2">
      <c r="C341" s="136"/>
    </row>
    <row r="342" spans="1:11" x14ac:dyDescent="0.2">
      <c r="C342" s="136"/>
    </row>
    <row r="343" spans="1:11" x14ac:dyDescent="0.2">
      <c r="C343" s="18"/>
      <c r="D343" s="189"/>
    </row>
    <row r="344" spans="1:11" x14ac:dyDescent="0.2">
      <c r="C344" s="138"/>
    </row>
    <row r="347" spans="1:11" x14ac:dyDescent="0.2">
      <c r="D347" s="108"/>
    </row>
    <row r="348" spans="1:11" x14ac:dyDescent="0.2">
      <c r="D348" s="108"/>
    </row>
    <row r="353" spans="4:4" x14ac:dyDescent="0.2">
      <c r="D353" s="136"/>
    </row>
    <row r="354" spans="4:4" x14ac:dyDescent="0.2">
      <c r="D354" s="136"/>
    </row>
    <row r="355" spans="4:4" x14ac:dyDescent="0.2">
      <c r="D355" s="136"/>
    </row>
    <row r="356" spans="4:4" x14ac:dyDescent="0.2">
      <c r="D356" s="136"/>
    </row>
    <row r="357" spans="4:4" x14ac:dyDescent="0.2">
      <c r="D357" s="136"/>
    </row>
    <row r="358" spans="4:4" x14ac:dyDescent="0.2">
      <c r="D358" s="136"/>
    </row>
    <row r="359" spans="4:4" x14ac:dyDescent="0.2">
      <c r="D359" s="136"/>
    </row>
    <row r="360" spans="4:4" x14ac:dyDescent="0.2">
      <c r="D360" s="136"/>
    </row>
  </sheetData>
  <customSheetViews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0" type="noConversion"/>
  <pageMargins left="0.75" right="0.75" top="1" bottom="1" header="0.5" footer="0.5"/>
  <pageSetup scale="47" orientation="landscape" r:id="rId3"/>
  <headerFooter alignWithMargins="0">
    <oddHeader>&amp;L&amp;"Arial,Bold"Atlantic City Electric Company &amp;"Arial,Regular"
Development of BGS Rates
June 2020 - May 2021
&amp;RAttachment 2
Page &amp;P of &amp;N</oddHeader>
  </headerFooter>
  <rowBreaks count="6" manualBreakCount="6">
    <brk id="58" max="12" man="1"/>
    <brk id="120" max="12" man="1"/>
    <brk id="182" max="12" man="1"/>
    <brk id="227" max="12" man="1"/>
    <brk id="267" max="12" man="1"/>
    <brk id="30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9"/>
  <sheetViews>
    <sheetView tabSelected="1" zoomScale="80" zoomScaleNormal="80" workbookViewId="0"/>
  </sheetViews>
  <sheetFormatPr defaultRowHeight="12.75" x14ac:dyDescent="0.2"/>
  <cols>
    <col min="1" max="1" width="12.85546875" style="5" customWidth="1"/>
    <col min="2" max="2" width="30.140625" style="5" customWidth="1"/>
    <col min="3" max="5" width="13.140625" style="5" customWidth="1"/>
    <col min="6" max="6" width="11.85546875" style="5" customWidth="1"/>
    <col min="7" max="8" width="10.7109375" style="5" customWidth="1"/>
    <col min="9" max="9" width="11" style="5" customWidth="1"/>
    <col min="10" max="11" width="10.7109375" style="5" customWidth="1"/>
    <col min="12" max="12" width="14.28515625" style="5" bestFit="1" customWidth="1"/>
    <col min="13" max="13" width="9.85546875" style="5" bestFit="1" customWidth="1"/>
    <col min="14" max="14" width="11.5703125" style="5" bestFit="1" customWidth="1"/>
    <col min="15" max="15" width="9.85546875" style="5" bestFit="1" customWidth="1"/>
    <col min="16" max="16" width="11.5703125" style="5" bestFit="1" customWidth="1"/>
    <col min="17" max="17" width="10" style="5" bestFit="1" customWidth="1"/>
    <col min="18" max="18" width="11.5703125" style="5" bestFit="1" customWidth="1"/>
    <col min="19" max="19" width="10" style="5" bestFit="1" customWidth="1"/>
    <col min="20" max="20" width="11.42578125" style="5" bestFit="1" customWidth="1"/>
    <col min="21" max="21" width="9.140625" style="5"/>
    <col min="22" max="22" width="12.28515625" style="5" bestFit="1" customWidth="1"/>
    <col min="23" max="23" width="9.140625" style="5"/>
    <col min="24" max="24" width="11.28515625" style="5" bestFit="1" customWidth="1"/>
    <col min="25" max="16384" width="9.140625" style="5"/>
  </cols>
  <sheetData>
    <row r="1" spans="1:15" x14ac:dyDescent="0.2">
      <c r="A1" s="3" t="s">
        <v>237</v>
      </c>
    </row>
    <row r="2" spans="1:15" x14ac:dyDescent="0.2">
      <c r="A2" s="138" t="s">
        <v>266</v>
      </c>
    </row>
    <row r="3" spans="1:15" x14ac:dyDescent="0.2">
      <c r="A3" s="138" t="s">
        <v>267</v>
      </c>
    </row>
    <row r="5" spans="1:15" x14ac:dyDescent="0.2">
      <c r="A5" s="32" t="s">
        <v>221</v>
      </c>
      <c r="B5" s="3" t="s">
        <v>222</v>
      </c>
    </row>
    <row r="6" spans="1:15" ht="51" x14ac:dyDescent="0.2">
      <c r="A6" s="54" t="s">
        <v>166</v>
      </c>
      <c r="B6" s="3" t="s">
        <v>167</v>
      </c>
      <c r="C6" s="139" t="s">
        <v>257</v>
      </c>
      <c r="D6" s="139" t="s">
        <v>268</v>
      </c>
      <c r="E6" s="139" t="s">
        <v>269</v>
      </c>
      <c r="G6" s="139" t="s">
        <v>168</v>
      </c>
    </row>
    <row r="8" spans="1:15" x14ac:dyDescent="0.2">
      <c r="A8" s="54">
        <v>1</v>
      </c>
      <c r="B8" s="5" t="s">
        <v>169</v>
      </c>
      <c r="C8" s="6">
        <v>81.23</v>
      </c>
      <c r="D8" s="6">
        <v>87.4</v>
      </c>
      <c r="E8" s="6">
        <v>87.4</v>
      </c>
      <c r="F8" s="108"/>
      <c r="G8" s="5" t="s">
        <v>170</v>
      </c>
      <c r="O8" s="108"/>
    </row>
    <row r="9" spans="1:15" x14ac:dyDescent="0.2">
      <c r="A9" s="54">
        <v>2</v>
      </c>
      <c r="B9" s="5" t="s">
        <v>171</v>
      </c>
      <c r="C9" s="43">
        <v>7</v>
      </c>
      <c r="D9" s="43">
        <v>7</v>
      </c>
      <c r="E9" s="43">
        <v>8</v>
      </c>
      <c r="G9" s="5" t="s">
        <v>172</v>
      </c>
    </row>
    <row r="10" spans="1:15" x14ac:dyDescent="0.2">
      <c r="A10" s="54">
        <v>3</v>
      </c>
      <c r="B10" s="5" t="s">
        <v>173</v>
      </c>
      <c r="C10" s="43">
        <v>22</v>
      </c>
      <c r="D10" s="43">
        <v>22</v>
      </c>
      <c r="E10" s="43">
        <f>+D10</f>
        <v>22</v>
      </c>
      <c r="G10" s="5" t="s">
        <v>172</v>
      </c>
    </row>
    <row r="11" spans="1:15" x14ac:dyDescent="0.2">
      <c r="A11" s="54"/>
      <c r="C11" s="140"/>
      <c r="D11" s="140"/>
      <c r="E11" s="140"/>
    </row>
    <row r="12" spans="1:15" x14ac:dyDescent="0.2">
      <c r="A12" s="54"/>
      <c r="B12" s="5" t="s">
        <v>174</v>
      </c>
    </row>
    <row r="13" spans="1:15" x14ac:dyDescent="0.2">
      <c r="A13" s="54">
        <v>4</v>
      </c>
      <c r="B13" s="141" t="s">
        <v>175</v>
      </c>
      <c r="C13" s="81">
        <v>1</v>
      </c>
      <c r="D13" s="81">
        <v>1</v>
      </c>
      <c r="E13" s="142">
        <f>'June 20 - May 21'!M287</f>
        <v>1</v>
      </c>
      <c r="G13" s="5" t="s">
        <v>176</v>
      </c>
      <c r="K13" s="81"/>
    </row>
    <row r="14" spans="1:15" x14ac:dyDescent="0.2">
      <c r="A14" s="54">
        <v>5</v>
      </c>
      <c r="B14" s="141" t="s">
        <v>177</v>
      </c>
      <c r="C14" s="81">
        <v>1</v>
      </c>
      <c r="D14" s="81">
        <v>1</v>
      </c>
      <c r="E14" s="142">
        <f>'June 20 - May 21'!M288</f>
        <v>1</v>
      </c>
      <c r="G14" s="5" t="s">
        <v>176</v>
      </c>
      <c r="K14" s="81"/>
    </row>
    <row r="15" spans="1:15" x14ac:dyDescent="0.2">
      <c r="A15" s="54"/>
    </row>
    <row r="16" spans="1:15" x14ac:dyDescent="0.2">
      <c r="A16" s="54"/>
      <c r="B16" s="5" t="s">
        <v>178</v>
      </c>
    </row>
    <row r="17" spans="1:7" x14ac:dyDescent="0.2">
      <c r="A17" s="54">
        <v>6</v>
      </c>
      <c r="B17" s="5" t="s">
        <v>179</v>
      </c>
      <c r="C17" s="44">
        <f>SUMPRODUCT('June 20 - May 21'!O$48:V$48,'June 20 - May 21'!C$84:J$84)</f>
        <v>2537030.3223929601</v>
      </c>
      <c r="D17" s="44"/>
      <c r="E17" s="45"/>
      <c r="G17" s="5" t="s">
        <v>180</v>
      </c>
    </row>
    <row r="18" spans="1:7" x14ac:dyDescent="0.2">
      <c r="A18" s="54">
        <v>7</v>
      </c>
      <c r="B18" s="5" t="s">
        <v>181</v>
      </c>
      <c r="C18" s="44">
        <f>SUMPRODUCT('June 20 - May 21'!O$45:V$45,'June 20 - May 21'!C$84:J$84)</f>
        <v>3561580.192964179</v>
      </c>
      <c r="D18" s="44"/>
      <c r="E18" s="45"/>
    </row>
    <row r="19" spans="1:7" x14ac:dyDescent="0.2">
      <c r="A19" s="54"/>
      <c r="D19" s="38"/>
    </row>
    <row r="20" spans="1:7" x14ac:dyDescent="0.2">
      <c r="A20" s="54"/>
      <c r="B20" s="5" t="s">
        <v>182</v>
      </c>
    </row>
    <row r="21" spans="1:7" x14ac:dyDescent="0.2">
      <c r="A21" s="54">
        <v>8</v>
      </c>
      <c r="B21" s="141" t="s">
        <v>175</v>
      </c>
      <c r="C21" s="55">
        <f t="shared" ref="C21:E22" si="0">(+C$8*C$9/C$10*C13*$C17/1000)</f>
        <v>65571.855073448227</v>
      </c>
      <c r="D21" s="55">
        <f t="shared" si="0"/>
        <v>70552.506874546045</v>
      </c>
      <c r="E21" s="55">
        <f t="shared" si="0"/>
        <v>80631.436428052635</v>
      </c>
      <c r="G21" s="178" t="s">
        <v>258</v>
      </c>
    </row>
    <row r="22" spans="1:7" x14ac:dyDescent="0.2">
      <c r="A22" s="54">
        <v>9</v>
      </c>
      <c r="B22" s="141" t="s">
        <v>177</v>
      </c>
      <c r="C22" s="181">
        <f t="shared" si="0"/>
        <v>92052.277887334625</v>
      </c>
      <c r="D22" s="181">
        <f t="shared" si="0"/>
        <v>99044.307366158406</v>
      </c>
      <c r="E22" s="181">
        <f t="shared" si="0"/>
        <v>113193.49413275246</v>
      </c>
      <c r="G22" s="178" t="s">
        <v>259</v>
      </c>
    </row>
    <row r="23" spans="1:7" x14ac:dyDescent="0.2">
      <c r="A23" s="54">
        <v>10</v>
      </c>
      <c r="B23" s="5" t="s">
        <v>183</v>
      </c>
      <c r="C23" s="41">
        <f>+C22+C21</f>
        <v>157624.13296078285</v>
      </c>
      <c r="D23" s="41">
        <f>+D22+D21</f>
        <v>169596.81424070447</v>
      </c>
      <c r="E23" s="41">
        <f>+E22+E21</f>
        <v>193824.93056080508</v>
      </c>
    </row>
    <row r="24" spans="1:7" x14ac:dyDescent="0.2">
      <c r="A24" s="54"/>
    </row>
    <row r="25" spans="1:7" x14ac:dyDescent="0.2">
      <c r="A25" s="54"/>
      <c r="B25" s="5" t="s">
        <v>184</v>
      </c>
    </row>
    <row r="26" spans="1:7" x14ac:dyDescent="0.2">
      <c r="A26" s="54">
        <v>11</v>
      </c>
      <c r="B26" s="141" t="s">
        <v>175</v>
      </c>
      <c r="C26" s="143">
        <f>ROUND(+SUM(C21:E21)/C17*1000,3)</f>
        <v>85.436999999999998</v>
      </c>
      <c r="D26" s="109"/>
      <c r="G26" s="178" t="s">
        <v>260</v>
      </c>
    </row>
    <row r="27" spans="1:7" x14ac:dyDescent="0.2">
      <c r="A27" s="54">
        <v>12</v>
      </c>
      <c r="B27" s="141" t="s">
        <v>177</v>
      </c>
      <c r="C27" s="130">
        <f>ROUND(+SUM(C22:E22)/C18*1000,3)</f>
        <v>85.436999999999998</v>
      </c>
      <c r="G27" s="178" t="s">
        <v>261</v>
      </c>
    </row>
    <row r="28" spans="1:7" x14ac:dyDescent="0.2">
      <c r="A28" s="54"/>
      <c r="B28" s="141"/>
      <c r="C28" s="144"/>
      <c r="G28" s="105"/>
    </row>
    <row r="29" spans="1:7" x14ac:dyDescent="0.2">
      <c r="A29" s="54">
        <v>13</v>
      </c>
      <c r="B29" s="5" t="s">
        <v>185</v>
      </c>
      <c r="C29" s="145">
        <f>ROUND(+SUM(C23:E23)/(C17+C18)*1000,3)</f>
        <v>85.436999999999998</v>
      </c>
      <c r="D29" s="5" t="s">
        <v>186</v>
      </c>
      <c r="G29" s="178" t="s">
        <v>262</v>
      </c>
    </row>
    <row r="30" spans="1:7" x14ac:dyDescent="0.2">
      <c r="D30" s="5" t="s">
        <v>187</v>
      </c>
      <c r="G30" s="5" t="s">
        <v>188</v>
      </c>
    </row>
    <row r="31" spans="1:7" x14ac:dyDescent="0.2">
      <c r="C31" s="109"/>
    </row>
    <row r="32" spans="1:7" x14ac:dyDescent="0.2">
      <c r="B32" s="27" t="s">
        <v>189</v>
      </c>
      <c r="D32" s="109"/>
    </row>
    <row r="33" spans="1:13" x14ac:dyDescent="0.2">
      <c r="A33" s="54">
        <v>14</v>
      </c>
      <c r="B33" s="7" t="s">
        <v>190</v>
      </c>
      <c r="C33" s="41">
        <f>(C29*(C18+C17))/1000</f>
        <v>521046.98660056782</v>
      </c>
      <c r="D33" s="109"/>
      <c r="G33" s="178" t="s">
        <v>263</v>
      </c>
    </row>
    <row r="34" spans="1:13" ht="15" x14ac:dyDescent="0.35">
      <c r="A34" s="54">
        <v>15</v>
      </c>
      <c r="B34" s="7" t="s">
        <v>191</v>
      </c>
      <c r="C34" s="57">
        <f>SUM(C23:E23)</f>
        <v>521045.8777622924</v>
      </c>
      <c r="D34" s="109"/>
      <c r="G34" s="178" t="s">
        <v>264</v>
      </c>
    </row>
    <row r="35" spans="1:13" x14ac:dyDescent="0.2">
      <c r="A35" s="54">
        <v>16</v>
      </c>
      <c r="B35" s="7" t="s">
        <v>192</v>
      </c>
      <c r="C35" s="55">
        <f>+C33-C34</f>
        <v>1.1088382754242048</v>
      </c>
      <c r="D35" s="109"/>
      <c r="G35" s="178" t="s">
        <v>265</v>
      </c>
    </row>
    <row r="36" spans="1:13" x14ac:dyDescent="0.2">
      <c r="B36" s="7"/>
      <c r="D36" s="109"/>
    </row>
    <row r="38" spans="1:13" x14ac:dyDescent="0.2">
      <c r="A38" s="32" t="s">
        <v>223</v>
      </c>
      <c r="B38" s="3" t="s">
        <v>193</v>
      </c>
      <c r="G38" s="4" t="s">
        <v>194</v>
      </c>
    </row>
    <row r="39" spans="1:13" x14ac:dyDescent="0.2">
      <c r="A39" s="33"/>
      <c r="B39" s="3"/>
      <c r="G39" s="4" t="s">
        <v>212</v>
      </c>
    </row>
    <row r="40" spans="1:13" x14ac:dyDescent="0.2">
      <c r="B40" s="3"/>
    </row>
    <row r="41" spans="1:13" x14ac:dyDescent="0.2">
      <c r="B41" s="4" t="s">
        <v>255</v>
      </c>
    </row>
    <row r="42" spans="1:13" x14ac:dyDescent="0.2">
      <c r="B42" s="3"/>
    </row>
    <row r="43" spans="1:13" x14ac:dyDescent="0.2">
      <c r="C43" s="28" t="s">
        <v>5</v>
      </c>
      <c r="D43" s="28" t="s">
        <v>139</v>
      </c>
      <c r="E43" s="28" t="s">
        <v>6</v>
      </c>
      <c r="F43" s="28" t="s">
        <v>7</v>
      </c>
      <c r="G43" s="28" t="s">
        <v>8</v>
      </c>
      <c r="H43" s="28" t="s">
        <v>9</v>
      </c>
      <c r="I43" s="28" t="s">
        <v>10</v>
      </c>
      <c r="J43" s="28" t="s">
        <v>11</v>
      </c>
      <c r="K43" s="28" t="s">
        <v>29</v>
      </c>
    </row>
    <row r="44" spans="1:13" x14ac:dyDescent="0.2">
      <c r="C44" s="28"/>
      <c r="D44" s="28"/>
      <c r="E44" s="28"/>
      <c r="F44" s="28"/>
      <c r="G44" s="28"/>
    </row>
    <row r="45" spans="1:13" x14ac:dyDescent="0.2">
      <c r="B45" s="34" t="s">
        <v>44</v>
      </c>
      <c r="D45" s="180">
        <f>'June 20 - May 21'!D214</f>
        <v>1.1279999999999999</v>
      </c>
      <c r="E45" s="3">
        <f>'June 20 - May 21'!E214</f>
        <v>0.95</v>
      </c>
      <c r="F45" s="3">
        <f>'June 20 - May 21'!F214</f>
        <v>0.79900000000000004</v>
      </c>
      <c r="G45" s="3">
        <f>'June 20 - May 21'!G214</f>
        <v>0.86099999999999999</v>
      </c>
      <c r="H45" s="3">
        <f>'June 20 - May 21'!H214</f>
        <v>0.79900000000000004</v>
      </c>
      <c r="I45" s="3">
        <f>'June 20 - May 21'!I214</f>
        <v>0.51600000000000001</v>
      </c>
      <c r="J45" s="3">
        <f>'June 20 - May 21'!J214</f>
        <v>0.73599999999999999</v>
      </c>
      <c r="K45" s="46"/>
      <c r="L45" s="46"/>
      <c r="M45" s="46"/>
    </row>
    <row r="46" spans="1:13" x14ac:dyDescent="0.2">
      <c r="B46" s="35" t="s">
        <v>134</v>
      </c>
      <c r="D46" s="180">
        <f>'June 20 - May 21'!D215</f>
        <v>1.22</v>
      </c>
      <c r="E46" s="3"/>
      <c r="F46" s="3"/>
      <c r="G46" s="3"/>
      <c r="H46" s="3"/>
      <c r="I46" s="3"/>
      <c r="J46" s="3"/>
      <c r="K46" s="46"/>
      <c r="L46" s="46"/>
      <c r="M46" s="46"/>
    </row>
    <row r="47" spans="1:13" x14ac:dyDescent="0.2">
      <c r="B47" s="35" t="s">
        <v>37</v>
      </c>
      <c r="D47" s="180">
        <f>'June 20 - May 21'!D216</f>
        <v>0.501</v>
      </c>
      <c r="E47" s="3"/>
      <c r="F47" s="3"/>
      <c r="G47" s="3"/>
      <c r="H47" s="3"/>
      <c r="I47" s="3"/>
      <c r="J47" s="3"/>
      <c r="K47" s="49"/>
      <c r="L47" s="46"/>
      <c r="M47" s="46"/>
    </row>
    <row r="48" spans="1:13" x14ac:dyDescent="0.2">
      <c r="E48" s="25"/>
      <c r="F48" s="47"/>
      <c r="G48" s="47"/>
      <c r="L48" s="46"/>
      <c r="M48" s="46"/>
    </row>
    <row r="49" spans="1:13" x14ac:dyDescent="0.2">
      <c r="B49" s="14" t="s">
        <v>91</v>
      </c>
      <c r="C49" s="30">
        <f>'June 20 - May 21'!C217</f>
        <v>1.01</v>
      </c>
      <c r="D49" s="30"/>
      <c r="E49" s="25"/>
      <c r="F49" s="47"/>
      <c r="G49" s="47"/>
      <c r="H49" s="47"/>
      <c r="I49" s="47"/>
      <c r="J49" s="47"/>
      <c r="K49" s="46"/>
      <c r="L49" s="46"/>
      <c r="M49" s="46"/>
    </row>
    <row r="50" spans="1:13" x14ac:dyDescent="0.2">
      <c r="B50" s="14" t="s">
        <v>92</v>
      </c>
      <c r="C50" s="30">
        <f>'June 20 - May 21'!C218</f>
        <v>-3.3580979445735295</v>
      </c>
      <c r="D50" s="30"/>
      <c r="E50" s="42" t="s">
        <v>93</v>
      </c>
      <c r="F50" s="47"/>
      <c r="G50" s="47"/>
      <c r="H50" s="47"/>
      <c r="I50" s="47"/>
      <c r="J50" s="47"/>
      <c r="K50" s="46"/>
      <c r="L50" s="46"/>
      <c r="M50" s="46"/>
    </row>
    <row r="51" spans="1:13" x14ac:dyDescent="0.2">
      <c r="B51" s="14" t="s">
        <v>92</v>
      </c>
      <c r="C51" s="30">
        <f>'June 20 - May 21'!C219</f>
        <v>5.2939020554264715</v>
      </c>
      <c r="D51" s="30"/>
      <c r="E51" s="42" t="s">
        <v>94</v>
      </c>
      <c r="F51" s="47"/>
      <c r="G51" s="47"/>
      <c r="H51" s="47"/>
      <c r="I51" s="47"/>
      <c r="J51" s="47"/>
      <c r="K51" s="46"/>
      <c r="L51" s="46"/>
      <c r="M51" s="46"/>
    </row>
    <row r="52" spans="1:13" x14ac:dyDescent="0.2">
      <c r="G52" s="47"/>
      <c r="H52" s="47"/>
      <c r="I52" s="47"/>
      <c r="J52" s="47"/>
      <c r="K52" s="46"/>
      <c r="L52" s="46"/>
      <c r="M52" s="46"/>
    </row>
    <row r="53" spans="1:13" x14ac:dyDescent="0.2">
      <c r="H53" s="47"/>
      <c r="I53" s="47"/>
      <c r="J53" s="47"/>
      <c r="K53" s="46"/>
      <c r="L53" s="46"/>
      <c r="M53" s="46"/>
    </row>
    <row r="54" spans="1:13" x14ac:dyDescent="0.2">
      <c r="C54" s="47"/>
      <c r="D54" s="47"/>
      <c r="E54" s="47"/>
      <c r="F54" s="47"/>
      <c r="G54" s="47"/>
      <c r="H54" s="47"/>
      <c r="I54" s="47"/>
      <c r="J54" s="47"/>
      <c r="K54" s="46"/>
      <c r="L54" s="46"/>
      <c r="M54" s="46"/>
    </row>
    <row r="55" spans="1:13" x14ac:dyDescent="0.2">
      <c r="B55" s="34" t="s">
        <v>45</v>
      </c>
      <c r="C55" s="30">
        <f>'June 20 - May 21'!C221</f>
        <v>1.177</v>
      </c>
      <c r="D55" s="30">
        <f>'June 20 - May 21'!D221</f>
        <v>1.3440000000000001</v>
      </c>
      <c r="E55" s="30">
        <f>'June 20 - May 21'!E221</f>
        <v>1.073</v>
      </c>
      <c r="F55" s="30">
        <f>'June 20 - May 21'!F221</f>
        <v>0.84699999999999998</v>
      </c>
      <c r="G55" s="30">
        <f>'June 20 - May 21'!G221</f>
        <v>0.96599999999999997</v>
      </c>
      <c r="H55" s="30">
        <f>'June 20 - May 21'!H221</f>
        <v>0.872</v>
      </c>
      <c r="I55" s="30">
        <f>'June 20 - May 21'!I221</f>
        <v>0.60599999999999998</v>
      </c>
      <c r="J55" s="30">
        <f>'June 20 - May 21'!J221</f>
        <v>0.83099999999999996</v>
      </c>
      <c r="K55" s="46"/>
      <c r="L55" s="46"/>
      <c r="M55" s="46"/>
    </row>
    <row r="56" spans="1:13" x14ac:dyDescent="0.2">
      <c r="B56" s="35" t="s">
        <v>134</v>
      </c>
      <c r="C56" s="30"/>
      <c r="D56" s="30">
        <f>'June 20 - May 21'!D222</f>
        <v>1.4019999999999999</v>
      </c>
      <c r="E56" s="30"/>
      <c r="F56" s="30"/>
      <c r="G56" s="30"/>
      <c r="H56" s="30"/>
      <c r="I56" s="30"/>
      <c r="J56" s="30"/>
      <c r="K56" s="46"/>
      <c r="L56" s="46"/>
      <c r="M56" s="46"/>
    </row>
    <row r="57" spans="1:13" x14ac:dyDescent="0.2">
      <c r="B57" s="35" t="s">
        <v>37</v>
      </c>
      <c r="C57" s="30"/>
      <c r="D57" s="30">
        <f>'June 20 - May 21'!D223</f>
        <v>0.59699999999999998</v>
      </c>
      <c r="E57" s="30"/>
      <c r="F57" s="30"/>
      <c r="G57" s="30"/>
      <c r="H57" s="30"/>
      <c r="I57" s="30"/>
      <c r="J57" s="30"/>
      <c r="K57" s="49"/>
      <c r="L57" s="46"/>
      <c r="M57" s="46"/>
    </row>
    <row r="58" spans="1:13" x14ac:dyDescent="0.2">
      <c r="C58" s="51"/>
      <c r="D58" s="51"/>
      <c r="E58" s="51"/>
      <c r="F58" s="51"/>
      <c r="G58" s="51"/>
      <c r="K58" s="46"/>
      <c r="L58" s="46"/>
      <c r="M58" s="46"/>
    </row>
    <row r="59" spans="1:13" x14ac:dyDescent="0.2">
      <c r="B59" s="5" t="s">
        <v>195</v>
      </c>
      <c r="C59" s="59">
        <f>'June 20 - May 21'!C225</f>
        <v>1.1060000000000001</v>
      </c>
      <c r="D59" s="59">
        <f>'June 20 - May 21'!D225</f>
        <v>0.85299999999999998</v>
      </c>
      <c r="E59" s="59">
        <f>'June 20 - May 21'!E225</f>
        <v>1.024</v>
      </c>
      <c r="F59" s="59">
        <f>'June 20 - May 21'!F225</f>
        <v>0.83199999999999996</v>
      </c>
      <c r="G59" s="59">
        <f>'June 20 - May 21'!G225</f>
        <v>0.92500000000000004</v>
      </c>
      <c r="H59" s="59">
        <f>'June 20 - May 21'!H225</f>
        <v>0.84599999999999997</v>
      </c>
      <c r="I59" s="59">
        <f>'June 20 - May 21'!I225</f>
        <v>0.57699999999999996</v>
      </c>
      <c r="J59" s="59">
        <f>'June 20 - May 21'!J225</f>
        <v>0.79300000000000004</v>
      </c>
      <c r="K59" s="46"/>
      <c r="L59" s="46"/>
      <c r="M59" s="46"/>
    </row>
    <row r="62" spans="1:13" x14ac:dyDescent="0.2">
      <c r="A62" s="146" t="s">
        <v>215</v>
      </c>
      <c r="B62" s="53" t="s">
        <v>216</v>
      </c>
      <c r="C62" s="46"/>
      <c r="E62" s="46"/>
    </row>
    <row r="63" spans="1:13" x14ac:dyDescent="0.2">
      <c r="B63" s="4" t="s">
        <v>196</v>
      </c>
    </row>
    <row r="65" spans="2:13" x14ac:dyDescent="0.2">
      <c r="B65" s="4" t="s">
        <v>255</v>
      </c>
    </row>
    <row r="66" spans="2:13" x14ac:dyDescent="0.2">
      <c r="B66" s="3"/>
    </row>
    <row r="67" spans="2:13" x14ac:dyDescent="0.2">
      <c r="C67" s="28" t="str">
        <f t="shared" ref="C67:J67" si="1">+C43</f>
        <v>RS</v>
      </c>
      <c r="D67" s="28" t="str">
        <f t="shared" si="1"/>
        <v>RS TOU - BGS</v>
      </c>
      <c r="E67" s="28" t="str">
        <f t="shared" si="1"/>
        <v>MGS - SEC</v>
      </c>
      <c r="F67" s="28" t="str">
        <f t="shared" si="1"/>
        <v>MGS - PRI</v>
      </c>
      <c r="G67" s="28" t="str">
        <f t="shared" si="1"/>
        <v>AGS - SEC</v>
      </c>
      <c r="H67" s="28" t="str">
        <f t="shared" si="1"/>
        <v>AGS - PRI</v>
      </c>
      <c r="I67" s="28" t="str">
        <f t="shared" si="1"/>
        <v>SPL/CSL</v>
      </c>
      <c r="J67" s="28" t="str">
        <f t="shared" si="1"/>
        <v>DDC</v>
      </c>
    </row>
    <row r="68" spans="2:13" x14ac:dyDescent="0.2">
      <c r="C68" s="146"/>
      <c r="D68" s="146"/>
      <c r="E68" s="146"/>
      <c r="F68" s="147"/>
      <c r="G68" s="147"/>
      <c r="H68" s="147"/>
      <c r="I68" s="147"/>
      <c r="J68" s="147"/>
    </row>
    <row r="69" spans="2:13" x14ac:dyDescent="0.2">
      <c r="B69" s="34" t="s">
        <v>44</v>
      </c>
      <c r="C69" s="147"/>
      <c r="D69" s="147">
        <f>ROUND(($C$29*D45)/10,4)</f>
        <v>9.6372999999999998</v>
      </c>
      <c r="E69" s="147">
        <f t="shared" ref="E69:J69" si="2">ROUND(($C$29*E45)/10,4)</f>
        <v>8.1165000000000003</v>
      </c>
      <c r="F69" s="147">
        <f t="shared" si="2"/>
        <v>6.8263999999999996</v>
      </c>
      <c r="G69" s="147">
        <f t="shared" si="2"/>
        <v>7.3560999999999996</v>
      </c>
      <c r="H69" s="147">
        <f t="shared" si="2"/>
        <v>6.8263999999999996</v>
      </c>
      <c r="I69" s="147">
        <f t="shared" si="2"/>
        <v>4.4085000000000001</v>
      </c>
      <c r="J69" s="147">
        <f t="shared" si="2"/>
        <v>6.2881999999999998</v>
      </c>
      <c r="L69" s="46"/>
      <c r="M69" s="46"/>
    </row>
    <row r="70" spans="2:13" x14ac:dyDescent="0.2">
      <c r="B70" s="35" t="s">
        <v>134</v>
      </c>
      <c r="C70" s="146"/>
      <c r="D70" s="147">
        <f>ROUND(($C$29*D46)/10,4)</f>
        <v>10.423299999999999</v>
      </c>
      <c r="E70" s="147"/>
      <c r="F70" s="146"/>
      <c r="G70" s="146"/>
      <c r="H70" s="146"/>
      <c r="I70" s="146"/>
      <c r="J70" s="146"/>
      <c r="L70" s="46"/>
      <c r="M70" s="46"/>
    </row>
    <row r="71" spans="2:13" x14ac:dyDescent="0.2">
      <c r="B71" s="35" t="s">
        <v>37</v>
      </c>
      <c r="C71" s="146"/>
      <c r="D71" s="147">
        <f>ROUND(($C$29*D47)/10,4)</f>
        <v>4.2804000000000002</v>
      </c>
      <c r="E71" s="147"/>
      <c r="F71" s="146"/>
      <c r="G71" s="146"/>
      <c r="H71" s="146"/>
      <c r="I71" s="146"/>
      <c r="J71" s="146"/>
      <c r="L71" s="46"/>
      <c r="M71" s="46"/>
    </row>
    <row r="72" spans="2:13" x14ac:dyDescent="0.2">
      <c r="B72" s="50"/>
      <c r="C72" s="146"/>
      <c r="D72" s="146"/>
      <c r="E72" s="146"/>
      <c r="F72" s="146"/>
      <c r="G72" s="146"/>
      <c r="H72" s="146"/>
      <c r="I72" s="146"/>
      <c r="J72" s="146"/>
      <c r="L72" s="46"/>
      <c r="M72" s="46"/>
    </row>
    <row r="73" spans="2:13" x14ac:dyDescent="0.2">
      <c r="B73" s="42" t="s">
        <v>93</v>
      </c>
      <c r="C73" s="147">
        <f>ROUND((+$C$29*C49+C50)/10,4)</f>
        <v>8.2933000000000003</v>
      </c>
      <c r="D73" s="147"/>
      <c r="E73" s="146"/>
      <c r="F73" s="146"/>
      <c r="G73" s="146"/>
      <c r="H73" s="146"/>
      <c r="I73" s="146"/>
      <c r="J73" s="146"/>
      <c r="L73" s="46"/>
      <c r="M73" s="46"/>
    </row>
    <row r="74" spans="2:13" x14ac:dyDescent="0.2">
      <c r="B74" s="42" t="s">
        <v>94</v>
      </c>
      <c r="C74" s="147">
        <f>ROUND((+$C$29*C49+C51)/10,4)</f>
        <v>9.1585000000000001</v>
      </c>
      <c r="D74" s="147"/>
      <c r="E74" s="146"/>
      <c r="F74" s="146"/>
      <c r="G74" s="146"/>
      <c r="H74" s="146"/>
      <c r="I74" s="146"/>
      <c r="J74" s="146"/>
      <c r="L74" s="46"/>
      <c r="M74" s="46"/>
    </row>
    <row r="75" spans="2:13" x14ac:dyDescent="0.2">
      <c r="C75" s="147"/>
      <c r="D75" s="147"/>
      <c r="E75" s="146"/>
      <c r="F75" s="146"/>
      <c r="G75" s="146"/>
      <c r="H75" s="146"/>
      <c r="I75" s="146"/>
      <c r="J75" s="146"/>
      <c r="L75" s="46"/>
      <c r="M75" s="46"/>
    </row>
    <row r="76" spans="2:13" x14ac:dyDescent="0.2">
      <c r="B76" s="34" t="s">
        <v>45</v>
      </c>
      <c r="C76" s="147">
        <f>ROUND(($C$29*C55)/10,4)</f>
        <v>10.055899999999999</v>
      </c>
      <c r="D76" s="147">
        <f t="shared" ref="D76:I76" si="3">ROUND(($C$29*D55)/10,4)</f>
        <v>11.482699999999999</v>
      </c>
      <c r="E76" s="147">
        <f t="shared" si="3"/>
        <v>9.1674000000000007</v>
      </c>
      <c r="F76" s="147">
        <f t="shared" si="3"/>
        <v>7.2365000000000004</v>
      </c>
      <c r="G76" s="147">
        <f t="shared" si="3"/>
        <v>8.2531999999999996</v>
      </c>
      <c r="H76" s="147">
        <f t="shared" si="3"/>
        <v>7.4500999999999999</v>
      </c>
      <c r="I76" s="147">
        <f t="shared" si="3"/>
        <v>5.1775000000000002</v>
      </c>
      <c r="J76" s="147">
        <f>ROUND(($C$29*J55)/10,4)</f>
        <v>7.0998000000000001</v>
      </c>
      <c r="L76" s="46"/>
      <c r="M76" s="46"/>
    </row>
    <row r="77" spans="2:13" x14ac:dyDescent="0.2">
      <c r="B77" s="35" t="s">
        <v>134</v>
      </c>
      <c r="C77" s="146"/>
      <c r="D77" s="147">
        <f>ROUND(($C$29*D56)/10,4)</f>
        <v>11.978300000000001</v>
      </c>
      <c r="E77" s="147"/>
      <c r="F77" s="146"/>
      <c r="G77" s="146"/>
      <c r="H77" s="146"/>
      <c r="I77" s="146"/>
      <c r="J77" s="146"/>
      <c r="L77" s="46"/>
      <c r="M77" s="46"/>
    </row>
    <row r="78" spans="2:13" x14ac:dyDescent="0.2">
      <c r="B78" s="35" t="s">
        <v>37</v>
      </c>
      <c r="C78" s="146"/>
      <c r="D78" s="147">
        <f>ROUND(($C$29*D57)/10,4)</f>
        <v>5.1006</v>
      </c>
      <c r="E78" s="147"/>
      <c r="F78" s="146"/>
      <c r="G78" s="146"/>
      <c r="H78" s="146"/>
      <c r="I78" s="146"/>
      <c r="J78" s="146"/>
      <c r="L78" s="46"/>
      <c r="M78" s="46"/>
    </row>
    <row r="79" spans="2:13" x14ac:dyDescent="0.2">
      <c r="C79" s="52"/>
      <c r="D79" s="48"/>
      <c r="E79" s="52"/>
      <c r="F79" s="48"/>
    </row>
    <row r="81" spans="1:24" x14ac:dyDescent="0.2">
      <c r="A81" s="146" t="s">
        <v>213</v>
      </c>
      <c r="B81" s="3" t="s">
        <v>214</v>
      </c>
      <c r="C81" s="46"/>
      <c r="E81" s="46"/>
    </row>
    <row r="82" spans="1:24" x14ac:dyDescent="0.2">
      <c r="C82" s="46"/>
      <c r="E82" s="46"/>
    </row>
    <row r="83" spans="1:24" x14ac:dyDescent="0.2">
      <c r="C83" s="28" t="str">
        <f>C67</f>
        <v>RS</v>
      </c>
      <c r="D83" s="28" t="str">
        <f t="shared" ref="D83:J83" si="4">D67</f>
        <v>RS TOU - BGS</v>
      </c>
      <c r="E83" s="28" t="str">
        <f t="shared" si="4"/>
        <v>MGS - SEC</v>
      </c>
      <c r="F83" s="28" t="str">
        <f t="shared" si="4"/>
        <v>MGS - PRI</v>
      </c>
      <c r="G83" s="28" t="str">
        <f t="shared" si="4"/>
        <v>AGS - SEC</v>
      </c>
      <c r="H83" s="28" t="str">
        <f t="shared" si="4"/>
        <v>AGS - PRI</v>
      </c>
      <c r="I83" s="28" t="str">
        <f t="shared" si="4"/>
        <v>SPL/CSL</v>
      </c>
      <c r="J83" s="28" t="str">
        <f t="shared" si="4"/>
        <v>DDC</v>
      </c>
      <c r="K83" s="22"/>
      <c r="L83" s="22"/>
    </row>
    <row r="84" spans="1:24" x14ac:dyDescent="0.2">
      <c r="B84" s="5" t="s">
        <v>164</v>
      </c>
      <c r="K84" s="18"/>
      <c r="L84" s="18"/>
    </row>
    <row r="85" spans="1:24" x14ac:dyDescent="0.2">
      <c r="B85" s="54" t="s">
        <v>63</v>
      </c>
      <c r="C85" s="55">
        <f>+C73/100*'June 20 - May 21'!$O52+C74/100*'June 20 - May 21'!$O53</f>
        <v>142464.59630344118</v>
      </c>
      <c r="D85" s="55">
        <f>(D70/100*'June 20 - May 21'!$P49)+(D71/100*'June 20 - May 21'!$P50)</f>
        <v>115.34768330854355</v>
      </c>
      <c r="E85" s="56">
        <f>E69/100*'June 20 - May 21'!$Q48</f>
        <v>27780.71328829199</v>
      </c>
      <c r="F85" s="56">
        <f>F69/100*'June 20 - May 21'!R48</f>
        <v>364.01305868922373</v>
      </c>
      <c r="G85" s="56">
        <f>G69/100*'June 20 - May 21'!$S48</f>
        <v>26529.675562371805</v>
      </c>
      <c r="H85" s="56">
        <f>H69/100*'June 20 - May 21'!$T48</f>
        <v>1462.8382122008379</v>
      </c>
      <c r="I85" s="56">
        <f>I69/100*'June 20 - May 21'!$U48</f>
        <v>667.88068783238168</v>
      </c>
      <c r="J85" s="56">
        <f>J69/100*'June 20 - May 21'!$V48</f>
        <v>235.33147091707559</v>
      </c>
      <c r="K85" s="60"/>
      <c r="P85" s="63">
        <f>'June 20 - May 21'!$O52+'June 20 - May 21'!$O53</f>
        <v>1650976.7484352672</v>
      </c>
      <c r="Q85" s="63">
        <f>('June 20 - May 21'!$P49)+('June 20 - May 21'!$P50)</f>
        <v>1516.6023718761835</v>
      </c>
      <c r="R85" s="64">
        <f>'June 20 - May 21'!$Q48</f>
        <v>342274.54307019024</v>
      </c>
      <c r="S85" s="64">
        <f>'June 20 - May 21'!$R48</f>
        <v>5332.4308374725151</v>
      </c>
      <c r="T85" s="64">
        <f>'June 20 - May 21'!$S48</f>
        <v>360648.65298693336</v>
      </c>
      <c r="U85" s="64">
        <f>'June 20 - May 21'!$T48</f>
        <v>21429.131199473195</v>
      </c>
      <c r="V85" s="64">
        <f>'June 20 - May 21'!$U48</f>
        <v>15149.839805656837</v>
      </c>
      <c r="W85" s="64">
        <f>'June 20 - May 21'!$V48</f>
        <v>3742.4298037129165</v>
      </c>
      <c r="X85" s="131">
        <f>SUM(P85:W85)</f>
        <v>2401070.3785105823</v>
      </c>
    </row>
    <row r="86" spans="1:24" ht="15" x14ac:dyDescent="0.35">
      <c r="B86" s="54" t="s">
        <v>66</v>
      </c>
      <c r="C86" s="40">
        <f>+C76/100*'June 20 - May 21'!$O45</f>
        <v>223215.23526131027</v>
      </c>
      <c r="D86" s="40">
        <f>(D77/100*'June 20 - May 21'!$P46)+(D78/100*'June 20 - May 21'!$P47)</f>
        <v>189.86663015463844</v>
      </c>
      <c r="E86" s="40">
        <f>E76/100*'June 20 - May 21'!$Q45</f>
        <v>46557.023511605061</v>
      </c>
      <c r="F86" s="40">
        <f>F76/100*'June 20 - May 21'!R45</f>
        <v>872.11066065653654</v>
      </c>
      <c r="G86" s="40">
        <f>G76/100*'June 20 - May 21'!$S45</f>
        <v>45699.954591668087</v>
      </c>
      <c r="H86" s="40">
        <f>H76/100*'June 20 - May 21'!$T45</f>
        <v>2856.020194078349</v>
      </c>
      <c r="I86" s="40">
        <f>I76/100*'June 20 - May 21'!$U45</f>
        <v>1634.4079071291728</v>
      </c>
      <c r="J86" s="40">
        <f>J76/100*'June 20 - May 21'!$V45</f>
        <v>393.5058493036783</v>
      </c>
      <c r="K86" s="61"/>
      <c r="P86" s="65">
        <f>'June 20 - May 21'!$O45</f>
        <v>2219743.983743974</v>
      </c>
      <c r="Q86" s="65">
        <f>('June 20 - May 21'!$P46)+('June 20 - May 21'!$P47)</f>
        <v>2230.7528917947589</v>
      </c>
      <c r="R86" s="65">
        <f>'June 20 - May 21'!$Q45</f>
        <v>507854.17361089354</v>
      </c>
      <c r="S86" s="65">
        <f>'June 20 - May 21'!$R45</f>
        <v>12051.553384323037</v>
      </c>
      <c r="T86" s="65">
        <f>'June 20 - May 21'!$S45</f>
        <v>553724.0657159416</v>
      </c>
      <c r="U86" s="65">
        <f>'June 20 - May 21'!$T45</f>
        <v>38335.32696310585</v>
      </c>
      <c r="V86" s="65">
        <f>'June 20 - May 21'!$U45</f>
        <v>31567.511484870549</v>
      </c>
      <c r="W86" s="65">
        <f>'June 20 - May 21'!$V45</f>
        <v>5542.4920322217286</v>
      </c>
      <c r="X86" s="131">
        <f>SUM(P86:W86)</f>
        <v>3371049.859827125</v>
      </c>
    </row>
    <row r="87" spans="1:24" x14ac:dyDescent="0.2">
      <c r="B87" s="54" t="s">
        <v>29</v>
      </c>
      <c r="C87" s="41">
        <f t="shared" ref="C87:J87" si="5">+C86+C85</f>
        <v>365679.83156475145</v>
      </c>
      <c r="D87" s="41">
        <f t="shared" si="5"/>
        <v>305.21431346318201</v>
      </c>
      <c r="E87" s="41">
        <f t="shared" si="5"/>
        <v>74337.736799897044</v>
      </c>
      <c r="F87" s="41">
        <f t="shared" si="5"/>
        <v>1236.1237193457603</v>
      </c>
      <c r="G87" s="41">
        <f t="shared" si="5"/>
        <v>72229.630154039885</v>
      </c>
      <c r="H87" s="41">
        <f t="shared" si="5"/>
        <v>4318.858406279187</v>
      </c>
      <c r="I87" s="41">
        <f t="shared" si="5"/>
        <v>2302.2885949615547</v>
      </c>
      <c r="J87" s="41">
        <f t="shared" si="5"/>
        <v>628.8373202207539</v>
      </c>
      <c r="K87" s="62"/>
      <c r="P87" s="66">
        <f t="shared" ref="P87:W87" si="6">+P86+P85</f>
        <v>3870720.7321792413</v>
      </c>
      <c r="Q87" s="66">
        <f t="shared" si="6"/>
        <v>3747.3552636709423</v>
      </c>
      <c r="R87" s="66">
        <f t="shared" si="6"/>
        <v>850128.71668108378</v>
      </c>
      <c r="S87" s="66">
        <f t="shared" si="6"/>
        <v>17383.984221795552</v>
      </c>
      <c r="T87" s="66">
        <f t="shared" si="6"/>
        <v>914372.71870287496</v>
      </c>
      <c r="U87" s="66">
        <f t="shared" si="6"/>
        <v>59764.458162579045</v>
      </c>
      <c r="V87" s="66">
        <f t="shared" si="6"/>
        <v>46717.351290527382</v>
      </c>
      <c r="W87" s="66">
        <f t="shared" si="6"/>
        <v>9284.9218359346451</v>
      </c>
      <c r="X87" s="131">
        <f>SUM(P87:W87)</f>
        <v>5772120.2383377077</v>
      </c>
    </row>
    <row r="88" spans="1:24" x14ac:dyDescent="0.2">
      <c r="B88" s="54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24" x14ac:dyDescent="0.2">
      <c r="B89" s="54" t="s">
        <v>197</v>
      </c>
      <c r="C89" s="41">
        <f>SUM(C85:J85)</f>
        <v>199620.39626705303</v>
      </c>
      <c r="D89" s="41"/>
      <c r="E89" s="41"/>
      <c r="F89" s="41"/>
      <c r="G89" s="41"/>
      <c r="H89" s="41"/>
      <c r="I89" s="41"/>
      <c r="J89" s="41"/>
      <c r="K89" s="41"/>
      <c r="L89" s="41"/>
    </row>
    <row r="90" spans="1:24" ht="15" x14ac:dyDescent="0.35">
      <c r="B90" s="54" t="s">
        <v>198</v>
      </c>
      <c r="C90" s="57">
        <f>SUM(C86:J86)</f>
        <v>321418.12460590573</v>
      </c>
      <c r="E90" s="46"/>
    </row>
    <row r="91" spans="1:24" x14ac:dyDescent="0.2">
      <c r="B91" s="54" t="s">
        <v>199</v>
      </c>
      <c r="C91" s="41">
        <f>+C90+C89</f>
        <v>521038.52087295876</v>
      </c>
      <c r="E91" s="46"/>
    </row>
    <row r="92" spans="1:24" x14ac:dyDescent="0.2">
      <c r="B92" s="54"/>
      <c r="C92" s="46"/>
      <c r="E92" s="46"/>
    </row>
    <row r="93" spans="1:24" x14ac:dyDescent="0.2"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24" x14ac:dyDescent="0.2">
      <c r="B94" s="5" t="s">
        <v>165</v>
      </c>
    </row>
    <row r="95" spans="1:24" x14ac:dyDescent="0.2">
      <c r="B95" s="54" t="s">
        <v>63</v>
      </c>
      <c r="C95" s="41">
        <f>+C21+D21+E21</f>
        <v>216755.79837604691</v>
      </c>
    </row>
    <row r="96" spans="1:24" ht="15" x14ac:dyDescent="0.35">
      <c r="B96" s="54" t="s">
        <v>66</v>
      </c>
      <c r="C96" s="57">
        <f>+C22+D22+E22</f>
        <v>304290.07938624552</v>
      </c>
      <c r="E96" s="67"/>
      <c r="F96" s="68"/>
      <c r="G96" s="68"/>
      <c r="H96" s="69"/>
    </row>
    <row r="97" spans="1:10" x14ac:dyDescent="0.2">
      <c r="B97" s="54" t="s">
        <v>29</v>
      </c>
      <c r="C97" s="41">
        <f>+C96+C95</f>
        <v>521045.8777622924</v>
      </c>
      <c r="E97" s="70" t="s">
        <v>208</v>
      </c>
      <c r="F97" s="18"/>
      <c r="G97" s="18"/>
      <c r="H97" s="148"/>
      <c r="J97" s="10" t="s">
        <v>201</v>
      </c>
    </row>
    <row r="98" spans="1:10" x14ac:dyDescent="0.2">
      <c r="C98" s="46"/>
      <c r="E98" s="70" t="s">
        <v>209</v>
      </c>
      <c r="F98" s="20" t="s">
        <v>210</v>
      </c>
      <c r="G98" s="18"/>
      <c r="H98" s="148"/>
      <c r="J98" s="58">
        <f>+C100/C95</f>
        <v>7.905395028586909E-2</v>
      </c>
    </row>
    <row r="99" spans="1:10" x14ac:dyDescent="0.2">
      <c r="B99" s="27" t="s">
        <v>200</v>
      </c>
      <c r="C99" s="41"/>
      <c r="E99" s="149" t="s">
        <v>211</v>
      </c>
      <c r="F99" s="18"/>
      <c r="G99" s="18"/>
      <c r="H99" s="148"/>
      <c r="J99" s="58">
        <f>+C101/C96</f>
        <v>-5.6288543005435988E-2</v>
      </c>
    </row>
    <row r="100" spans="1:10" x14ac:dyDescent="0.2">
      <c r="B100" s="54" t="s">
        <v>63</v>
      </c>
      <c r="C100" s="41">
        <f>+C95-C89</f>
        <v>17135.402108993876</v>
      </c>
      <c r="E100" s="71">
        <f>ROUND(1+(C100/C89),5)</f>
        <v>1.0858399999999999</v>
      </c>
      <c r="F100" s="18"/>
      <c r="G100" s="18"/>
      <c r="H100" s="148"/>
      <c r="J100" s="58">
        <f>+C102/C97</f>
        <v>1.411946557418208E-5</v>
      </c>
    </row>
    <row r="101" spans="1:10" ht="15" x14ac:dyDescent="0.35">
      <c r="B101" s="54" t="s">
        <v>66</v>
      </c>
      <c r="C101" s="57">
        <f>+C96-C90</f>
        <v>-17128.045219660213</v>
      </c>
      <c r="E101" s="71">
        <f>ROUND(1+(C101/C90),5)</f>
        <v>0.94671000000000005</v>
      </c>
      <c r="F101" s="18"/>
      <c r="G101" s="18"/>
      <c r="H101" s="148"/>
    </row>
    <row r="102" spans="1:10" x14ac:dyDescent="0.2">
      <c r="B102" s="54" t="s">
        <v>29</v>
      </c>
      <c r="C102" s="41">
        <f>+C97-C91</f>
        <v>7.3568893336341716</v>
      </c>
      <c r="E102" s="150"/>
      <c r="F102" s="151"/>
      <c r="G102" s="151"/>
      <c r="H102" s="152"/>
    </row>
    <row r="104" spans="1:10" x14ac:dyDescent="0.2">
      <c r="C104" s="5" t="s">
        <v>202</v>
      </c>
    </row>
    <row r="105" spans="1:10" x14ac:dyDescent="0.2">
      <c r="C105" s="5" t="s">
        <v>203</v>
      </c>
    </row>
    <row r="108" spans="1:10" x14ac:dyDescent="0.2">
      <c r="A108" s="146" t="s">
        <v>217</v>
      </c>
      <c r="B108" s="53" t="s">
        <v>218</v>
      </c>
      <c r="C108" s="46"/>
      <c r="E108" s="46"/>
    </row>
    <row r="109" spans="1:10" x14ac:dyDescent="0.2">
      <c r="B109" s="4" t="s">
        <v>196</v>
      </c>
    </row>
    <row r="111" spans="1:10" x14ac:dyDescent="0.2">
      <c r="B111" s="4" t="s">
        <v>255</v>
      </c>
    </row>
    <row r="112" spans="1:10" x14ac:dyDescent="0.2">
      <c r="B112" s="3"/>
    </row>
    <row r="113" spans="1:10" x14ac:dyDescent="0.2">
      <c r="C113" s="28" t="s">
        <v>5</v>
      </c>
      <c r="D113" s="28" t="s">
        <v>139</v>
      </c>
      <c r="E113" s="28" t="s">
        <v>6</v>
      </c>
      <c r="F113" s="28" t="s">
        <v>7</v>
      </c>
      <c r="G113" s="28" t="s">
        <v>8</v>
      </c>
      <c r="H113" s="28" t="s">
        <v>9</v>
      </c>
      <c r="I113" s="28" t="s">
        <v>10</v>
      </c>
      <c r="J113" s="28" t="s">
        <v>11</v>
      </c>
    </row>
    <row r="114" spans="1:10" x14ac:dyDescent="0.2">
      <c r="C114" s="146"/>
      <c r="D114" s="146"/>
      <c r="E114" s="146"/>
      <c r="F114" s="147"/>
      <c r="G114" s="147"/>
      <c r="H114" s="147"/>
      <c r="I114" s="147"/>
      <c r="J114" s="147"/>
    </row>
    <row r="115" spans="1:10" x14ac:dyDescent="0.2">
      <c r="B115" s="34" t="s">
        <v>44</v>
      </c>
      <c r="C115" s="147"/>
      <c r="D115" s="147">
        <f>ROUND(D69*$E$100,4)</f>
        <v>10.464600000000001</v>
      </c>
      <c r="E115" s="147">
        <f t="shared" ref="E115:J115" si="7">ROUND(E69*$E$100,4)</f>
        <v>8.8132000000000001</v>
      </c>
      <c r="F115" s="147">
        <f t="shared" si="7"/>
        <v>7.4123999999999999</v>
      </c>
      <c r="G115" s="147">
        <f t="shared" si="7"/>
        <v>7.9874999999999998</v>
      </c>
      <c r="H115" s="147">
        <f t="shared" si="7"/>
        <v>7.4123999999999999</v>
      </c>
      <c r="I115" s="147">
        <f t="shared" si="7"/>
        <v>4.7869000000000002</v>
      </c>
      <c r="J115" s="147">
        <f t="shared" si="7"/>
        <v>6.8280000000000003</v>
      </c>
    </row>
    <row r="116" spans="1:10" x14ac:dyDescent="0.2">
      <c r="B116" s="35" t="s">
        <v>134</v>
      </c>
      <c r="C116" s="146"/>
      <c r="D116" s="147">
        <f>ROUND(D70*$E$100,4)</f>
        <v>11.318</v>
      </c>
      <c r="E116" s="147"/>
      <c r="F116" s="146"/>
      <c r="G116" s="146"/>
      <c r="H116" s="146"/>
      <c r="I116" s="146"/>
      <c r="J116" s="146"/>
    </row>
    <row r="117" spans="1:10" x14ac:dyDescent="0.2">
      <c r="B117" s="35" t="s">
        <v>37</v>
      </c>
      <c r="C117" s="146"/>
      <c r="D117" s="147">
        <f>ROUND(D71*$E$100,4)</f>
        <v>4.6478000000000002</v>
      </c>
      <c r="E117" s="147"/>
      <c r="F117" s="146"/>
      <c r="G117" s="146"/>
      <c r="H117" s="146"/>
      <c r="I117" s="146"/>
      <c r="J117" s="146"/>
    </row>
    <row r="118" spans="1:10" x14ac:dyDescent="0.2">
      <c r="B118" s="50"/>
      <c r="C118" s="146"/>
      <c r="D118" s="146"/>
      <c r="E118" s="146"/>
      <c r="F118" s="146"/>
      <c r="G118" s="146"/>
      <c r="H118" s="146"/>
      <c r="I118" s="146"/>
      <c r="J118" s="146"/>
    </row>
    <row r="119" spans="1:10" x14ac:dyDescent="0.2">
      <c r="B119" s="42" t="s">
        <v>93</v>
      </c>
      <c r="C119" s="147">
        <f>ROUND(C73*$E$100,4)</f>
        <v>9.0052000000000003</v>
      </c>
      <c r="D119" s="147"/>
      <c r="E119" s="146"/>
      <c r="F119" s="146"/>
      <c r="G119" s="146"/>
      <c r="H119" s="146"/>
      <c r="I119" s="146"/>
      <c r="J119" s="146"/>
    </row>
    <row r="120" spans="1:10" x14ac:dyDescent="0.2">
      <c r="B120" s="42" t="s">
        <v>94</v>
      </c>
      <c r="C120" s="147">
        <f>ROUND(C74*$E$100,4)</f>
        <v>9.9446999999999992</v>
      </c>
      <c r="D120" s="147"/>
      <c r="E120" s="146"/>
      <c r="F120" s="146"/>
      <c r="G120" s="146"/>
      <c r="H120" s="146"/>
      <c r="I120" s="146"/>
      <c r="J120" s="146"/>
    </row>
    <row r="121" spans="1:10" x14ac:dyDescent="0.2">
      <c r="C121" s="147"/>
      <c r="D121" s="147"/>
      <c r="E121" s="146"/>
      <c r="F121" s="146"/>
      <c r="G121" s="146"/>
      <c r="H121" s="146"/>
      <c r="I121" s="146"/>
      <c r="J121" s="146"/>
    </row>
    <row r="122" spans="1:10" x14ac:dyDescent="0.2">
      <c r="B122" s="34" t="s">
        <v>45</v>
      </c>
      <c r="C122" s="147">
        <f t="shared" ref="C122:J122" si="8">ROUND(C76*$E$101,4)</f>
        <v>9.52</v>
      </c>
      <c r="D122" s="147">
        <f t="shared" si="8"/>
        <v>10.870799999999999</v>
      </c>
      <c r="E122" s="147">
        <f t="shared" si="8"/>
        <v>8.6789000000000005</v>
      </c>
      <c r="F122" s="147">
        <f t="shared" si="8"/>
        <v>6.8509000000000002</v>
      </c>
      <c r="G122" s="147">
        <f t="shared" si="8"/>
        <v>7.8133999999999997</v>
      </c>
      <c r="H122" s="147">
        <f t="shared" si="8"/>
        <v>7.0530999999999997</v>
      </c>
      <c r="I122" s="147">
        <f t="shared" si="8"/>
        <v>4.9016000000000002</v>
      </c>
      <c r="J122" s="147">
        <f t="shared" si="8"/>
        <v>6.7214999999999998</v>
      </c>
    </row>
    <row r="123" spans="1:10" x14ac:dyDescent="0.2">
      <c r="B123" s="35" t="s">
        <v>134</v>
      </c>
      <c r="C123" s="146"/>
      <c r="D123" s="147">
        <f>ROUND(D77*$E$101,4)</f>
        <v>11.34</v>
      </c>
      <c r="E123" s="147"/>
      <c r="F123" s="146"/>
      <c r="G123" s="146"/>
      <c r="H123" s="146"/>
      <c r="I123" s="146"/>
      <c r="J123" s="146"/>
    </row>
    <row r="124" spans="1:10" x14ac:dyDescent="0.2">
      <c r="B124" s="35" t="s">
        <v>37</v>
      </c>
      <c r="C124" s="146"/>
      <c r="D124" s="147">
        <f>ROUND(D78*$E$101,4)</f>
        <v>4.8288000000000002</v>
      </c>
      <c r="E124" s="147"/>
      <c r="F124" s="146"/>
      <c r="G124" s="146"/>
      <c r="H124" s="146"/>
      <c r="I124" s="146"/>
      <c r="J124" s="146"/>
    </row>
    <row r="128" spans="1:10" x14ac:dyDescent="0.2">
      <c r="A128" s="146" t="s">
        <v>219</v>
      </c>
      <c r="B128" s="3" t="s">
        <v>220</v>
      </c>
      <c r="C128" s="46"/>
      <c r="E128" s="46"/>
    </row>
    <row r="130" spans="2:10" x14ac:dyDescent="0.2">
      <c r="C130" s="28" t="s">
        <v>5</v>
      </c>
      <c r="D130" s="28" t="s">
        <v>139</v>
      </c>
      <c r="E130" s="28" t="s">
        <v>6</v>
      </c>
      <c r="F130" s="28" t="s">
        <v>7</v>
      </c>
      <c r="G130" s="28" t="s">
        <v>8</v>
      </c>
      <c r="H130" s="28" t="s">
        <v>9</v>
      </c>
      <c r="I130" s="28" t="s">
        <v>10</v>
      </c>
      <c r="J130" s="28" t="s">
        <v>11</v>
      </c>
    </row>
    <row r="131" spans="2:10" x14ac:dyDescent="0.2">
      <c r="B131" s="5" t="s">
        <v>164</v>
      </c>
      <c r="C131" s="72"/>
    </row>
    <row r="132" spans="2:10" x14ac:dyDescent="0.2">
      <c r="B132" s="54" t="s">
        <v>63</v>
      </c>
      <c r="C132" s="72">
        <f>+C119/100*'June 20 - May 21'!O52+'auction results and rates'!C120/100*'June 20 - May 21'!O53</f>
        <v>154694.0090251723</v>
      </c>
      <c r="D132" s="39">
        <f>D116/100*'June 20 - May 21'!P49+D117/100*'June 20 - May 21'!P50</f>
        <v>125.24862684182509</v>
      </c>
      <c r="E132" s="72">
        <f>E115/100*'June 20 - May 21'!Q48</f>
        <v>30165.340029862007</v>
      </c>
      <c r="F132" s="72">
        <f>F115/100*'June 20 - May 21'!R48</f>
        <v>395.2611033968127</v>
      </c>
      <c r="G132" s="72">
        <f>G115/100*'June 20 - May 21'!S48</f>
        <v>28806.811157331304</v>
      </c>
      <c r="H132" s="72">
        <f>H115/100*'June 20 - May 21'!T48</f>
        <v>1588.412921029751</v>
      </c>
      <c r="I132" s="72">
        <f>I115/100*'June 20 - May 21'!U48</f>
        <v>725.20768165698712</v>
      </c>
      <c r="J132" s="72">
        <f>J115/100*'June 20 - May 21'!V48</f>
        <v>255.53310699751796</v>
      </c>
    </row>
    <row r="133" spans="2:10" ht="15" x14ac:dyDescent="0.35">
      <c r="B133" s="54" t="s">
        <v>66</v>
      </c>
      <c r="C133" s="40">
        <f>+C122/100*'June 20 - May 21'!O45</f>
        <v>211319.62725242632</v>
      </c>
      <c r="D133" s="40">
        <f>D123/100*'June 20 - May 21'!P46+'auction results and rates'!D124/100*'June 20 - May 21'!P47</f>
        <v>179.74902198961877</v>
      </c>
      <c r="E133" s="40">
        <f>E122/100*'June 20 - May 21'!Q45</f>
        <v>44076.15587351584</v>
      </c>
      <c r="F133" s="40">
        <f>F122/100*'June 20 - May 21'!R45</f>
        <v>825.63987080658694</v>
      </c>
      <c r="G133" s="40">
        <f>G122/100*'June 20 - May 21'!S45</f>
        <v>43264.676150649379</v>
      </c>
      <c r="H133" s="40">
        <f>H122/100*'June 20 - May 21'!T45</f>
        <v>2703.8289460348187</v>
      </c>
      <c r="I133" s="40">
        <f>I122/100*'June 20 - May 21'!U45</f>
        <v>1547.313142942415</v>
      </c>
      <c r="J133" s="40">
        <f>J122/100*'June 20 - May 21'!V45</f>
        <v>372.53860194578345</v>
      </c>
    </row>
    <row r="134" spans="2:10" x14ac:dyDescent="0.2">
      <c r="B134" s="54" t="s">
        <v>29</v>
      </c>
      <c r="C134" s="41">
        <f t="shared" ref="C134:J134" si="9">+C133+C132</f>
        <v>366013.63627759862</v>
      </c>
      <c r="D134" s="41">
        <f t="shared" si="9"/>
        <v>304.99764883144383</v>
      </c>
      <c r="E134" s="41">
        <f t="shared" si="9"/>
        <v>74241.495903377843</v>
      </c>
      <c r="F134" s="41">
        <f t="shared" si="9"/>
        <v>1220.9009742033995</v>
      </c>
      <c r="G134" s="41">
        <f t="shared" si="9"/>
        <v>72071.487307980686</v>
      </c>
      <c r="H134" s="41">
        <f t="shared" si="9"/>
        <v>4292.2418670645693</v>
      </c>
      <c r="I134" s="41">
        <f t="shared" si="9"/>
        <v>2272.5208245994022</v>
      </c>
      <c r="J134" s="41">
        <f t="shared" si="9"/>
        <v>628.07170894330147</v>
      </c>
    </row>
    <row r="135" spans="2:10" x14ac:dyDescent="0.2">
      <c r="B135" s="54"/>
      <c r="C135" s="41"/>
      <c r="D135" s="41"/>
      <c r="E135" s="41"/>
      <c r="F135" s="41"/>
      <c r="G135" s="41"/>
      <c r="H135" s="41"/>
      <c r="I135" s="41"/>
      <c r="J135" s="41"/>
    </row>
    <row r="136" spans="2:10" x14ac:dyDescent="0.2">
      <c r="B136" s="54" t="s">
        <v>197</v>
      </c>
      <c r="C136" s="41">
        <f>SUM(C132:J132)</f>
        <v>216755.8236522885</v>
      </c>
      <c r="D136" s="41"/>
      <c r="E136" s="41"/>
      <c r="F136" s="41"/>
      <c r="G136" s="41"/>
      <c r="H136" s="41"/>
      <c r="I136" s="41"/>
      <c r="J136" s="41"/>
    </row>
    <row r="137" spans="2:10" ht="15" x14ac:dyDescent="0.35">
      <c r="B137" s="54" t="s">
        <v>198</v>
      </c>
      <c r="C137" s="57">
        <f>SUM(C133:J133)</f>
        <v>304289.52886031085</v>
      </c>
      <c r="E137" s="46"/>
    </row>
    <row r="138" spans="2:10" x14ac:dyDescent="0.2">
      <c r="B138" s="54" t="s">
        <v>199</v>
      </c>
      <c r="C138" s="41">
        <f>+C137+C136</f>
        <v>521045.35251259932</v>
      </c>
      <c r="E138" s="46"/>
    </row>
    <row r="139" spans="2:10" x14ac:dyDescent="0.2">
      <c r="B139" s="54"/>
    </row>
    <row r="141" spans="2:10" x14ac:dyDescent="0.2">
      <c r="B141" s="5" t="s">
        <v>165</v>
      </c>
    </row>
    <row r="142" spans="2:10" x14ac:dyDescent="0.2">
      <c r="B142" s="54" t="s">
        <v>63</v>
      </c>
      <c r="C142" s="41">
        <f>C95</f>
        <v>216755.79837604691</v>
      </c>
    </row>
    <row r="143" spans="2:10" ht="15" x14ac:dyDescent="0.35">
      <c r="B143" s="54" t="s">
        <v>66</v>
      </c>
      <c r="C143" s="57">
        <f>C96</f>
        <v>304290.07938624552</v>
      </c>
    </row>
    <row r="144" spans="2:10" x14ac:dyDescent="0.2">
      <c r="B144" s="54" t="s">
        <v>29</v>
      </c>
      <c r="C144" s="41">
        <f>+C143+C142</f>
        <v>521045.8777622924</v>
      </c>
    </row>
    <row r="146" spans="2:3" x14ac:dyDescent="0.2">
      <c r="B146" s="27" t="s">
        <v>200</v>
      </c>
    </row>
    <row r="147" spans="2:3" x14ac:dyDescent="0.2">
      <c r="B147" s="54" t="s">
        <v>63</v>
      </c>
      <c r="C147" s="41">
        <f>+C136-C142</f>
        <v>2.5276241591200233E-2</v>
      </c>
    </row>
    <row r="148" spans="2:3" ht="15" x14ac:dyDescent="0.35">
      <c r="B148" s="54" t="s">
        <v>66</v>
      </c>
      <c r="C148" s="57">
        <f>+C137-C143</f>
        <v>-0.55052593466825783</v>
      </c>
    </row>
    <row r="149" spans="2:3" x14ac:dyDescent="0.2">
      <c r="B149" s="54" t="s">
        <v>29</v>
      </c>
      <c r="C149" s="41">
        <f>+C148+C147</f>
        <v>-0.5252496930770576</v>
      </c>
    </row>
  </sheetData>
  <customSheetViews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" bottom="1" header="0.5" footer="0.5"/>
  <pageSetup scale="47" fitToHeight="0" orientation="landscape" r:id="rId3"/>
  <headerFooter alignWithMargins="0">
    <oddHeader>&amp;L&amp;"Arial,Bold"Atlantic City Electric Company &amp;"Arial,Regular"
Development of BGS Rates
June 2020 - May 2021&amp;RAttachment 3
Page &amp;P of &amp;N</oddHeader>
  </headerFooter>
  <rowBreaks count="3" manualBreakCount="3">
    <brk id="37" max="11" man="1"/>
    <brk id="80" max="11" man="1"/>
    <brk id="10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June 20 - May 21</vt:lpstr>
      <vt:lpstr>auction results and rates</vt:lpstr>
      <vt:lpstr>'auction results and rates'!Print_Area</vt:lpstr>
      <vt:lpstr>'June 20 - May 21'!Print_Area</vt:lpstr>
      <vt:lpstr>'auction results and rates'!Print_Titles</vt:lpstr>
    </vt:vector>
  </TitlesOfParts>
  <Company>Conectiv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JJanocha</dc:creator>
  <cp:lastModifiedBy>Author</cp:lastModifiedBy>
  <cp:lastPrinted>2018-06-18T17:59:38Z</cp:lastPrinted>
  <dcterms:created xsi:type="dcterms:W3CDTF">2003-06-13T18:49:24Z</dcterms:created>
  <dcterms:modified xsi:type="dcterms:W3CDTF">2019-06-28T12:09:07Z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