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hel.Northcutt\Desktop\3\BGS\2019 Auction\0 RSCP rate tool\Compliance Filing\0 to post\"/>
    </mc:Choice>
  </mc:AlternateContent>
  <xr:revisionPtr revIDLastSave="0" documentId="8_{85AF4210-D0E7-43E6-8EE1-6FF93C0C3532}" xr6:coauthVersionLast="31" xr6:coauthVersionMax="31" xr10:uidLastSave="{00000000-0000-0000-0000-000000000000}"/>
  <bookViews>
    <workbookView xWindow="0" yWindow="0" windowWidth="22605" windowHeight="10110" xr2:uid="{00749E54-39EB-4C66-8262-9E01B6B2A71E}"/>
  </bookViews>
  <sheets>
    <sheet name="BGS PTY15 Cost Alloc" sheetId="11" r:id="rId1"/>
    <sheet name="BGS PTY16 Cost Alloc" sheetId="13" r:id="rId2"/>
    <sheet name="BGS PTY17 Cost Alloc" sheetId="10" r:id="rId3"/>
    <sheet name="Composite Cost Allocation" sheetId="14" r:id="rId4"/>
  </sheets>
  <definedNames>
    <definedName name="_xlnm.Print_Area" localSheetId="0">'BGS PTY15 Cost Alloc'!$A$1:$L$330</definedName>
    <definedName name="_xlnm.Print_Area" localSheetId="1">'BGS PTY16 Cost Alloc'!$A$1:$L$330</definedName>
    <definedName name="_xlnm.Print_Area" localSheetId="2">'BGS PTY17 Cost Alloc'!$A$1:$L$327</definedName>
    <definedName name="_xlnm.Print_Area" localSheetId="3">'Composite Cost Allocation'!$A$1:$N$176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4" i="13" l="1"/>
  <c r="E194" i="13" s="1"/>
  <c r="D180" i="13"/>
  <c r="D193" i="11" l="1"/>
  <c r="Q15" i="10" l="1"/>
  <c r="B330" i="11" l="1"/>
  <c r="B330" i="13"/>
  <c r="F194" i="10" l="1"/>
  <c r="X95" i="10" l="1"/>
  <c r="D180" i="10" l="1"/>
  <c r="E174" i="10"/>
  <c r="X87" i="10" l="1"/>
  <c r="E95" i="10"/>
  <c r="R15" i="10"/>
  <c r="Q16" i="10"/>
  <c r="R16" i="10"/>
  <c r="Q17" i="10"/>
  <c r="R17" i="10"/>
  <c r="I60" i="10"/>
  <c r="I60" i="11" s="1"/>
  <c r="I61" i="10"/>
  <c r="I61" i="13" s="1"/>
  <c r="I62" i="10"/>
  <c r="I62" i="13" s="1"/>
  <c r="I63" i="10"/>
  <c r="I63" i="13" s="1"/>
  <c r="I64" i="10"/>
  <c r="I64" i="11" s="1"/>
  <c r="I65" i="10"/>
  <c r="I66" i="10"/>
  <c r="I67" i="10"/>
  <c r="I67" i="13" s="1"/>
  <c r="I68" i="10"/>
  <c r="I68" i="11" s="1"/>
  <c r="I69" i="10"/>
  <c r="I69" i="13" s="1"/>
  <c r="I70" i="10"/>
  <c r="I70" i="13" s="1"/>
  <c r="I71" i="10"/>
  <c r="I71" i="11" s="1"/>
  <c r="W72" i="10"/>
  <c r="E108" i="14"/>
  <c r="R95" i="10"/>
  <c r="F65" i="10"/>
  <c r="F65" i="11" s="1"/>
  <c r="F66" i="10"/>
  <c r="F66" i="11" s="1"/>
  <c r="F67" i="10"/>
  <c r="F67" i="13" s="1"/>
  <c r="F68" i="10"/>
  <c r="F68" i="11" s="1"/>
  <c r="S93" i="10"/>
  <c r="S94" i="10"/>
  <c r="Q95" i="10"/>
  <c r="F60" i="10"/>
  <c r="F60" i="13" s="1"/>
  <c r="F61" i="10"/>
  <c r="F61" i="11" s="1"/>
  <c r="F62" i="10"/>
  <c r="F62" i="11" s="1"/>
  <c r="F63" i="10"/>
  <c r="F63" i="11" s="1"/>
  <c r="F64" i="10"/>
  <c r="F64" i="11" s="1"/>
  <c r="F69" i="10"/>
  <c r="F69" i="11" s="1"/>
  <c r="F70" i="10"/>
  <c r="F70" i="11" s="1"/>
  <c r="F71" i="10"/>
  <c r="F71" i="11" s="1"/>
  <c r="E94" i="11"/>
  <c r="E95" i="11" s="1"/>
  <c r="E94" i="13"/>
  <c r="E95" i="13" s="1"/>
  <c r="F87" i="13"/>
  <c r="D87" i="13"/>
  <c r="F87" i="11"/>
  <c r="D87" i="11"/>
  <c r="E180" i="11"/>
  <c r="C313" i="11" s="1"/>
  <c r="AD72" i="10"/>
  <c r="E179" i="11"/>
  <c r="C312" i="11" s="1"/>
  <c r="T30" i="10"/>
  <c r="T30" i="11" s="1"/>
  <c r="Q30" i="10"/>
  <c r="Q30" i="13" s="1"/>
  <c r="X72" i="10"/>
  <c r="E179" i="13"/>
  <c r="C312" i="13" s="1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I90" i="11"/>
  <c r="I89" i="11"/>
  <c r="I88" i="11"/>
  <c r="H90" i="11"/>
  <c r="H89" i="11"/>
  <c r="H88" i="11"/>
  <c r="I87" i="11"/>
  <c r="H87" i="11"/>
  <c r="I86" i="11"/>
  <c r="I85" i="11"/>
  <c r="H86" i="11"/>
  <c r="H85" i="11"/>
  <c r="I83" i="11"/>
  <c r="I82" i="11"/>
  <c r="I81" i="11"/>
  <c r="I80" i="11"/>
  <c r="H83" i="11"/>
  <c r="H82" i="11"/>
  <c r="H81" i="11"/>
  <c r="H80" i="11"/>
  <c r="Y65" i="10"/>
  <c r="Y66" i="10"/>
  <c r="Y67" i="10"/>
  <c r="Y68" i="10"/>
  <c r="Y60" i="10"/>
  <c r="Y61" i="10"/>
  <c r="Y62" i="10"/>
  <c r="Y63" i="10"/>
  <c r="Y64" i="10"/>
  <c r="Y69" i="10"/>
  <c r="Y70" i="10"/>
  <c r="Y71" i="10"/>
  <c r="H85" i="10"/>
  <c r="H86" i="10" s="1"/>
  <c r="H87" i="10" s="1"/>
  <c r="H80" i="10"/>
  <c r="H81" i="10"/>
  <c r="H82" i="10"/>
  <c r="H83" i="10"/>
  <c r="G95" i="10"/>
  <c r="H88" i="10"/>
  <c r="H89" i="10"/>
  <c r="H90" i="10"/>
  <c r="F95" i="10"/>
  <c r="H95" i="10"/>
  <c r="I95" i="10"/>
  <c r="I162" i="14"/>
  <c r="H162" i="14"/>
  <c r="G162" i="14"/>
  <c r="F162" i="14"/>
  <c r="E162" i="14"/>
  <c r="AF72" i="10"/>
  <c r="AH70" i="11"/>
  <c r="AE71" i="11"/>
  <c r="AE70" i="11"/>
  <c r="W55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C322" i="11"/>
  <c r="C321" i="11"/>
  <c r="C320" i="11"/>
  <c r="B102" i="11"/>
  <c r="B165" i="11"/>
  <c r="B57" i="11"/>
  <c r="H30" i="11"/>
  <c r="E30" i="11"/>
  <c r="E10" i="11"/>
  <c r="B3" i="11"/>
  <c r="E193" i="11"/>
  <c r="C317" i="11" s="1"/>
  <c r="C316" i="11"/>
  <c r="C315" i="11"/>
  <c r="E300" i="11"/>
  <c r="F308" i="11" s="1"/>
  <c r="E19" i="11"/>
  <c r="Q19" i="11" s="1"/>
  <c r="D83" i="11"/>
  <c r="E15" i="11"/>
  <c r="Q15" i="11" s="1"/>
  <c r="E16" i="11"/>
  <c r="Q16" i="11" s="1"/>
  <c r="E17" i="11"/>
  <c r="Q17" i="11" s="1"/>
  <c r="E18" i="11"/>
  <c r="Q18" i="11" s="1"/>
  <c r="D79" i="11"/>
  <c r="D80" i="11"/>
  <c r="D81" i="11"/>
  <c r="D82" i="11"/>
  <c r="F83" i="11"/>
  <c r="F79" i="11"/>
  <c r="F80" i="11"/>
  <c r="F81" i="11"/>
  <c r="F82" i="11"/>
  <c r="E26" i="11"/>
  <c r="Q26" i="11" s="1"/>
  <c r="D90" i="11"/>
  <c r="E24" i="11"/>
  <c r="Q24" i="11" s="1"/>
  <c r="E25" i="11"/>
  <c r="Q25" i="11" s="1"/>
  <c r="D88" i="11"/>
  <c r="D89" i="11"/>
  <c r="F90" i="11"/>
  <c r="F88" i="11"/>
  <c r="F89" i="11"/>
  <c r="W64" i="11"/>
  <c r="W60" i="11"/>
  <c r="W61" i="11"/>
  <c r="W62" i="11"/>
  <c r="X62" i="11"/>
  <c r="W63" i="11"/>
  <c r="W69" i="11"/>
  <c r="W70" i="11"/>
  <c r="W71" i="11"/>
  <c r="E23" i="11"/>
  <c r="Q23" i="11" s="1"/>
  <c r="E20" i="11"/>
  <c r="Q20" i="11" s="1"/>
  <c r="E21" i="11"/>
  <c r="Q21" i="11" s="1"/>
  <c r="E22" i="11"/>
  <c r="Q22" i="11" s="1"/>
  <c r="D84" i="11"/>
  <c r="D85" i="11"/>
  <c r="D86" i="11"/>
  <c r="F84" i="11"/>
  <c r="F85" i="11"/>
  <c r="F86" i="11"/>
  <c r="F19" i="11"/>
  <c r="R19" i="11" s="1"/>
  <c r="F15" i="11"/>
  <c r="R15" i="11" s="1"/>
  <c r="F16" i="11"/>
  <c r="R16" i="11" s="1"/>
  <c r="F17" i="11"/>
  <c r="R17" i="11" s="1"/>
  <c r="F18" i="11"/>
  <c r="R18" i="11" s="1"/>
  <c r="F94" i="11"/>
  <c r="F95" i="11" s="1"/>
  <c r="F26" i="11"/>
  <c r="R26" i="11" s="1"/>
  <c r="F24" i="11"/>
  <c r="R24" i="11" s="1"/>
  <c r="F25" i="11"/>
  <c r="R25" i="11" s="1"/>
  <c r="G19" i="11"/>
  <c r="S19" i="11" s="1"/>
  <c r="G15" i="11"/>
  <c r="S15" i="11" s="1"/>
  <c r="G16" i="11"/>
  <c r="S16" i="11" s="1"/>
  <c r="G17" i="11"/>
  <c r="S17" i="11" s="1"/>
  <c r="G18" i="11"/>
  <c r="S18" i="11" s="1"/>
  <c r="G94" i="11"/>
  <c r="G95" i="11" s="1"/>
  <c r="G26" i="11"/>
  <c r="S26" i="11" s="1"/>
  <c r="G24" i="11"/>
  <c r="S24" i="11" s="1"/>
  <c r="G25" i="11"/>
  <c r="S25" i="11" s="1"/>
  <c r="H19" i="11"/>
  <c r="T19" i="11" s="1"/>
  <c r="H15" i="11"/>
  <c r="T15" i="11" s="1"/>
  <c r="H16" i="11"/>
  <c r="T16" i="11" s="1"/>
  <c r="H17" i="11"/>
  <c r="T17" i="11" s="1"/>
  <c r="H18" i="11"/>
  <c r="T18" i="11" s="1"/>
  <c r="H26" i="11"/>
  <c r="T26" i="11" s="1"/>
  <c r="H24" i="11"/>
  <c r="T24" i="11" s="1"/>
  <c r="H25" i="11"/>
  <c r="T25" i="11" s="1"/>
  <c r="H94" i="11"/>
  <c r="H95" i="11" s="1"/>
  <c r="I19" i="11"/>
  <c r="U19" i="11" s="1"/>
  <c r="I15" i="11"/>
  <c r="U15" i="11" s="1"/>
  <c r="I16" i="11"/>
  <c r="U16" i="11" s="1"/>
  <c r="I17" i="11"/>
  <c r="U17" i="11" s="1"/>
  <c r="I18" i="11"/>
  <c r="U18" i="11" s="1"/>
  <c r="I94" i="11"/>
  <c r="I95" i="11" s="1"/>
  <c r="I26" i="11"/>
  <c r="U26" i="11" s="1"/>
  <c r="I24" i="11"/>
  <c r="U24" i="11" s="1"/>
  <c r="I25" i="11"/>
  <c r="U25" i="11" s="1"/>
  <c r="E299" i="11"/>
  <c r="F307" i="11" s="1"/>
  <c r="W68" i="11"/>
  <c r="W65" i="11"/>
  <c r="W66" i="11"/>
  <c r="W67" i="11"/>
  <c r="F23" i="11"/>
  <c r="F20" i="11"/>
  <c r="R20" i="11" s="1"/>
  <c r="F21" i="11"/>
  <c r="R21" i="11" s="1"/>
  <c r="F22" i="11"/>
  <c r="R22" i="11" s="1"/>
  <c r="R23" i="11"/>
  <c r="G23" i="11"/>
  <c r="S23" i="11" s="1"/>
  <c r="G20" i="11"/>
  <c r="S20" i="11" s="1"/>
  <c r="G21" i="11"/>
  <c r="S21" i="11" s="1"/>
  <c r="G22" i="11"/>
  <c r="S22" i="11" s="1"/>
  <c r="H23" i="11"/>
  <c r="H20" i="11"/>
  <c r="T20" i="11" s="1"/>
  <c r="H21" i="11"/>
  <c r="T21" i="11" s="1"/>
  <c r="H22" i="11"/>
  <c r="T22" i="11" s="1"/>
  <c r="T23" i="11"/>
  <c r="I23" i="11"/>
  <c r="I20" i="11"/>
  <c r="U20" i="11" s="1"/>
  <c r="I21" i="11"/>
  <c r="U21" i="11" s="1"/>
  <c r="I22" i="11"/>
  <c r="U22" i="11" s="1"/>
  <c r="U23" i="11"/>
  <c r="I293" i="11"/>
  <c r="H293" i="11"/>
  <c r="G293" i="11"/>
  <c r="F293" i="11"/>
  <c r="E293" i="11"/>
  <c r="B286" i="11"/>
  <c r="B285" i="11"/>
  <c r="I263" i="11"/>
  <c r="H263" i="11"/>
  <c r="G263" i="11"/>
  <c r="F263" i="11"/>
  <c r="E263" i="11"/>
  <c r="B239" i="11"/>
  <c r="B238" i="11"/>
  <c r="I217" i="11"/>
  <c r="H217" i="11"/>
  <c r="G217" i="11"/>
  <c r="F217" i="11"/>
  <c r="E217" i="11"/>
  <c r="B209" i="11"/>
  <c r="B208" i="11"/>
  <c r="I198" i="11"/>
  <c r="H198" i="11"/>
  <c r="G198" i="11"/>
  <c r="F198" i="11"/>
  <c r="E198" i="11"/>
  <c r="C184" i="11"/>
  <c r="H175" i="11"/>
  <c r="I166" i="11"/>
  <c r="H166" i="11"/>
  <c r="G166" i="11"/>
  <c r="F166" i="11"/>
  <c r="E166" i="11"/>
  <c r="E150" i="11"/>
  <c r="W162" i="11"/>
  <c r="H150" i="11"/>
  <c r="Z150" i="11" s="1"/>
  <c r="I150" i="11"/>
  <c r="G150" i="11"/>
  <c r="F150" i="11"/>
  <c r="B144" i="11"/>
  <c r="B143" i="11"/>
  <c r="I128" i="11"/>
  <c r="H128" i="11"/>
  <c r="G128" i="11"/>
  <c r="F128" i="11"/>
  <c r="E128" i="11"/>
  <c r="I110" i="11"/>
  <c r="H110" i="11"/>
  <c r="G110" i="11"/>
  <c r="F110" i="11"/>
  <c r="E110" i="11"/>
  <c r="B104" i="11"/>
  <c r="B103" i="11"/>
  <c r="X95" i="11"/>
  <c r="Y95" i="11" s="1"/>
  <c r="Z95" i="11"/>
  <c r="Y94" i="11"/>
  <c r="Z94" i="11"/>
  <c r="I92" i="11"/>
  <c r="H92" i="11"/>
  <c r="G92" i="11"/>
  <c r="F92" i="11"/>
  <c r="E92" i="11"/>
  <c r="X86" i="11"/>
  <c r="Y86" i="11"/>
  <c r="Z86" i="11"/>
  <c r="X85" i="11"/>
  <c r="Y85" i="11"/>
  <c r="Z85" i="11"/>
  <c r="X84" i="11"/>
  <c r="Y84" i="11"/>
  <c r="Z84" i="11"/>
  <c r="X83" i="11"/>
  <c r="Y83" i="11"/>
  <c r="Z83" i="11"/>
  <c r="X82" i="11"/>
  <c r="Y82" i="11"/>
  <c r="Z82" i="11"/>
  <c r="X81" i="11"/>
  <c r="Y81" i="11"/>
  <c r="Z81" i="11"/>
  <c r="X80" i="11"/>
  <c r="Y80" i="11"/>
  <c r="Z80" i="11"/>
  <c r="X79" i="11"/>
  <c r="Y79" i="11"/>
  <c r="Z79" i="11"/>
  <c r="T13" i="11"/>
  <c r="T31" i="11" s="1"/>
  <c r="Q13" i="11"/>
  <c r="Q79" i="11"/>
  <c r="X78" i="11"/>
  <c r="Y78" i="11"/>
  <c r="Z78" i="11"/>
  <c r="AB65" i="11"/>
  <c r="AB66" i="11"/>
  <c r="AB67" i="11"/>
  <c r="AB68" i="11"/>
  <c r="X77" i="11"/>
  <c r="Y77" i="11"/>
  <c r="Z77" i="11"/>
  <c r="X76" i="11"/>
  <c r="Y76" i="11"/>
  <c r="Z76" i="11"/>
  <c r="X75" i="11"/>
  <c r="Y75" i="11"/>
  <c r="Z75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B60" i="11"/>
  <c r="AB61" i="11"/>
  <c r="AB62" i="11"/>
  <c r="AB63" i="11"/>
  <c r="AB64" i="11"/>
  <c r="AB69" i="11"/>
  <c r="AB70" i="11"/>
  <c r="AB71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X60" i="11"/>
  <c r="X61" i="11"/>
  <c r="X63" i="11"/>
  <c r="X64" i="11"/>
  <c r="X65" i="11"/>
  <c r="X66" i="11"/>
  <c r="X67" i="11"/>
  <c r="X68" i="11"/>
  <c r="X69" i="11"/>
  <c r="X70" i="11"/>
  <c r="X71" i="11"/>
  <c r="Q69" i="11"/>
  <c r="U13" i="11"/>
  <c r="U58" i="11" s="1"/>
  <c r="S13" i="11"/>
  <c r="R13" i="11"/>
  <c r="R31" i="11" s="1"/>
  <c r="Q58" i="11"/>
  <c r="I58" i="11"/>
  <c r="G58" i="11"/>
  <c r="F58" i="11"/>
  <c r="E58" i="11"/>
  <c r="B53" i="11"/>
  <c r="B52" i="11"/>
  <c r="Q31" i="11"/>
  <c r="I31" i="11"/>
  <c r="H31" i="11"/>
  <c r="G31" i="11"/>
  <c r="F31" i="11"/>
  <c r="E31" i="11"/>
  <c r="AE72" i="11"/>
  <c r="AH71" i="13"/>
  <c r="AH70" i="13"/>
  <c r="AE71" i="13"/>
  <c r="AE70" i="13"/>
  <c r="W55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C322" i="13"/>
  <c r="C321" i="13"/>
  <c r="C320" i="13"/>
  <c r="D84" i="13"/>
  <c r="D85" i="13"/>
  <c r="D86" i="13"/>
  <c r="F84" i="13"/>
  <c r="F85" i="13"/>
  <c r="F86" i="13"/>
  <c r="E23" i="13"/>
  <c r="Q23" i="13" s="1"/>
  <c r="E20" i="13"/>
  <c r="Q20" i="13" s="1"/>
  <c r="E21" i="13"/>
  <c r="Q21" i="13" s="1"/>
  <c r="E22" i="13"/>
  <c r="Q22" i="13" s="1"/>
  <c r="C317" i="13"/>
  <c r="F23" i="13"/>
  <c r="R23" i="13" s="1"/>
  <c r="F20" i="13"/>
  <c r="R20" i="13" s="1"/>
  <c r="F21" i="13"/>
  <c r="R21" i="13" s="1"/>
  <c r="F22" i="13"/>
  <c r="R22" i="13" s="1"/>
  <c r="F94" i="13"/>
  <c r="F95" i="13" s="1"/>
  <c r="G23" i="13"/>
  <c r="S23" i="13" s="1"/>
  <c r="H23" i="13"/>
  <c r="T23" i="13" s="1"/>
  <c r="H20" i="13"/>
  <c r="T20" i="13" s="1"/>
  <c r="H21" i="13"/>
  <c r="T21" i="13" s="1"/>
  <c r="H22" i="13"/>
  <c r="T22" i="13" s="1"/>
  <c r="H94" i="13"/>
  <c r="H95" i="13" s="1"/>
  <c r="I23" i="13"/>
  <c r="U23" i="13" s="1"/>
  <c r="I20" i="13"/>
  <c r="U20" i="13" s="1"/>
  <c r="I21" i="13"/>
  <c r="U21" i="13" s="1"/>
  <c r="I22" i="13"/>
  <c r="U22" i="13" s="1"/>
  <c r="I94" i="13"/>
  <c r="I95" i="13" s="1"/>
  <c r="H85" i="13"/>
  <c r="H86" i="13" s="1"/>
  <c r="H87" i="13" s="1"/>
  <c r="I85" i="13"/>
  <c r="I86" i="13" s="1"/>
  <c r="I87" i="13" s="1"/>
  <c r="D83" i="13"/>
  <c r="D79" i="13"/>
  <c r="D80" i="13"/>
  <c r="D81" i="13"/>
  <c r="D82" i="13"/>
  <c r="F83" i="13"/>
  <c r="F79" i="13"/>
  <c r="F80" i="13"/>
  <c r="F81" i="13"/>
  <c r="F82" i="13"/>
  <c r="D90" i="13"/>
  <c r="D88" i="13"/>
  <c r="D89" i="13"/>
  <c r="F90" i="13"/>
  <c r="F88" i="13"/>
  <c r="F89" i="13"/>
  <c r="E19" i="13"/>
  <c r="Q19" i="13" s="1"/>
  <c r="E15" i="13"/>
  <c r="Q15" i="13" s="1"/>
  <c r="E16" i="13"/>
  <c r="Q16" i="13" s="1"/>
  <c r="E17" i="13"/>
  <c r="Q17" i="13" s="1"/>
  <c r="E18" i="13"/>
  <c r="Q18" i="13" s="1"/>
  <c r="E26" i="13"/>
  <c r="Q26" i="13" s="1"/>
  <c r="E24" i="13"/>
  <c r="Q24" i="13" s="1"/>
  <c r="E25" i="13"/>
  <c r="Q25" i="13" s="1"/>
  <c r="E180" i="13"/>
  <c r="C313" i="13" s="1"/>
  <c r="F19" i="13"/>
  <c r="R19" i="13" s="1"/>
  <c r="F15" i="13"/>
  <c r="R15" i="13" s="1"/>
  <c r="F16" i="13"/>
  <c r="R16" i="13" s="1"/>
  <c r="F17" i="13"/>
  <c r="R17" i="13" s="1"/>
  <c r="F18" i="13"/>
  <c r="R18" i="13" s="1"/>
  <c r="F26" i="13"/>
  <c r="R26" i="13" s="1"/>
  <c r="F24" i="13"/>
  <c r="R24" i="13" s="1"/>
  <c r="F25" i="13"/>
  <c r="R25" i="13" s="1"/>
  <c r="G19" i="13"/>
  <c r="S19" i="13" s="1"/>
  <c r="H19" i="13"/>
  <c r="H15" i="13"/>
  <c r="H16" i="13"/>
  <c r="H17" i="13"/>
  <c r="H18" i="13"/>
  <c r="H26" i="13"/>
  <c r="T26" i="13" s="1"/>
  <c r="H24" i="13"/>
  <c r="T24" i="13" s="1"/>
  <c r="H25" i="13"/>
  <c r="T25" i="13" s="1"/>
  <c r="T19" i="13"/>
  <c r="T15" i="13"/>
  <c r="T16" i="13"/>
  <c r="T17" i="13"/>
  <c r="T18" i="13"/>
  <c r="I19" i="13"/>
  <c r="U19" i="13" s="1"/>
  <c r="I15" i="13"/>
  <c r="U15" i="13" s="1"/>
  <c r="I16" i="13"/>
  <c r="U16" i="13" s="1"/>
  <c r="I17" i="13"/>
  <c r="U17" i="13" s="1"/>
  <c r="I18" i="13"/>
  <c r="U18" i="13" s="1"/>
  <c r="I26" i="13"/>
  <c r="U26" i="13" s="1"/>
  <c r="I24" i="13"/>
  <c r="U24" i="13" s="1"/>
  <c r="I25" i="13"/>
  <c r="U25" i="13" s="1"/>
  <c r="H80" i="13"/>
  <c r="H81" i="13"/>
  <c r="H82" i="13"/>
  <c r="H83" i="13"/>
  <c r="I80" i="13"/>
  <c r="I81" i="13"/>
  <c r="I82" i="13"/>
  <c r="I83" i="13"/>
  <c r="B102" i="13"/>
  <c r="B165" i="13"/>
  <c r="B57" i="13"/>
  <c r="H30" i="13"/>
  <c r="E30" i="13"/>
  <c r="E10" i="13"/>
  <c r="I90" i="13"/>
  <c r="H90" i="13"/>
  <c r="I89" i="13"/>
  <c r="H89" i="13"/>
  <c r="I88" i="13"/>
  <c r="H88" i="13"/>
  <c r="B3" i="13"/>
  <c r="H92" i="13"/>
  <c r="W68" i="13"/>
  <c r="W65" i="13"/>
  <c r="W66" i="13"/>
  <c r="W67" i="13"/>
  <c r="W64" i="13"/>
  <c r="W60" i="13"/>
  <c r="W61" i="13"/>
  <c r="W62" i="13"/>
  <c r="W63" i="13"/>
  <c r="W71" i="13"/>
  <c r="W69" i="13"/>
  <c r="X84" i="13"/>
  <c r="Y84" i="13"/>
  <c r="Z84" i="13"/>
  <c r="W70" i="13"/>
  <c r="E300" i="13"/>
  <c r="F308" i="13" s="1"/>
  <c r="E299" i="13"/>
  <c r="F307" i="13" s="1"/>
  <c r="B286" i="13"/>
  <c r="B285" i="13"/>
  <c r="G15" i="13"/>
  <c r="S15" i="13" s="1"/>
  <c r="G16" i="13"/>
  <c r="S16" i="13" s="1"/>
  <c r="G17" i="13"/>
  <c r="S17" i="13" s="1"/>
  <c r="G18" i="13"/>
  <c r="S18" i="13" s="1"/>
  <c r="G94" i="13"/>
  <c r="G95" i="13" s="1"/>
  <c r="G26" i="13"/>
  <c r="S26" i="13" s="1"/>
  <c r="G24" i="13"/>
  <c r="S24" i="13" s="1"/>
  <c r="G25" i="13"/>
  <c r="S25" i="13" s="1"/>
  <c r="G20" i="13"/>
  <c r="S20" i="13" s="1"/>
  <c r="G21" i="13"/>
  <c r="S21" i="13" s="1"/>
  <c r="G22" i="13"/>
  <c r="S22" i="13" s="1"/>
  <c r="I293" i="13"/>
  <c r="H293" i="13"/>
  <c r="G293" i="13"/>
  <c r="F293" i="13"/>
  <c r="E293" i="13"/>
  <c r="Z86" i="13"/>
  <c r="Z85" i="13"/>
  <c r="Z83" i="13"/>
  <c r="Z82" i="13"/>
  <c r="Z81" i="13"/>
  <c r="Z80" i="13"/>
  <c r="Z79" i="13"/>
  <c r="Z78" i="13"/>
  <c r="Z77" i="13"/>
  <c r="Z76" i="13"/>
  <c r="Z75" i="13"/>
  <c r="Y86" i="13"/>
  <c r="Y85" i="13"/>
  <c r="Y83" i="13"/>
  <c r="Y82" i="13"/>
  <c r="Y81" i="13"/>
  <c r="Y80" i="13"/>
  <c r="Y79" i="13"/>
  <c r="Y78" i="13"/>
  <c r="Y77" i="13"/>
  <c r="Y76" i="13"/>
  <c r="Y75" i="13"/>
  <c r="X75" i="13"/>
  <c r="X86" i="13"/>
  <c r="X85" i="13"/>
  <c r="Y94" i="13"/>
  <c r="Z94" i="13"/>
  <c r="X95" i="13"/>
  <c r="Y95" i="13" s="1"/>
  <c r="Z95" i="13"/>
  <c r="X83" i="13"/>
  <c r="X82" i="13"/>
  <c r="X81" i="13"/>
  <c r="X80" i="13"/>
  <c r="X79" i="13"/>
  <c r="X78" i="13"/>
  <c r="X77" i="13"/>
  <c r="X76" i="13"/>
  <c r="AD71" i="13"/>
  <c r="AD70" i="13"/>
  <c r="AD69" i="13"/>
  <c r="AD68" i="13"/>
  <c r="AD67" i="13"/>
  <c r="AD66" i="13"/>
  <c r="AD65" i="13"/>
  <c r="AD64" i="13"/>
  <c r="AD63" i="13"/>
  <c r="AD62" i="13"/>
  <c r="AD61" i="13"/>
  <c r="AD60" i="13"/>
  <c r="AE72" i="13"/>
  <c r="AB71" i="13"/>
  <c r="AB70" i="13"/>
  <c r="AB69" i="13"/>
  <c r="AB68" i="13"/>
  <c r="AB67" i="13"/>
  <c r="AB66" i="13"/>
  <c r="AB65" i="13"/>
  <c r="AB64" i="13"/>
  <c r="AB63" i="13"/>
  <c r="AB62" i="13"/>
  <c r="AB61" i="13"/>
  <c r="AB60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I198" i="13"/>
  <c r="H198" i="13"/>
  <c r="G198" i="13"/>
  <c r="F198" i="13"/>
  <c r="E198" i="13"/>
  <c r="I263" i="13"/>
  <c r="H263" i="13"/>
  <c r="G263" i="13"/>
  <c r="F263" i="13"/>
  <c r="E263" i="13"/>
  <c r="H217" i="13"/>
  <c r="H128" i="13"/>
  <c r="H110" i="13"/>
  <c r="H150" i="13"/>
  <c r="Q150" i="13" s="1"/>
  <c r="H166" i="13"/>
  <c r="E150" i="13"/>
  <c r="Z162" i="13" s="1"/>
  <c r="Q13" i="13"/>
  <c r="Q79" i="13" s="1"/>
  <c r="AX187" i="13"/>
  <c r="C185" i="13"/>
  <c r="B239" i="13"/>
  <c r="B238" i="13"/>
  <c r="C316" i="13"/>
  <c r="C315" i="13"/>
  <c r="I217" i="13"/>
  <c r="G217" i="13"/>
  <c r="F217" i="13"/>
  <c r="E217" i="13"/>
  <c r="B209" i="13"/>
  <c r="B208" i="13"/>
  <c r="H175" i="13"/>
  <c r="I166" i="13"/>
  <c r="G166" i="13"/>
  <c r="F166" i="13"/>
  <c r="E166" i="13"/>
  <c r="I150" i="13"/>
  <c r="G150" i="13"/>
  <c r="F150" i="13"/>
  <c r="B144" i="13"/>
  <c r="B143" i="13"/>
  <c r="I128" i="13"/>
  <c r="G128" i="13"/>
  <c r="F128" i="13"/>
  <c r="E128" i="13"/>
  <c r="I110" i="13"/>
  <c r="G110" i="13"/>
  <c r="F110" i="13"/>
  <c r="E110" i="13"/>
  <c r="B104" i="13"/>
  <c r="B103" i="13"/>
  <c r="I92" i="13"/>
  <c r="G92" i="13"/>
  <c r="F92" i="13"/>
  <c r="E92" i="13"/>
  <c r="U13" i="13"/>
  <c r="U58" i="13" s="1"/>
  <c r="T13" i="13"/>
  <c r="T58" i="13" s="1"/>
  <c r="S13" i="13"/>
  <c r="S58" i="13" s="1"/>
  <c r="R13" i="13"/>
  <c r="R58" i="13" s="1"/>
  <c r="I58" i="13"/>
  <c r="G58" i="13"/>
  <c r="F58" i="13"/>
  <c r="E58" i="13"/>
  <c r="B53" i="13"/>
  <c r="B52" i="13"/>
  <c r="I31" i="13"/>
  <c r="H31" i="13"/>
  <c r="G31" i="13"/>
  <c r="F31" i="13"/>
  <c r="E31" i="13"/>
  <c r="Y94" i="10"/>
  <c r="Z94" i="10"/>
  <c r="W75" i="10"/>
  <c r="V75" i="10" s="1"/>
  <c r="W76" i="10"/>
  <c r="V76" i="10" s="1"/>
  <c r="W77" i="10"/>
  <c r="V77" i="10" s="1"/>
  <c r="W78" i="10"/>
  <c r="V78" i="10" s="1"/>
  <c r="W79" i="10"/>
  <c r="V79" i="10" s="1"/>
  <c r="W80" i="10"/>
  <c r="V80" i="10" s="1"/>
  <c r="W81" i="10"/>
  <c r="V81" i="10" s="1"/>
  <c r="W82" i="10"/>
  <c r="V82" i="10" s="1"/>
  <c r="W83" i="10"/>
  <c r="V83" i="10" s="1"/>
  <c r="W84" i="10"/>
  <c r="V84" i="10" s="1"/>
  <c r="W85" i="10"/>
  <c r="V85" i="10" s="1"/>
  <c r="W86" i="10"/>
  <c r="V86" i="10" s="1"/>
  <c r="Y95" i="10"/>
  <c r="Z95" i="10"/>
  <c r="Z87" i="10"/>
  <c r="Y87" i="10"/>
  <c r="H92" i="10"/>
  <c r="Q23" i="10"/>
  <c r="D87" i="10"/>
  <c r="E87" i="10" s="1"/>
  <c r="Q20" i="10"/>
  <c r="Q21" i="10"/>
  <c r="Q22" i="10"/>
  <c r="E84" i="10"/>
  <c r="D85" i="10"/>
  <c r="E85" i="10" s="1"/>
  <c r="D86" i="10"/>
  <c r="E86" i="10" s="1"/>
  <c r="I85" i="10"/>
  <c r="I86" i="10" s="1"/>
  <c r="I87" i="10" s="1"/>
  <c r="Q167" i="10"/>
  <c r="W167" i="10" s="1"/>
  <c r="Q19" i="10"/>
  <c r="D83" i="10"/>
  <c r="E83" i="10" s="1"/>
  <c r="Q18" i="10"/>
  <c r="E79" i="10"/>
  <c r="D80" i="10"/>
  <c r="E80" i="10" s="1"/>
  <c r="D81" i="10"/>
  <c r="E81" i="10" s="1"/>
  <c r="D82" i="10"/>
  <c r="E82" i="10" s="1"/>
  <c r="I80" i="10"/>
  <c r="I81" i="10"/>
  <c r="I82" i="10"/>
  <c r="I83" i="10"/>
  <c r="Q26" i="10"/>
  <c r="D90" i="10"/>
  <c r="E90" i="10" s="1"/>
  <c r="I90" i="10"/>
  <c r="Q24" i="10"/>
  <c r="Q25" i="10"/>
  <c r="D88" i="10"/>
  <c r="E88" i="10" s="1"/>
  <c r="D89" i="10"/>
  <c r="E89" i="10" s="1"/>
  <c r="I88" i="10"/>
  <c r="I89" i="10"/>
  <c r="Q172" i="10"/>
  <c r="W172" i="10" s="1"/>
  <c r="R23" i="10"/>
  <c r="R20" i="10"/>
  <c r="R21" i="10"/>
  <c r="R22" i="10"/>
  <c r="R19" i="10"/>
  <c r="R18" i="10"/>
  <c r="R26" i="10"/>
  <c r="R24" i="10"/>
  <c r="R25" i="10"/>
  <c r="S23" i="10"/>
  <c r="S20" i="10"/>
  <c r="S21" i="10"/>
  <c r="S22" i="10"/>
  <c r="S19" i="10"/>
  <c r="S15" i="10"/>
  <c r="S16" i="10"/>
  <c r="S17" i="10"/>
  <c r="S18" i="10"/>
  <c r="S26" i="10"/>
  <c r="S24" i="10"/>
  <c r="S25" i="10"/>
  <c r="T23" i="10"/>
  <c r="T20" i="10"/>
  <c r="T21" i="10"/>
  <c r="T22" i="10"/>
  <c r="T19" i="10"/>
  <c r="T15" i="10"/>
  <c r="T16" i="10"/>
  <c r="T17" i="10"/>
  <c r="T18" i="10"/>
  <c r="T26" i="10"/>
  <c r="T24" i="10"/>
  <c r="T25" i="10"/>
  <c r="U23" i="10"/>
  <c r="U20" i="10"/>
  <c r="U21" i="10"/>
  <c r="U22" i="10"/>
  <c r="U19" i="10"/>
  <c r="U15" i="10"/>
  <c r="U16" i="10"/>
  <c r="U17" i="10"/>
  <c r="U18" i="10"/>
  <c r="U26" i="10"/>
  <c r="U24" i="10"/>
  <c r="U25" i="10"/>
  <c r="B286" i="10"/>
  <c r="B285" i="10"/>
  <c r="I199" i="10"/>
  <c r="H199" i="10"/>
  <c r="G199" i="10"/>
  <c r="F199" i="10"/>
  <c r="E199" i="10"/>
  <c r="I264" i="10"/>
  <c r="H264" i="10"/>
  <c r="G264" i="10"/>
  <c r="F264" i="10"/>
  <c r="E264" i="10"/>
  <c r="H218" i="10"/>
  <c r="Q63" i="10"/>
  <c r="Q67" i="10"/>
  <c r="AD77" i="10"/>
  <c r="H128" i="10"/>
  <c r="H110" i="10"/>
  <c r="H150" i="10"/>
  <c r="AC150" i="10" s="1"/>
  <c r="H166" i="10"/>
  <c r="Z72" i="10"/>
  <c r="E150" i="10"/>
  <c r="Z162" i="10" s="1"/>
  <c r="Q13" i="10"/>
  <c r="Q79" i="10" s="1"/>
  <c r="C310" i="10"/>
  <c r="C185" i="10"/>
  <c r="B240" i="10"/>
  <c r="B239" i="10"/>
  <c r="C309" i="10"/>
  <c r="C314" i="10"/>
  <c r="C313" i="10"/>
  <c r="C312" i="10"/>
  <c r="I218" i="10"/>
  <c r="G218" i="10"/>
  <c r="F218" i="10"/>
  <c r="E218" i="10"/>
  <c r="B210" i="10"/>
  <c r="B209" i="10"/>
  <c r="H175" i="10"/>
  <c r="I166" i="10"/>
  <c r="G166" i="10"/>
  <c r="F166" i="10"/>
  <c r="E166" i="10"/>
  <c r="I150" i="10"/>
  <c r="G150" i="10"/>
  <c r="F150" i="10"/>
  <c r="B144" i="10"/>
  <c r="B143" i="10"/>
  <c r="I128" i="10"/>
  <c r="G128" i="10"/>
  <c r="F128" i="10"/>
  <c r="E128" i="10"/>
  <c r="I110" i="10"/>
  <c r="G110" i="10"/>
  <c r="F110" i="10"/>
  <c r="E110" i="10"/>
  <c r="B104" i="10"/>
  <c r="B103" i="10"/>
  <c r="I92" i="10"/>
  <c r="G92" i="10"/>
  <c r="F92" i="10"/>
  <c r="E92" i="10"/>
  <c r="U13" i="10"/>
  <c r="U58" i="10" s="1"/>
  <c r="T13" i="10"/>
  <c r="T79" i="10" s="1"/>
  <c r="S13" i="10"/>
  <c r="S31" i="10" s="1"/>
  <c r="R13" i="10"/>
  <c r="R58" i="10" s="1"/>
  <c r="AB72" i="10"/>
  <c r="I58" i="10"/>
  <c r="G58" i="10"/>
  <c r="F58" i="10"/>
  <c r="E58" i="10"/>
  <c r="B53" i="10"/>
  <c r="B52" i="10"/>
  <c r="I31" i="10"/>
  <c r="H31" i="10"/>
  <c r="G31" i="10"/>
  <c r="F31" i="10"/>
  <c r="E31" i="10"/>
  <c r="B3" i="14"/>
  <c r="F129" i="14"/>
  <c r="G129" i="14"/>
  <c r="H129" i="14"/>
  <c r="I129" i="14"/>
  <c r="E129" i="14"/>
  <c r="B155" i="14"/>
  <c r="B154" i="14"/>
  <c r="B53" i="14"/>
  <c r="B52" i="14"/>
  <c r="B51" i="14"/>
  <c r="B50" i="14"/>
  <c r="B49" i="14"/>
  <c r="B48" i="14"/>
  <c r="B47" i="14"/>
  <c r="T150" i="13"/>
  <c r="AC162" i="13"/>
  <c r="W162" i="13"/>
  <c r="Q162" i="13"/>
  <c r="AC150" i="11"/>
  <c r="W150" i="11"/>
  <c r="Q150" i="11"/>
  <c r="T150" i="11"/>
  <c r="R58" i="11"/>
  <c r="R31" i="13"/>
  <c r="U31" i="10"/>
  <c r="AC162" i="11"/>
  <c r="Q162" i="11"/>
  <c r="Z162" i="11"/>
  <c r="T162" i="11"/>
  <c r="S58" i="11"/>
  <c r="S31" i="11"/>
  <c r="T162" i="13" l="1"/>
  <c r="AA95" i="11"/>
  <c r="AA94" i="11"/>
  <c r="AH71" i="11"/>
  <c r="Z150" i="13"/>
  <c r="S31" i="13"/>
  <c r="U31" i="13"/>
  <c r="U31" i="11"/>
  <c r="T79" i="11"/>
  <c r="W150" i="13"/>
  <c r="AC150" i="13"/>
  <c r="Y67" i="13"/>
  <c r="T162" i="10"/>
  <c r="AG63" i="11"/>
  <c r="AA94" i="13"/>
  <c r="H97" i="10"/>
  <c r="T31" i="13"/>
  <c r="Q69" i="13"/>
  <c r="T79" i="13"/>
  <c r="AA95" i="13"/>
  <c r="T58" i="11"/>
  <c r="T69" i="11"/>
  <c r="T69" i="13"/>
  <c r="T150" i="10"/>
  <c r="AC162" i="10"/>
  <c r="H36" i="13"/>
  <c r="T36" i="13" s="1"/>
  <c r="H38" i="11"/>
  <c r="T38" i="11" s="1"/>
  <c r="AA65" i="13"/>
  <c r="F60" i="11"/>
  <c r="R60" i="11" s="1"/>
  <c r="AG61" i="13"/>
  <c r="H65" i="10"/>
  <c r="AG62" i="13"/>
  <c r="AA70" i="11"/>
  <c r="AA62" i="13"/>
  <c r="Q31" i="13"/>
  <c r="Q58" i="13"/>
  <c r="E97" i="13"/>
  <c r="Q58" i="10"/>
  <c r="AA95" i="10"/>
  <c r="F70" i="13"/>
  <c r="F66" i="13"/>
  <c r="S95" i="10"/>
  <c r="AA94" i="10"/>
  <c r="AB82" i="10" s="1"/>
  <c r="AC82" i="10" s="1"/>
  <c r="F65" i="13"/>
  <c r="F61" i="13"/>
  <c r="Q31" i="10"/>
  <c r="G97" i="10"/>
  <c r="I70" i="11"/>
  <c r="F69" i="13"/>
  <c r="W150" i="10"/>
  <c r="G60" i="10"/>
  <c r="G60" i="11" s="1"/>
  <c r="AC60" i="13"/>
  <c r="AC60" i="11"/>
  <c r="I97" i="10"/>
  <c r="Q69" i="10"/>
  <c r="R31" i="10"/>
  <c r="Z150" i="10"/>
  <c r="T31" i="10"/>
  <c r="Q150" i="10"/>
  <c r="F68" i="13"/>
  <c r="I69" i="11"/>
  <c r="G65" i="10"/>
  <c r="AC65" i="11"/>
  <c r="AC65" i="13"/>
  <c r="G61" i="10"/>
  <c r="G61" i="11" s="1"/>
  <c r="AC61" i="11"/>
  <c r="AC61" i="13"/>
  <c r="G71" i="10"/>
  <c r="G71" i="11" s="1"/>
  <c r="AC71" i="11"/>
  <c r="AC71" i="13"/>
  <c r="G68" i="10"/>
  <c r="G68" i="13" s="1"/>
  <c r="AC68" i="11"/>
  <c r="AC68" i="13"/>
  <c r="G64" i="10"/>
  <c r="G64" i="11" s="1"/>
  <c r="AC64" i="11"/>
  <c r="AC64" i="13"/>
  <c r="Y67" i="11"/>
  <c r="Y64" i="11"/>
  <c r="I63" i="11"/>
  <c r="G70" i="10"/>
  <c r="G70" i="13" s="1"/>
  <c r="AC70" i="11"/>
  <c r="AC70" i="13"/>
  <c r="G67" i="10"/>
  <c r="G67" i="11" s="1"/>
  <c r="AC67" i="11"/>
  <c r="AC67" i="13"/>
  <c r="G63" i="10"/>
  <c r="G63" i="13" s="1"/>
  <c r="AC63" i="11"/>
  <c r="AC63" i="13"/>
  <c r="Y64" i="13"/>
  <c r="W79" i="13"/>
  <c r="V79" i="13" s="1"/>
  <c r="G69" i="10"/>
  <c r="G69" i="11" s="1"/>
  <c r="AC69" i="11"/>
  <c r="AC69" i="13"/>
  <c r="G66" i="10"/>
  <c r="G66" i="13" s="1"/>
  <c r="AC66" i="11"/>
  <c r="AC66" i="13"/>
  <c r="G62" i="10"/>
  <c r="G62" i="11" s="1"/>
  <c r="AC62" i="11"/>
  <c r="AC62" i="13"/>
  <c r="Y65" i="11"/>
  <c r="Y62" i="13"/>
  <c r="Y71" i="13"/>
  <c r="Y60" i="11"/>
  <c r="W86" i="13"/>
  <c r="V86" i="13" s="1"/>
  <c r="Y60" i="13"/>
  <c r="W78" i="11"/>
  <c r="V78" i="11" s="1"/>
  <c r="AB78" i="11" s="1"/>
  <c r="AC78" i="11" s="1"/>
  <c r="W81" i="11"/>
  <c r="V81" i="11" s="1"/>
  <c r="W82" i="11"/>
  <c r="V82" i="11" s="1"/>
  <c r="W86" i="11"/>
  <c r="V86" i="11" s="1"/>
  <c r="AB86" i="11" s="1"/>
  <c r="AC86" i="11" s="1"/>
  <c r="Y62" i="11"/>
  <c r="Y70" i="13"/>
  <c r="W77" i="13"/>
  <c r="V77" i="13" s="1"/>
  <c r="W75" i="13"/>
  <c r="V75" i="13" s="1"/>
  <c r="Y63" i="13"/>
  <c r="Y68" i="13"/>
  <c r="W79" i="11"/>
  <c r="V79" i="11" s="1"/>
  <c r="Q167" i="13"/>
  <c r="W167" i="13" s="1"/>
  <c r="Y71" i="11"/>
  <c r="AD77" i="11"/>
  <c r="W85" i="11"/>
  <c r="V85" i="11" s="1"/>
  <c r="Y66" i="11"/>
  <c r="T69" i="10"/>
  <c r="W78" i="13"/>
  <c r="V78" i="13" s="1"/>
  <c r="W84" i="11"/>
  <c r="V84" i="11" s="1"/>
  <c r="Y69" i="11"/>
  <c r="I64" i="13"/>
  <c r="S58" i="10"/>
  <c r="E97" i="10"/>
  <c r="Q63" i="13"/>
  <c r="Q162" i="10"/>
  <c r="T58" i="10"/>
  <c r="Y65" i="13"/>
  <c r="AB72" i="13"/>
  <c r="AD77" i="13"/>
  <c r="AD72" i="11"/>
  <c r="Y68" i="11"/>
  <c r="Y72" i="10"/>
  <c r="I68" i="13"/>
  <c r="I71" i="13"/>
  <c r="I67" i="11"/>
  <c r="I60" i="13"/>
  <c r="W82" i="13"/>
  <c r="V82" i="13" s="1"/>
  <c r="Y61" i="11"/>
  <c r="F62" i="13"/>
  <c r="W162" i="10"/>
  <c r="Z72" i="13"/>
  <c r="T30" i="13"/>
  <c r="I117" i="10"/>
  <c r="I135" i="10" s="1"/>
  <c r="Q30" i="11"/>
  <c r="R64" i="10"/>
  <c r="U60" i="10"/>
  <c r="W83" i="13"/>
  <c r="V83" i="13" s="1"/>
  <c r="W84" i="13"/>
  <c r="V84" i="13" s="1"/>
  <c r="Y70" i="11"/>
  <c r="AB72" i="11"/>
  <c r="W80" i="11"/>
  <c r="V80" i="11" s="1"/>
  <c r="AB80" i="11" s="1"/>
  <c r="AC80" i="11" s="1"/>
  <c r="Q172" i="13"/>
  <c r="W172" i="13" s="1"/>
  <c r="W76" i="13"/>
  <c r="V76" i="13" s="1"/>
  <c r="W80" i="13"/>
  <c r="V80" i="13" s="1"/>
  <c r="W85" i="13"/>
  <c r="V85" i="13" s="1"/>
  <c r="W81" i="13"/>
  <c r="V81" i="13" s="1"/>
  <c r="X72" i="11"/>
  <c r="Z72" i="11"/>
  <c r="W76" i="11"/>
  <c r="V76" i="11" s="1"/>
  <c r="AB76" i="11" s="1"/>
  <c r="AC76" i="11" s="1"/>
  <c r="W77" i="11"/>
  <c r="V77" i="11" s="1"/>
  <c r="AB77" i="11" s="1"/>
  <c r="AC77" i="11" s="1"/>
  <c r="W83" i="11"/>
  <c r="V83" i="11" s="1"/>
  <c r="AB83" i="11" s="1"/>
  <c r="AC83" i="11" s="1"/>
  <c r="Y63" i="11"/>
  <c r="E246" i="10"/>
  <c r="Q63" i="11"/>
  <c r="W72" i="11"/>
  <c r="AD72" i="13"/>
  <c r="Q172" i="11"/>
  <c r="W172" i="11" s="1"/>
  <c r="E245" i="13"/>
  <c r="X72" i="13"/>
  <c r="Y69" i="13"/>
  <c r="Q67" i="13"/>
  <c r="E245" i="11"/>
  <c r="E114" i="14"/>
  <c r="F113" i="10"/>
  <c r="F131" i="10" s="1"/>
  <c r="I113" i="10"/>
  <c r="I131" i="10" s="1"/>
  <c r="AC72" i="10"/>
  <c r="I112" i="10"/>
  <c r="I130" i="10" s="1"/>
  <c r="W75" i="11"/>
  <c r="V75" i="11" s="1"/>
  <c r="AB75" i="11" s="1"/>
  <c r="AC75" i="11" s="1"/>
  <c r="W87" i="10"/>
  <c r="V87" i="10"/>
  <c r="I66" i="13"/>
  <c r="I118" i="10"/>
  <c r="I136" i="10" s="1"/>
  <c r="I66" i="11"/>
  <c r="I62" i="11"/>
  <c r="I108" i="14"/>
  <c r="U64" i="10"/>
  <c r="I65" i="13"/>
  <c r="I65" i="11"/>
  <c r="I61" i="11"/>
  <c r="I72" i="10"/>
  <c r="I114" i="10"/>
  <c r="I132" i="10" s="1"/>
  <c r="I116" i="10"/>
  <c r="I134" i="10" s="1"/>
  <c r="I156" i="10" s="1"/>
  <c r="T95" i="10"/>
  <c r="F112" i="10"/>
  <c r="F130" i="10" s="1"/>
  <c r="F152" i="10" s="1"/>
  <c r="F72" i="10"/>
  <c r="F114" i="10"/>
  <c r="F132" i="10" s="1"/>
  <c r="F71" i="13"/>
  <c r="F67" i="11"/>
  <c r="F112" i="11" s="1"/>
  <c r="F130" i="11" s="1"/>
  <c r="F152" i="11" s="1"/>
  <c r="F118" i="10"/>
  <c r="F136" i="10" s="1"/>
  <c r="F116" i="10"/>
  <c r="R60" i="10"/>
  <c r="F64" i="13"/>
  <c r="F63" i="13"/>
  <c r="F117" i="10"/>
  <c r="F135" i="10" s="1"/>
  <c r="Q167" i="11"/>
  <c r="W167" i="11" s="1"/>
  <c r="Y66" i="13"/>
  <c r="Y61" i="13"/>
  <c r="Q67" i="11"/>
  <c r="W72" i="13"/>
  <c r="H68" i="10"/>
  <c r="AG67" i="11"/>
  <c r="AB84" i="11" l="1"/>
  <c r="AC84" i="11" s="1"/>
  <c r="AB85" i="11"/>
  <c r="AC85" i="11" s="1"/>
  <c r="AB79" i="11"/>
  <c r="AC79" i="11" s="1"/>
  <c r="AB82" i="11"/>
  <c r="AC82" i="11" s="1"/>
  <c r="AB81" i="11"/>
  <c r="AC81" i="11" s="1"/>
  <c r="AB80" i="13"/>
  <c r="AC80" i="13" s="1"/>
  <c r="AB77" i="13"/>
  <c r="AC77" i="13" s="1"/>
  <c r="AB86" i="13"/>
  <c r="AC86" i="13" s="1"/>
  <c r="AH72" i="13"/>
  <c r="AH72" i="11"/>
  <c r="AB76" i="13"/>
  <c r="AC76" i="13" s="1"/>
  <c r="AB82" i="13"/>
  <c r="AC82" i="13" s="1"/>
  <c r="AB78" i="13"/>
  <c r="AC78" i="13" s="1"/>
  <c r="AB81" i="13"/>
  <c r="AC81" i="13" s="1"/>
  <c r="AB84" i="13"/>
  <c r="AC84" i="13" s="1"/>
  <c r="AB79" i="13"/>
  <c r="AC79" i="13" s="1"/>
  <c r="AB85" i="13"/>
  <c r="AC85" i="13" s="1"/>
  <c r="AB83" i="13"/>
  <c r="AC83" i="13" s="1"/>
  <c r="AB75" i="13"/>
  <c r="AC75" i="13" s="1"/>
  <c r="AG63" i="13"/>
  <c r="H63" i="10"/>
  <c r="H63" i="13" s="1"/>
  <c r="I168" i="11"/>
  <c r="G71" i="13"/>
  <c r="AF86" i="10"/>
  <c r="F97" i="10"/>
  <c r="AB86" i="10"/>
  <c r="AC86" i="10" s="1"/>
  <c r="H38" i="13"/>
  <c r="T38" i="13" s="1"/>
  <c r="T38" i="10"/>
  <c r="AG62" i="11"/>
  <c r="T42" i="10"/>
  <c r="H41" i="13"/>
  <c r="T41" i="13" s="1"/>
  <c r="H44" i="11"/>
  <c r="T44" i="11" s="1"/>
  <c r="H43" i="11"/>
  <c r="T43" i="11" s="1"/>
  <c r="H33" i="11"/>
  <c r="T35" i="10"/>
  <c r="H65" i="11"/>
  <c r="H40" i="13"/>
  <c r="T40" i="13" s="1"/>
  <c r="H37" i="13"/>
  <c r="T37" i="13" s="1"/>
  <c r="T36" i="10"/>
  <c r="H34" i="13"/>
  <c r="T34" i="13" s="1"/>
  <c r="H39" i="13"/>
  <c r="T39" i="13" s="1"/>
  <c r="H36" i="11"/>
  <c r="T36" i="11" s="1"/>
  <c r="AA65" i="11"/>
  <c r="E39" i="13"/>
  <c r="Q39" i="13" s="1"/>
  <c r="E35" i="13"/>
  <c r="Q35" i="13" s="1"/>
  <c r="E43" i="11"/>
  <c r="Q43" i="11" s="1"/>
  <c r="E34" i="13"/>
  <c r="Q34" i="13" s="1"/>
  <c r="E44" i="13"/>
  <c r="Q44" i="13" s="1"/>
  <c r="Q37" i="10"/>
  <c r="E36" i="11"/>
  <c r="Q36" i="11" s="1"/>
  <c r="AF81" i="10"/>
  <c r="AF78" i="10"/>
  <c r="E33" i="13"/>
  <c r="E41" i="11"/>
  <c r="Q41" i="11" s="1"/>
  <c r="E38" i="13"/>
  <c r="E40" i="13"/>
  <c r="Q40" i="13" s="1"/>
  <c r="E65" i="10"/>
  <c r="F118" i="11"/>
  <c r="F136" i="11" s="1"/>
  <c r="G67" i="13"/>
  <c r="G65" i="11"/>
  <c r="E252" i="10"/>
  <c r="Q44" i="10"/>
  <c r="I116" i="13"/>
  <c r="I134" i="13" s="1"/>
  <c r="I156" i="13" s="1"/>
  <c r="E44" i="11"/>
  <c r="Q44" i="11" s="1"/>
  <c r="AG65" i="11"/>
  <c r="AG61" i="11"/>
  <c r="H42" i="13"/>
  <c r="T42" i="13" s="1"/>
  <c r="H61" i="10"/>
  <c r="H61" i="13" s="1"/>
  <c r="I168" i="13"/>
  <c r="H65" i="13"/>
  <c r="F116" i="11"/>
  <c r="F134" i="11" s="1"/>
  <c r="F156" i="11" s="1"/>
  <c r="F117" i="11"/>
  <c r="F135" i="11" s="1"/>
  <c r="G60" i="13"/>
  <c r="H62" i="10"/>
  <c r="H62" i="11" s="1"/>
  <c r="AG65" i="13"/>
  <c r="E62" i="10"/>
  <c r="AA62" i="11"/>
  <c r="E70" i="10"/>
  <c r="AA70" i="13"/>
  <c r="F112" i="13"/>
  <c r="F130" i="13" s="1"/>
  <c r="F152" i="13" s="1"/>
  <c r="G63" i="11"/>
  <c r="G62" i="13"/>
  <c r="AB83" i="10"/>
  <c r="AC83" i="10" s="1"/>
  <c r="AB75" i="10"/>
  <c r="AC75" i="10" s="1"/>
  <c r="AB76" i="10"/>
  <c r="AC76" i="10" s="1"/>
  <c r="AB77" i="10"/>
  <c r="AC77" i="10" s="1"/>
  <c r="F113" i="13"/>
  <c r="F131" i="13" s="1"/>
  <c r="AB78" i="10"/>
  <c r="AC78" i="10" s="1"/>
  <c r="AB79" i="10"/>
  <c r="AC79" i="10" s="1"/>
  <c r="AB80" i="10"/>
  <c r="AC80" i="10" s="1"/>
  <c r="AB84" i="10"/>
  <c r="AC84" i="10" s="1"/>
  <c r="AB81" i="10"/>
  <c r="AC81" i="10" s="1"/>
  <c r="AB85" i="10"/>
  <c r="AC85" i="10" s="1"/>
  <c r="G108" i="14"/>
  <c r="G65" i="13"/>
  <c r="R64" i="13"/>
  <c r="F294" i="13"/>
  <c r="F114" i="13"/>
  <c r="F132" i="13" s="1"/>
  <c r="G112" i="10"/>
  <c r="G130" i="10" s="1"/>
  <c r="G152" i="10" s="1"/>
  <c r="G64" i="13"/>
  <c r="S64" i="10"/>
  <c r="G70" i="11"/>
  <c r="G114" i="10"/>
  <c r="G132" i="10" s="1"/>
  <c r="G66" i="11"/>
  <c r="G72" i="10"/>
  <c r="G118" i="10"/>
  <c r="G136" i="10" s="1"/>
  <c r="G116" i="10"/>
  <c r="G134" i="10" s="1"/>
  <c r="G156" i="10" s="1"/>
  <c r="G113" i="10"/>
  <c r="G131" i="10" s="1"/>
  <c r="G117" i="10"/>
  <c r="G135" i="10" s="1"/>
  <c r="G61" i="13"/>
  <c r="G69" i="13"/>
  <c r="S60" i="10"/>
  <c r="G68" i="11"/>
  <c r="F113" i="11"/>
  <c r="F131" i="11" s="1"/>
  <c r="I118" i="11"/>
  <c r="I136" i="11" s="1"/>
  <c r="I117" i="13"/>
  <c r="I135" i="13" s="1"/>
  <c r="I113" i="11"/>
  <c r="I131" i="11" s="1"/>
  <c r="Y72" i="11"/>
  <c r="U60" i="13"/>
  <c r="AG68" i="11"/>
  <c r="I112" i="11"/>
  <c r="I130" i="11" s="1"/>
  <c r="I118" i="13"/>
  <c r="I136" i="13" s="1"/>
  <c r="F118" i="13"/>
  <c r="F136" i="13" s="1"/>
  <c r="E251" i="13"/>
  <c r="I114" i="14"/>
  <c r="I117" i="11"/>
  <c r="I135" i="11" s="1"/>
  <c r="I116" i="11"/>
  <c r="I134" i="11" s="1"/>
  <c r="I156" i="11" s="1"/>
  <c r="I114" i="11"/>
  <c r="I132" i="11" s="1"/>
  <c r="E251" i="11"/>
  <c r="AG67" i="13"/>
  <c r="I72" i="11"/>
  <c r="U60" i="11"/>
  <c r="I246" i="10"/>
  <c r="I256" i="10" s="1"/>
  <c r="I245" i="13"/>
  <c r="I255" i="13" s="1"/>
  <c r="I245" i="11"/>
  <c r="I255" i="11" s="1"/>
  <c r="I118" i="14"/>
  <c r="U64" i="11"/>
  <c r="I294" i="11"/>
  <c r="I120" i="10"/>
  <c r="I294" i="13"/>
  <c r="I114" i="13"/>
  <c r="I132" i="13" s="1"/>
  <c r="I113" i="13"/>
  <c r="I131" i="13" s="1"/>
  <c r="I112" i="13"/>
  <c r="U64" i="13"/>
  <c r="I72" i="13"/>
  <c r="I152" i="10"/>
  <c r="I138" i="10"/>
  <c r="F294" i="11"/>
  <c r="F114" i="11"/>
  <c r="F132" i="11" s="1"/>
  <c r="F72" i="11"/>
  <c r="R66" i="10"/>
  <c r="R65" i="10"/>
  <c r="R64" i="11"/>
  <c r="F120" i="10"/>
  <c r="F134" i="10"/>
  <c r="F72" i="13"/>
  <c r="R60" i="13"/>
  <c r="F295" i="11"/>
  <c r="F116" i="13"/>
  <c r="F117" i="13"/>
  <c r="F135" i="13" s="1"/>
  <c r="Y72" i="13"/>
  <c r="H67" i="10"/>
  <c r="H67" i="11" s="1"/>
  <c r="AG68" i="13"/>
  <c r="AG69" i="13"/>
  <c r="AG69" i="11"/>
  <c r="H69" i="10"/>
  <c r="T41" i="10"/>
  <c r="H71" i="10"/>
  <c r="AG71" i="11"/>
  <c r="AG71" i="13"/>
  <c r="T43" i="10"/>
  <c r="H40" i="11"/>
  <c r="T40" i="11" s="1"/>
  <c r="H44" i="13"/>
  <c r="T44" i="13" s="1"/>
  <c r="H37" i="11"/>
  <c r="T37" i="11" s="1"/>
  <c r="AG66" i="13"/>
  <c r="H66" i="10"/>
  <c r="AG66" i="11"/>
  <c r="H68" i="13"/>
  <c r="H68" i="11"/>
  <c r="AG70" i="11"/>
  <c r="H70" i="10"/>
  <c r="AG70" i="13"/>
  <c r="AG60" i="11"/>
  <c r="H60" i="10"/>
  <c r="AG60" i="13"/>
  <c r="AG72" i="10"/>
  <c r="AG64" i="13"/>
  <c r="H64" i="10"/>
  <c r="AG64" i="11"/>
  <c r="T39" i="10"/>
  <c r="AA69" i="11"/>
  <c r="AA69" i="13"/>
  <c r="AF85" i="10"/>
  <c r="E69" i="10"/>
  <c r="E66" i="10"/>
  <c r="AF82" i="10"/>
  <c r="AA66" i="13"/>
  <c r="AA66" i="11"/>
  <c r="AF77" i="10"/>
  <c r="AA61" i="13"/>
  <c r="AA61" i="11"/>
  <c r="E61" i="10"/>
  <c r="E67" i="10"/>
  <c r="AA67" i="11"/>
  <c r="AF83" i="10"/>
  <c r="AA67" i="13"/>
  <c r="Q36" i="10"/>
  <c r="E36" i="13"/>
  <c r="Q36" i="13" s="1"/>
  <c r="E33" i="11"/>
  <c r="Q33" i="10"/>
  <c r="AA68" i="13"/>
  <c r="AF84" i="10"/>
  <c r="E68" i="10"/>
  <c r="AA68" i="11"/>
  <c r="E43" i="13"/>
  <c r="Q43" i="13" s="1"/>
  <c r="Q43" i="10"/>
  <c r="AA60" i="13"/>
  <c r="AA60" i="11"/>
  <c r="E60" i="10"/>
  <c r="AA72" i="10"/>
  <c r="AF76" i="10"/>
  <c r="Q35" i="10"/>
  <c r="AF87" i="10"/>
  <c r="E71" i="10"/>
  <c r="AA71" i="11"/>
  <c r="AA71" i="13"/>
  <c r="AA64" i="11"/>
  <c r="AA64" i="13"/>
  <c r="E64" i="10"/>
  <c r="AF80" i="10"/>
  <c r="AF79" i="10"/>
  <c r="E63" i="10"/>
  <c r="AA63" i="13"/>
  <c r="AA63" i="11"/>
  <c r="H62" i="13" l="1"/>
  <c r="H63" i="11"/>
  <c r="H168" i="11"/>
  <c r="H168" i="13"/>
  <c r="E65" i="13"/>
  <c r="M65" i="13" s="1"/>
  <c r="M70" i="10"/>
  <c r="G113" i="13"/>
  <c r="G131" i="13" s="1"/>
  <c r="Q39" i="10"/>
  <c r="E39" i="11"/>
  <c r="Q39" i="11" s="1"/>
  <c r="T37" i="10"/>
  <c r="H39" i="11"/>
  <c r="T39" i="11" s="1"/>
  <c r="H33" i="13"/>
  <c r="T33" i="13" s="1"/>
  <c r="T34" i="10"/>
  <c r="H42" i="11"/>
  <c r="T42" i="11" s="1"/>
  <c r="T44" i="10"/>
  <c r="T33" i="10"/>
  <c r="H34" i="11"/>
  <c r="T34" i="11" s="1"/>
  <c r="H43" i="13"/>
  <c r="T43" i="13" s="1"/>
  <c r="H35" i="11"/>
  <c r="T35" i="11" s="1"/>
  <c r="T40" i="10"/>
  <c r="H41" i="11"/>
  <c r="T41" i="11" s="1"/>
  <c r="H35" i="13"/>
  <c r="T35" i="13" s="1"/>
  <c r="Q40" i="10"/>
  <c r="E40" i="11"/>
  <c r="Q40" i="11" s="1"/>
  <c r="E35" i="11"/>
  <c r="Q35" i="11" s="1"/>
  <c r="E41" i="13"/>
  <c r="Q41" i="13" s="1"/>
  <c r="E37" i="11"/>
  <c r="Q37" i="11" s="1"/>
  <c r="Q41" i="10"/>
  <c r="E38" i="11"/>
  <c r="Q38" i="11" s="1"/>
  <c r="J65" i="10"/>
  <c r="Q38" i="10"/>
  <c r="E37" i="13"/>
  <c r="Q37" i="13" s="1"/>
  <c r="E65" i="11"/>
  <c r="E42" i="13"/>
  <c r="Q42" i="13" s="1"/>
  <c r="E42" i="11"/>
  <c r="Q42" i="11" s="1"/>
  <c r="Q42" i="10"/>
  <c r="E34" i="11"/>
  <c r="Q34" i="11" s="1"/>
  <c r="Q34" i="10"/>
  <c r="R171" i="10" s="1"/>
  <c r="M65" i="10"/>
  <c r="G117" i="13"/>
  <c r="G135" i="13" s="1"/>
  <c r="G117" i="11"/>
  <c r="G135" i="11" s="1"/>
  <c r="F97" i="13"/>
  <c r="H61" i="11"/>
  <c r="J62" i="10"/>
  <c r="F168" i="11"/>
  <c r="F168" i="13"/>
  <c r="E168" i="13"/>
  <c r="E168" i="11"/>
  <c r="F138" i="11"/>
  <c r="S60" i="11"/>
  <c r="G116" i="11"/>
  <c r="G134" i="11" s="1"/>
  <c r="G156" i="11" s="1"/>
  <c r="G160" i="10"/>
  <c r="E70" i="13"/>
  <c r="M70" i="13" s="1"/>
  <c r="E70" i="11"/>
  <c r="M70" i="11" s="1"/>
  <c r="M62" i="10"/>
  <c r="E62" i="13"/>
  <c r="M62" i="13" s="1"/>
  <c r="E62" i="11"/>
  <c r="G97" i="13"/>
  <c r="AB87" i="10"/>
  <c r="G116" i="13"/>
  <c r="G134" i="13" s="1"/>
  <c r="G156" i="13" s="1"/>
  <c r="G246" i="10"/>
  <c r="G256" i="10" s="1"/>
  <c r="G245" i="11"/>
  <c r="G255" i="11" s="1"/>
  <c r="G118" i="11"/>
  <c r="G136" i="11" s="1"/>
  <c r="G118" i="14"/>
  <c r="G245" i="13"/>
  <c r="G255" i="13" s="1"/>
  <c r="AC87" i="10"/>
  <c r="G294" i="11"/>
  <c r="S64" i="13"/>
  <c r="G114" i="13"/>
  <c r="G132" i="13" s="1"/>
  <c r="H67" i="13"/>
  <c r="G112" i="13"/>
  <c r="G130" i="13" s="1"/>
  <c r="G152" i="13" s="1"/>
  <c r="G294" i="13"/>
  <c r="G72" i="11"/>
  <c r="G295" i="11" s="1"/>
  <c r="G112" i="11"/>
  <c r="G130" i="11" s="1"/>
  <c r="G152" i="11" s="1"/>
  <c r="G114" i="11"/>
  <c r="G132" i="11" s="1"/>
  <c r="G114" i="14"/>
  <c r="G113" i="11"/>
  <c r="G131" i="11" s="1"/>
  <c r="T61" i="10"/>
  <c r="Q157" i="10" s="1"/>
  <c r="G118" i="13"/>
  <c r="G136" i="13" s="1"/>
  <c r="T65" i="10"/>
  <c r="Q153" i="10" s="1"/>
  <c r="G120" i="10"/>
  <c r="G72" i="13"/>
  <c r="G295" i="13" s="1"/>
  <c r="S60" i="13"/>
  <c r="I120" i="11"/>
  <c r="G138" i="10"/>
  <c r="S64" i="11"/>
  <c r="J168" i="10"/>
  <c r="AC72" i="11"/>
  <c r="AC72" i="13"/>
  <c r="G168" i="13"/>
  <c r="AG72" i="13"/>
  <c r="F120" i="11"/>
  <c r="G168" i="11"/>
  <c r="I295" i="11"/>
  <c r="I160" i="10"/>
  <c r="I130" i="13"/>
  <c r="I120" i="13"/>
  <c r="I295" i="13"/>
  <c r="F111" i="14"/>
  <c r="R65" i="11"/>
  <c r="R65" i="13"/>
  <c r="E187" i="10"/>
  <c r="E188" i="10" s="1"/>
  <c r="F160" i="11"/>
  <c r="F112" i="14"/>
  <c r="R66" i="11"/>
  <c r="R66" i="13"/>
  <c r="F295" i="13"/>
  <c r="F120" i="13"/>
  <c r="F134" i="13"/>
  <c r="F156" i="10"/>
  <c r="F138" i="10"/>
  <c r="E109" i="14"/>
  <c r="H69" i="11"/>
  <c r="H69" i="13"/>
  <c r="H71" i="11"/>
  <c r="H71" i="13"/>
  <c r="H64" i="13"/>
  <c r="H64" i="11"/>
  <c r="H72" i="10"/>
  <c r="H60" i="11"/>
  <c r="T60" i="10"/>
  <c r="T72" i="10"/>
  <c r="H60" i="13"/>
  <c r="H118" i="10"/>
  <c r="H136" i="10" s="1"/>
  <c r="H116" i="10"/>
  <c r="H134" i="10" s="1"/>
  <c r="T71" i="10"/>
  <c r="H117" i="10"/>
  <c r="H135" i="10" s="1"/>
  <c r="AG72" i="11"/>
  <c r="T33" i="11"/>
  <c r="H70" i="13"/>
  <c r="H70" i="11"/>
  <c r="J70" i="10"/>
  <c r="H66" i="11"/>
  <c r="H66" i="13"/>
  <c r="H112" i="10"/>
  <c r="H109" i="14"/>
  <c r="H113" i="10"/>
  <c r="H131" i="10" s="1"/>
  <c r="T64" i="10"/>
  <c r="H114" i="10"/>
  <c r="H132" i="10" s="1"/>
  <c r="T75" i="10"/>
  <c r="T76" i="10"/>
  <c r="M69" i="10"/>
  <c r="E69" i="11"/>
  <c r="E69" i="13"/>
  <c r="J69" i="10"/>
  <c r="E61" i="11"/>
  <c r="J61" i="10"/>
  <c r="M61" i="10"/>
  <c r="E61" i="13"/>
  <c r="R165" i="10"/>
  <c r="E66" i="13"/>
  <c r="E66" i="11"/>
  <c r="J66" i="10"/>
  <c r="M66" i="10"/>
  <c r="E60" i="11"/>
  <c r="Q60" i="10"/>
  <c r="E116" i="10"/>
  <c r="E134" i="10" s="1"/>
  <c r="E117" i="10"/>
  <c r="E135" i="10" s="1"/>
  <c r="Q71" i="10"/>
  <c r="Q72" i="10"/>
  <c r="E72" i="10"/>
  <c r="E118" i="10"/>
  <c r="E136" i="10" s="1"/>
  <c r="E60" i="13"/>
  <c r="J60" i="10"/>
  <c r="M60" i="10"/>
  <c r="R170" i="10"/>
  <c r="AA72" i="11"/>
  <c r="Q33" i="11"/>
  <c r="E63" i="13"/>
  <c r="J63" i="10"/>
  <c r="M63" i="10"/>
  <c r="E63" i="11"/>
  <c r="M64" i="10"/>
  <c r="E64" i="11"/>
  <c r="J64" i="10"/>
  <c r="E64" i="13"/>
  <c r="AA72" i="13"/>
  <c r="E71" i="13"/>
  <c r="E71" i="11"/>
  <c r="M71" i="10"/>
  <c r="J71" i="10"/>
  <c r="Q38" i="13"/>
  <c r="E68" i="11"/>
  <c r="E68" i="13"/>
  <c r="M68" i="10"/>
  <c r="J68" i="10"/>
  <c r="Q33" i="13"/>
  <c r="E67" i="11"/>
  <c r="E67" i="13"/>
  <c r="Q64" i="10"/>
  <c r="J67" i="10"/>
  <c r="E112" i="10"/>
  <c r="Q76" i="10"/>
  <c r="M67" i="10"/>
  <c r="E113" i="10"/>
  <c r="E131" i="10" s="1"/>
  <c r="Q75" i="10"/>
  <c r="E114" i="10"/>
  <c r="E132" i="10" s="1"/>
  <c r="I152" i="11"/>
  <c r="I138" i="11"/>
  <c r="J65" i="13" l="1"/>
  <c r="T65" i="11"/>
  <c r="Q153" i="11" s="1"/>
  <c r="H180" i="10"/>
  <c r="F206" i="10" s="1"/>
  <c r="F226" i="10" s="1"/>
  <c r="R166" i="10"/>
  <c r="R167" i="10" s="1"/>
  <c r="M65" i="11"/>
  <c r="J65" i="11"/>
  <c r="E115" i="14"/>
  <c r="E252" i="13" s="1"/>
  <c r="J70" i="13"/>
  <c r="J168" i="13"/>
  <c r="H180" i="13" s="1"/>
  <c r="F205" i="13" s="1"/>
  <c r="G119" i="14"/>
  <c r="G120" i="14" s="1"/>
  <c r="J168" i="11"/>
  <c r="H179" i="11" s="1"/>
  <c r="G203" i="11" s="1"/>
  <c r="G219" i="11" s="1"/>
  <c r="G265" i="11" s="1"/>
  <c r="G11" i="14" s="1"/>
  <c r="G251" i="11"/>
  <c r="G256" i="11" s="1"/>
  <c r="G257" i="11" s="1"/>
  <c r="J70" i="11"/>
  <c r="J62" i="13"/>
  <c r="J62" i="11"/>
  <c r="M62" i="11"/>
  <c r="I97" i="13"/>
  <c r="H97" i="13"/>
  <c r="G138" i="11"/>
  <c r="G120" i="13"/>
  <c r="T62" i="10"/>
  <c r="Q158" i="10" s="1"/>
  <c r="G138" i="13"/>
  <c r="G252" i="10"/>
  <c r="G257" i="10" s="1"/>
  <c r="G258" i="10" s="1"/>
  <c r="G120" i="11"/>
  <c r="G251" i="13"/>
  <c r="G256" i="13" s="1"/>
  <c r="G257" i="13" s="1"/>
  <c r="T66" i="10"/>
  <c r="Q154" i="10" s="1"/>
  <c r="H179" i="10"/>
  <c r="E204" i="10" s="1"/>
  <c r="E186" i="11"/>
  <c r="E187" i="11" s="1"/>
  <c r="E246" i="11"/>
  <c r="E246" i="13"/>
  <c r="E110" i="14"/>
  <c r="E247" i="10"/>
  <c r="T61" i="13"/>
  <c r="Q157" i="13" s="1"/>
  <c r="I152" i="13"/>
  <c r="I138" i="13"/>
  <c r="F248" i="11"/>
  <c r="F118" i="14"/>
  <c r="F249" i="10"/>
  <c r="F248" i="13"/>
  <c r="F114" i="14"/>
  <c r="F249" i="11"/>
  <c r="F250" i="10"/>
  <c r="F249" i="13"/>
  <c r="E187" i="13"/>
  <c r="E188" i="13" s="1"/>
  <c r="F160" i="10"/>
  <c r="F138" i="13"/>
  <c r="F156" i="13"/>
  <c r="G160" i="13"/>
  <c r="Q171" i="10"/>
  <c r="T73" i="10"/>
  <c r="T158" i="10" s="1"/>
  <c r="H120" i="10"/>
  <c r="H130" i="10"/>
  <c r="U61" i="10"/>
  <c r="T76" i="13"/>
  <c r="H112" i="13"/>
  <c r="H113" i="13"/>
  <c r="H131" i="13" s="1"/>
  <c r="H114" i="13"/>
  <c r="H132" i="13" s="1"/>
  <c r="H294" i="13"/>
  <c r="T75" i="13"/>
  <c r="T64" i="13"/>
  <c r="T72" i="11"/>
  <c r="H72" i="11"/>
  <c r="T71" i="11"/>
  <c r="T60" i="11"/>
  <c r="H118" i="11"/>
  <c r="H136" i="11" s="1"/>
  <c r="H117" i="11"/>
  <c r="H135" i="11" s="1"/>
  <c r="H116" i="11"/>
  <c r="H134" i="11" s="1"/>
  <c r="T77" i="10"/>
  <c r="T154" i="10" s="1"/>
  <c r="H112" i="11"/>
  <c r="T64" i="11"/>
  <c r="H114" i="11"/>
  <c r="H132" i="11" s="1"/>
  <c r="H294" i="11"/>
  <c r="T76" i="11"/>
  <c r="T75" i="11"/>
  <c r="H113" i="11"/>
  <c r="H131" i="11" s="1"/>
  <c r="T61" i="11"/>
  <c r="H116" i="13"/>
  <c r="H134" i="13" s="1"/>
  <c r="T60" i="13"/>
  <c r="H118" i="13"/>
  <c r="H136" i="13" s="1"/>
  <c r="T71" i="13"/>
  <c r="T72" i="13"/>
  <c r="H72" i="13"/>
  <c r="H117" i="13"/>
  <c r="H135" i="13" s="1"/>
  <c r="U65" i="10"/>
  <c r="H156" i="10"/>
  <c r="AC159" i="10"/>
  <c r="T153" i="10"/>
  <c r="W153" i="10" s="1"/>
  <c r="H153" i="10" s="1"/>
  <c r="T86" i="10"/>
  <c r="T87" i="10" s="1"/>
  <c r="U76" i="10"/>
  <c r="T65" i="13"/>
  <c r="H246" i="13"/>
  <c r="H247" i="10"/>
  <c r="H115" i="14"/>
  <c r="H110" i="14"/>
  <c r="H246" i="11"/>
  <c r="T82" i="10"/>
  <c r="T83" i="10" s="1"/>
  <c r="U72" i="10"/>
  <c r="T157" i="10"/>
  <c r="W157" i="10" s="1"/>
  <c r="H157" i="10" s="1"/>
  <c r="J66" i="11"/>
  <c r="M66" i="11"/>
  <c r="M69" i="13"/>
  <c r="J69" i="13"/>
  <c r="M61" i="11"/>
  <c r="J61" i="11"/>
  <c r="M61" i="13"/>
  <c r="J61" i="13"/>
  <c r="M66" i="13"/>
  <c r="J66" i="13"/>
  <c r="J69" i="11"/>
  <c r="M69" i="11"/>
  <c r="J131" i="10"/>
  <c r="E120" i="10"/>
  <c r="E130" i="10"/>
  <c r="M67" i="11"/>
  <c r="E294" i="11"/>
  <c r="J67" i="11"/>
  <c r="Q76" i="11"/>
  <c r="Q64" i="11"/>
  <c r="E113" i="11"/>
  <c r="E131" i="11" s="1"/>
  <c r="E114" i="11"/>
  <c r="E132" i="11" s="1"/>
  <c r="Q75" i="11"/>
  <c r="E112" i="11"/>
  <c r="R171" i="13"/>
  <c r="M68" i="13"/>
  <c r="J68" i="13"/>
  <c r="M71" i="11"/>
  <c r="J71" i="11"/>
  <c r="J63" i="13"/>
  <c r="M63" i="13"/>
  <c r="R172" i="10"/>
  <c r="M72" i="10"/>
  <c r="Q170" i="10"/>
  <c r="Q61" i="10"/>
  <c r="Q82" i="10" s="1"/>
  <c r="Q83" i="10" s="1"/>
  <c r="J72" i="10"/>
  <c r="J135" i="10"/>
  <c r="Q165" i="10"/>
  <c r="Q65" i="10"/>
  <c r="Q86" i="10" s="1"/>
  <c r="Q87" i="10" s="1"/>
  <c r="R170" i="13"/>
  <c r="M68" i="11"/>
  <c r="J68" i="11"/>
  <c r="M71" i="13"/>
  <c r="J71" i="13"/>
  <c r="Q166" i="10"/>
  <c r="R165" i="11"/>
  <c r="J64" i="13"/>
  <c r="M64" i="13"/>
  <c r="J63" i="11"/>
  <c r="M63" i="11"/>
  <c r="R72" i="10"/>
  <c r="T170" i="10"/>
  <c r="J134" i="10"/>
  <c r="E156" i="10"/>
  <c r="AC173" i="10"/>
  <c r="J132" i="10"/>
  <c r="R76" i="10"/>
  <c r="T165" i="10"/>
  <c r="R165" i="13"/>
  <c r="R166" i="11"/>
  <c r="R170" i="11"/>
  <c r="E72" i="13"/>
  <c r="E118" i="13"/>
  <c r="E136" i="13" s="1"/>
  <c r="E116" i="13"/>
  <c r="E134" i="13" s="1"/>
  <c r="Q71" i="13"/>
  <c r="J60" i="13"/>
  <c r="Q60" i="13"/>
  <c r="E117" i="13"/>
  <c r="E135" i="13" s="1"/>
  <c r="Q72" i="13"/>
  <c r="M60" i="13"/>
  <c r="J136" i="10"/>
  <c r="Q77" i="10"/>
  <c r="T166" i="10" s="1"/>
  <c r="J67" i="13"/>
  <c r="M67" i="13"/>
  <c r="E113" i="13"/>
  <c r="E131" i="13" s="1"/>
  <c r="Q64" i="13"/>
  <c r="E112" i="13"/>
  <c r="E294" i="13"/>
  <c r="Q76" i="13"/>
  <c r="Q75" i="13"/>
  <c r="E114" i="13"/>
  <c r="E132" i="13" s="1"/>
  <c r="R166" i="13"/>
  <c r="Q62" i="10"/>
  <c r="Q66" i="10"/>
  <c r="J64" i="11"/>
  <c r="M64" i="11"/>
  <c r="R171" i="11"/>
  <c r="Q73" i="10"/>
  <c r="T171" i="10" s="1"/>
  <c r="Q71" i="11"/>
  <c r="M60" i="11"/>
  <c r="Q60" i="11"/>
  <c r="E72" i="11"/>
  <c r="J60" i="11"/>
  <c r="Q72" i="11"/>
  <c r="E118" i="11"/>
  <c r="E136" i="11" s="1"/>
  <c r="E116" i="11"/>
  <c r="E134" i="11" s="1"/>
  <c r="E117" i="11"/>
  <c r="E135" i="11" s="1"/>
  <c r="G160" i="11"/>
  <c r="I160" i="11"/>
  <c r="T66" i="11" l="1"/>
  <c r="Q154" i="11" s="1"/>
  <c r="H179" i="13"/>
  <c r="G203" i="13" s="1"/>
  <c r="G219" i="13" s="1"/>
  <c r="G265" i="13" s="1"/>
  <c r="E206" i="10"/>
  <c r="E226" i="10" s="1"/>
  <c r="E272" i="10" s="1"/>
  <c r="G206" i="10"/>
  <c r="G226" i="10" s="1"/>
  <c r="G272" i="10" s="1"/>
  <c r="G278" i="10" s="1"/>
  <c r="I206" i="10"/>
  <c r="I226" i="10" s="1"/>
  <c r="E207" i="10"/>
  <c r="H207" i="10"/>
  <c r="H227" i="10" s="1"/>
  <c r="G205" i="13"/>
  <c r="G225" i="13" s="1"/>
  <c r="G271" i="13" s="1"/>
  <c r="G38" i="14" s="1"/>
  <c r="E253" i="10"/>
  <c r="E252" i="11"/>
  <c r="E247" i="11"/>
  <c r="E255" i="11" s="1"/>
  <c r="E206" i="13"/>
  <c r="I205" i="13"/>
  <c r="I225" i="13" s="1"/>
  <c r="H206" i="13"/>
  <c r="J294" i="13"/>
  <c r="F299" i="13" s="1"/>
  <c r="G299" i="13" s="1"/>
  <c r="E204" i="11"/>
  <c r="I203" i="11"/>
  <c r="I219" i="11" s="1"/>
  <c r="I265" i="11" s="1"/>
  <c r="I11" i="14" s="1"/>
  <c r="F203" i="11"/>
  <c r="F219" i="11" s="1"/>
  <c r="F222" i="11" s="1"/>
  <c r="F223" i="11" s="1"/>
  <c r="F269" i="11" s="1"/>
  <c r="F15" i="14" s="1"/>
  <c r="H204" i="11"/>
  <c r="E203" i="11"/>
  <c r="H180" i="11"/>
  <c r="I205" i="11" s="1"/>
  <c r="I225" i="11" s="1"/>
  <c r="W158" i="10"/>
  <c r="H158" i="10" s="1"/>
  <c r="H228" i="10" s="1"/>
  <c r="H205" i="10"/>
  <c r="H221" i="10" s="1"/>
  <c r="F204" i="10"/>
  <c r="F220" i="10" s="1"/>
  <c r="F223" i="10" s="1"/>
  <c r="F224" i="10" s="1"/>
  <c r="F270" i="10" s="1"/>
  <c r="F68" i="14" s="1"/>
  <c r="H181" i="10"/>
  <c r="E205" i="10"/>
  <c r="G204" i="10"/>
  <c r="G220" i="10" s="1"/>
  <c r="G266" i="10" s="1"/>
  <c r="G277" i="10" s="1"/>
  <c r="W154" i="10"/>
  <c r="H154" i="10" s="1"/>
  <c r="H222" i="10" s="1"/>
  <c r="I204" i="10"/>
  <c r="I220" i="10" s="1"/>
  <c r="I266" i="10" s="1"/>
  <c r="I277" i="10" s="1"/>
  <c r="Q77" i="11"/>
  <c r="T166" i="11" s="1"/>
  <c r="H118" i="14"/>
  <c r="E248" i="10"/>
  <c r="E256" i="10" s="1"/>
  <c r="Q166" i="11"/>
  <c r="T62" i="13"/>
  <c r="Q158" i="13" s="1"/>
  <c r="Q171" i="13"/>
  <c r="E118" i="14"/>
  <c r="E247" i="13"/>
  <c r="E255" i="13" s="1"/>
  <c r="E116" i="14"/>
  <c r="T62" i="11"/>
  <c r="Q158" i="11" s="1"/>
  <c r="T77" i="11"/>
  <c r="T154" i="11" s="1"/>
  <c r="I160" i="13"/>
  <c r="F255" i="11"/>
  <c r="F256" i="10"/>
  <c r="F119" i="14"/>
  <c r="F120" i="14" s="1"/>
  <c r="F251" i="11"/>
  <c r="F252" i="10"/>
  <c r="F257" i="10" s="1"/>
  <c r="F251" i="13"/>
  <c r="F256" i="13" s="1"/>
  <c r="F255" i="13"/>
  <c r="Q166" i="13"/>
  <c r="F225" i="13"/>
  <c r="F160" i="13"/>
  <c r="C122" i="10"/>
  <c r="J294" i="11"/>
  <c r="F299" i="11" s="1"/>
  <c r="G299" i="11" s="1"/>
  <c r="T73" i="13"/>
  <c r="T158" i="13" s="1"/>
  <c r="Z157" i="10"/>
  <c r="Z153" i="10"/>
  <c r="H156" i="13"/>
  <c r="AC159" i="13"/>
  <c r="H247" i="13"/>
  <c r="H255" i="13" s="1"/>
  <c r="H248" i="10"/>
  <c r="H256" i="10" s="1"/>
  <c r="H247" i="11"/>
  <c r="H255" i="11" s="1"/>
  <c r="U65" i="11"/>
  <c r="H295" i="13"/>
  <c r="Q157" i="11"/>
  <c r="U61" i="11"/>
  <c r="U76" i="11"/>
  <c r="T86" i="11"/>
  <c r="T87" i="11" s="1"/>
  <c r="T153" i="11"/>
  <c r="W153" i="11" s="1"/>
  <c r="H153" i="11" s="1"/>
  <c r="H120" i="11"/>
  <c r="H130" i="11"/>
  <c r="AC159" i="11"/>
  <c r="H156" i="11"/>
  <c r="T73" i="11"/>
  <c r="T158" i="11" s="1"/>
  <c r="T77" i="13"/>
  <c r="T154" i="13" s="1"/>
  <c r="H130" i="13"/>
  <c r="H120" i="13"/>
  <c r="U61" i="13"/>
  <c r="H252" i="11"/>
  <c r="H252" i="13"/>
  <c r="H253" i="10"/>
  <c r="U65" i="13"/>
  <c r="Q153" i="13"/>
  <c r="T82" i="11"/>
  <c r="T83" i="11" s="1"/>
  <c r="U72" i="11"/>
  <c r="T157" i="11"/>
  <c r="U76" i="13"/>
  <c r="T86" i="13"/>
  <c r="T87" i="13" s="1"/>
  <c r="T153" i="13"/>
  <c r="T66" i="13"/>
  <c r="Q154" i="13" s="1"/>
  <c r="H116" i="14"/>
  <c r="T157" i="13"/>
  <c r="W157" i="13" s="1"/>
  <c r="H157" i="13" s="1"/>
  <c r="T82" i="13"/>
  <c r="T83" i="13" s="1"/>
  <c r="U72" i="13"/>
  <c r="H295" i="11"/>
  <c r="H138" i="10"/>
  <c r="AC155" i="10"/>
  <c r="H152" i="10"/>
  <c r="Q77" i="13"/>
  <c r="T166" i="13" s="1"/>
  <c r="Q66" i="13"/>
  <c r="J135" i="13"/>
  <c r="T170" i="11"/>
  <c r="R72" i="11"/>
  <c r="M72" i="11"/>
  <c r="Q170" i="11"/>
  <c r="Q61" i="11"/>
  <c r="Q82" i="11" s="1"/>
  <c r="Q83" i="11" s="1"/>
  <c r="Q171" i="11"/>
  <c r="J136" i="13"/>
  <c r="AC173" i="13"/>
  <c r="E156" i="13"/>
  <c r="J134" i="13"/>
  <c r="Z172" i="10"/>
  <c r="Q168" i="10"/>
  <c r="J131" i="11"/>
  <c r="E152" i="10"/>
  <c r="J130" i="10"/>
  <c r="E138" i="10"/>
  <c r="AC168" i="10"/>
  <c r="AC175" i="10" s="1"/>
  <c r="J135" i="11"/>
  <c r="Q73" i="11"/>
  <c r="T171" i="11" s="1"/>
  <c r="Q62" i="11"/>
  <c r="T165" i="13"/>
  <c r="R76" i="13"/>
  <c r="J131" i="13"/>
  <c r="U166" i="10"/>
  <c r="X166" i="10" s="1"/>
  <c r="E154" i="10" s="1"/>
  <c r="W166" i="10"/>
  <c r="M72" i="13"/>
  <c r="Q61" i="13"/>
  <c r="Q82" i="13" s="1"/>
  <c r="Q83" i="13" s="1"/>
  <c r="Q170" i="13"/>
  <c r="E130" i="11"/>
  <c r="E120" i="11"/>
  <c r="AC173" i="11"/>
  <c r="J134" i="11"/>
  <c r="E156" i="11"/>
  <c r="E295" i="11"/>
  <c r="J72" i="11"/>
  <c r="U171" i="10"/>
  <c r="X171" i="10" s="1"/>
  <c r="E158" i="10" s="1"/>
  <c r="W171" i="10"/>
  <c r="E295" i="13"/>
  <c r="J72" i="13"/>
  <c r="E205" i="13"/>
  <c r="Q66" i="11"/>
  <c r="U165" i="10"/>
  <c r="X165" i="10" s="1"/>
  <c r="E153" i="10" s="1"/>
  <c r="W165" i="10"/>
  <c r="U170" i="10"/>
  <c r="X170" i="10" s="1"/>
  <c r="E157" i="10" s="1"/>
  <c r="W170" i="10"/>
  <c r="Q173" i="10"/>
  <c r="J136" i="11"/>
  <c r="J132" i="13"/>
  <c r="E120" i="13"/>
  <c r="E130" i="13"/>
  <c r="Q65" i="13"/>
  <c r="Q86" i="13" s="1"/>
  <c r="Q87" i="13" s="1"/>
  <c r="Q165" i="13"/>
  <c r="R72" i="13"/>
  <c r="T170" i="13"/>
  <c r="Q73" i="13"/>
  <c r="T171" i="13" s="1"/>
  <c r="Q62" i="13"/>
  <c r="J132" i="11"/>
  <c r="R76" i="11"/>
  <c r="T165" i="11"/>
  <c r="Q165" i="11"/>
  <c r="Q65" i="11"/>
  <c r="Q86" i="11" s="1"/>
  <c r="Q87" i="11" s="1"/>
  <c r="G276" i="11"/>
  <c r="G22" i="14" l="1"/>
  <c r="G32" i="14"/>
  <c r="G43" i="14" s="1"/>
  <c r="W154" i="11"/>
  <c r="H154" i="11" s="1"/>
  <c r="F203" i="13"/>
  <c r="F219" i="13" s="1"/>
  <c r="F222" i="13" s="1"/>
  <c r="F223" i="13" s="1"/>
  <c r="F269" i="13" s="1"/>
  <c r="F36" i="14" s="1"/>
  <c r="H204" i="13"/>
  <c r="E204" i="13"/>
  <c r="E203" i="13"/>
  <c r="G276" i="13"/>
  <c r="I203" i="13"/>
  <c r="I219" i="13" s="1"/>
  <c r="I265" i="13" s="1"/>
  <c r="H181" i="13"/>
  <c r="I202" i="13" s="1"/>
  <c r="I229" i="13" s="1"/>
  <c r="G70" i="14"/>
  <c r="G76" i="14" s="1"/>
  <c r="E203" i="10"/>
  <c r="I276" i="11"/>
  <c r="I64" i="14"/>
  <c r="I75" i="14" s="1"/>
  <c r="G205" i="11"/>
  <c r="G225" i="11" s="1"/>
  <c r="G271" i="11" s="1"/>
  <c r="G17" i="14" s="1"/>
  <c r="F205" i="11"/>
  <c r="F225" i="11" s="1"/>
  <c r="F271" i="11" s="1"/>
  <c r="F17" i="14" s="1"/>
  <c r="E205" i="11"/>
  <c r="E225" i="11" s="1"/>
  <c r="E271" i="11" s="1"/>
  <c r="E17" i="14" s="1"/>
  <c r="H181" i="11"/>
  <c r="G202" i="11" s="1"/>
  <c r="G229" i="11" s="1"/>
  <c r="E206" i="11"/>
  <c r="H206" i="11"/>
  <c r="H203" i="10"/>
  <c r="F203" i="10"/>
  <c r="F230" i="10" s="1"/>
  <c r="Z158" i="10"/>
  <c r="Z159" i="10" s="1"/>
  <c r="Z154" i="10"/>
  <c r="Z155" i="10" s="1"/>
  <c r="F268" i="11"/>
  <c r="F14" i="14" s="1"/>
  <c r="F269" i="10"/>
  <c r="F67" i="14" s="1"/>
  <c r="F75" i="14" s="1"/>
  <c r="I203" i="10"/>
  <c r="I230" i="10" s="1"/>
  <c r="G203" i="10"/>
  <c r="G230" i="10" s="1"/>
  <c r="G277" i="13"/>
  <c r="G64" i="14"/>
  <c r="G75" i="14" s="1"/>
  <c r="J118" i="14"/>
  <c r="W166" i="11"/>
  <c r="U166" i="11"/>
  <c r="X166" i="11" s="1"/>
  <c r="E154" i="11" s="1"/>
  <c r="E221" i="11" s="1"/>
  <c r="E267" i="11" s="1"/>
  <c r="E13" i="14" s="1"/>
  <c r="W166" i="13"/>
  <c r="W158" i="13"/>
  <c r="H158" i="13" s="1"/>
  <c r="H227" i="13" s="1"/>
  <c r="C122" i="13"/>
  <c r="W157" i="11"/>
  <c r="H157" i="11" s="1"/>
  <c r="E119" i="14"/>
  <c r="E120" i="14" s="1"/>
  <c r="J295" i="13"/>
  <c r="F300" i="13" s="1"/>
  <c r="G300" i="13" s="1"/>
  <c r="G301" i="13" s="1"/>
  <c r="E253" i="13"/>
  <c r="E256" i="13" s="1"/>
  <c r="E257" i="13" s="1"/>
  <c r="E254" i="10"/>
  <c r="E257" i="10" s="1"/>
  <c r="E258" i="10" s="1"/>
  <c r="F258" i="10"/>
  <c r="E253" i="11"/>
  <c r="E256" i="11" s="1"/>
  <c r="E257" i="11" s="1"/>
  <c r="F257" i="13"/>
  <c r="F272" i="10"/>
  <c r="F278" i="10" s="1"/>
  <c r="W158" i="11"/>
  <c r="H158" i="11" s="1"/>
  <c r="Z158" i="11" s="1"/>
  <c r="F271" i="13"/>
  <c r="F38" i="14" s="1"/>
  <c r="F256" i="11"/>
  <c r="F257" i="11" s="1"/>
  <c r="G279" i="10"/>
  <c r="G282" i="10" s="1"/>
  <c r="W154" i="13"/>
  <c r="H154" i="13" s="1"/>
  <c r="Z154" i="13" s="1"/>
  <c r="J295" i="11"/>
  <c r="F300" i="11" s="1"/>
  <c r="G300" i="11" s="1"/>
  <c r="G301" i="11" s="1"/>
  <c r="H268" i="10"/>
  <c r="H66" i="14" s="1"/>
  <c r="C122" i="11"/>
  <c r="W153" i="13"/>
  <c r="H153" i="13" s="1"/>
  <c r="Z157" i="13"/>
  <c r="H226" i="13"/>
  <c r="H272" i="13" s="1"/>
  <c r="H39" i="14" s="1"/>
  <c r="J255" i="13"/>
  <c r="J255" i="11"/>
  <c r="H253" i="13"/>
  <c r="H256" i="13" s="1"/>
  <c r="H254" i="10"/>
  <c r="H274" i="10" s="1"/>
  <c r="H72" i="14" s="1"/>
  <c r="H253" i="11"/>
  <c r="H256" i="11" s="1"/>
  <c r="H138" i="11"/>
  <c r="AC155" i="11"/>
  <c r="H152" i="11"/>
  <c r="H230" i="10"/>
  <c r="H267" i="10"/>
  <c r="H119" i="14"/>
  <c r="AC155" i="13"/>
  <c r="H138" i="13"/>
  <c r="H152" i="13"/>
  <c r="H273" i="10"/>
  <c r="Z153" i="11"/>
  <c r="H220" i="11"/>
  <c r="J256" i="10"/>
  <c r="N256" i="10" s="1"/>
  <c r="H160" i="10"/>
  <c r="Z165" i="10"/>
  <c r="E221" i="10"/>
  <c r="E267" i="10" s="1"/>
  <c r="E65" i="14" s="1"/>
  <c r="E222" i="10"/>
  <c r="E268" i="10" s="1"/>
  <c r="E66" i="14" s="1"/>
  <c r="Z166" i="10"/>
  <c r="Z172" i="11"/>
  <c r="J138" i="10"/>
  <c r="C140" i="10"/>
  <c r="C161" i="10" s="1"/>
  <c r="U170" i="13"/>
  <c r="X170" i="13" s="1"/>
  <c r="E157" i="13" s="1"/>
  <c r="W170" i="13"/>
  <c r="E228" i="10"/>
  <c r="Z171" i="10"/>
  <c r="AC168" i="11"/>
  <c r="AC175" i="11" s="1"/>
  <c r="E138" i="11"/>
  <c r="E152" i="11"/>
  <c r="J130" i="11"/>
  <c r="U165" i="13"/>
  <c r="X165" i="13" s="1"/>
  <c r="E153" i="13" s="1"/>
  <c r="W165" i="13"/>
  <c r="E138" i="13"/>
  <c r="E152" i="13"/>
  <c r="J130" i="13"/>
  <c r="AC168" i="13"/>
  <c r="AC175" i="13" s="1"/>
  <c r="E220" i="10"/>
  <c r="E266" i="10" s="1"/>
  <c r="Z167" i="10"/>
  <c r="E160" i="10"/>
  <c r="W165" i="11"/>
  <c r="U165" i="11"/>
  <c r="X165" i="11" s="1"/>
  <c r="E153" i="11" s="1"/>
  <c r="W171" i="13"/>
  <c r="U171" i="13"/>
  <c r="X171" i="13" s="1"/>
  <c r="E158" i="13" s="1"/>
  <c r="E227" i="10"/>
  <c r="E273" i="10" s="1"/>
  <c r="E71" i="14" s="1"/>
  <c r="Z170" i="10"/>
  <c r="W171" i="11"/>
  <c r="U171" i="11"/>
  <c r="X171" i="11" s="1"/>
  <c r="E158" i="11" s="1"/>
  <c r="Z172" i="13"/>
  <c r="E225" i="13"/>
  <c r="E271" i="13" s="1"/>
  <c r="E38" i="14" s="1"/>
  <c r="U166" i="13"/>
  <c r="X166" i="13" s="1"/>
  <c r="E154" i="13" s="1"/>
  <c r="W170" i="11"/>
  <c r="U170" i="11"/>
  <c r="X170" i="11" s="1"/>
  <c r="E157" i="11" s="1"/>
  <c r="E70" i="14"/>
  <c r="I22" i="14" l="1"/>
  <c r="I32" i="14"/>
  <c r="I43" i="14" s="1"/>
  <c r="Z154" i="11"/>
  <c r="Z155" i="11" s="1"/>
  <c r="H221" i="11"/>
  <c r="H267" i="11" s="1"/>
  <c r="H13" i="14" s="1"/>
  <c r="G278" i="13"/>
  <c r="G282" i="13" s="1"/>
  <c r="H202" i="13"/>
  <c r="H220" i="13"/>
  <c r="H266" i="13" s="1"/>
  <c r="H33" i="14" s="1"/>
  <c r="I276" i="13"/>
  <c r="E202" i="13"/>
  <c r="F268" i="13"/>
  <c r="G202" i="13"/>
  <c r="G229" i="13" s="1"/>
  <c r="F202" i="13"/>
  <c r="F229" i="13" s="1"/>
  <c r="G44" i="14"/>
  <c r="G45" i="14" s="1"/>
  <c r="G23" i="14"/>
  <c r="G24" i="14" s="1"/>
  <c r="F89" i="14"/>
  <c r="F23" i="14"/>
  <c r="F44" i="14"/>
  <c r="G277" i="11"/>
  <c r="G278" i="11" s="1"/>
  <c r="G282" i="11" s="1"/>
  <c r="Z166" i="11"/>
  <c r="I202" i="11"/>
  <c r="I229" i="11" s="1"/>
  <c r="E202" i="11"/>
  <c r="H202" i="11"/>
  <c r="F202" i="11"/>
  <c r="F229" i="11" s="1"/>
  <c r="G85" i="14"/>
  <c r="F277" i="10"/>
  <c r="F279" i="10" s="1"/>
  <c r="F282" i="10" s="1"/>
  <c r="F276" i="11"/>
  <c r="Z157" i="11"/>
  <c r="Z159" i="11" s="1"/>
  <c r="E274" i="10"/>
  <c r="E72" i="14" s="1"/>
  <c r="E76" i="14" s="1"/>
  <c r="G77" i="14"/>
  <c r="Z158" i="13"/>
  <c r="Z159" i="13" s="1"/>
  <c r="H226" i="11"/>
  <c r="H272" i="11" s="1"/>
  <c r="H18" i="14" s="1"/>
  <c r="F70" i="14"/>
  <c r="F76" i="14" s="1"/>
  <c r="F77" i="14" s="1"/>
  <c r="H227" i="11"/>
  <c r="H273" i="11" s="1"/>
  <c r="H19" i="14" s="1"/>
  <c r="Z173" i="10"/>
  <c r="I85" i="14"/>
  <c r="F277" i="13"/>
  <c r="H221" i="13"/>
  <c r="H267" i="13" s="1"/>
  <c r="H34" i="14" s="1"/>
  <c r="Z153" i="13"/>
  <c r="Z155" i="13" s="1"/>
  <c r="F277" i="11"/>
  <c r="G283" i="10"/>
  <c r="H257" i="11"/>
  <c r="H257" i="13"/>
  <c r="H266" i="11"/>
  <c r="H12" i="14" s="1"/>
  <c r="M256" i="10"/>
  <c r="H257" i="10"/>
  <c r="H120" i="14"/>
  <c r="H160" i="11"/>
  <c r="H71" i="14"/>
  <c r="H76" i="14" s="1"/>
  <c r="H278" i="10"/>
  <c r="H277" i="10"/>
  <c r="H65" i="14"/>
  <c r="H75" i="14" s="1"/>
  <c r="H160" i="13"/>
  <c r="H273" i="13"/>
  <c r="H40" i="14" s="1"/>
  <c r="E226" i="11"/>
  <c r="E272" i="11" s="1"/>
  <c r="E18" i="14" s="1"/>
  <c r="Z170" i="11"/>
  <c r="E227" i="11"/>
  <c r="E273" i="11" s="1"/>
  <c r="E19" i="14" s="1"/>
  <c r="Z171" i="11"/>
  <c r="E220" i="13"/>
  <c r="E266" i="13" s="1"/>
  <c r="E33" i="14" s="1"/>
  <c r="Z165" i="13"/>
  <c r="Z170" i="13"/>
  <c r="E226" i="13"/>
  <c r="E272" i="13" s="1"/>
  <c r="E39" i="14" s="1"/>
  <c r="E221" i="13"/>
  <c r="E267" i="13" s="1"/>
  <c r="E34" i="14" s="1"/>
  <c r="Z166" i="13"/>
  <c r="E230" i="10"/>
  <c r="C296" i="10" s="1"/>
  <c r="C140" i="11"/>
  <c r="C161" i="11" s="1"/>
  <c r="J138" i="11"/>
  <c r="Z168" i="10"/>
  <c r="E277" i="10"/>
  <c r="E64" i="14"/>
  <c r="E75" i="14" s="1"/>
  <c r="E219" i="13"/>
  <c r="E265" i="13" s="1"/>
  <c r="E32" i="14" s="1"/>
  <c r="E160" i="13"/>
  <c r="Z167" i="13"/>
  <c r="E227" i="13"/>
  <c r="E273" i="13" s="1"/>
  <c r="E40" i="14" s="1"/>
  <c r="Z171" i="13"/>
  <c r="C140" i="13"/>
  <c r="C161" i="13" s="1"/>
  <c r="J138" i="13"/>
  <c r="Z167" i="11"/>
  <c r="E160" i="11"/>
  <c r="E219" i="11"/>
  <c r="E265" i="11" s="1"/>
  <c r="E11" i="14" s="1"/>
  <c r="E220" i="11"/>
  <c r="E266" i="11" s="1"/>
  <c r="E12" i="14" s="1"/>
  <c r="Z165" i="11"/>
  <c r="F35" i="14" l="1"/>
  <c r="F43" i="14" s="1"/>
  <c r="F45" i="14" s="1"/>
  <c r="F22" i="14"/>
  <c r="F24" i="14" s="1"/>
  <c r="G281" i="13"/>
  <c r="F276" i="13"/>
  <c r="F278" i="13" s="1"/>
  <c r="F281" i="13" s="1"/>
  <c r="E87" i="14"/>
  <c r="H87" i="14"/>
  <c r="G91" i="14"/>
  <c r="H44" i="14"/>
  <c r="G281" i="11"/>
  <c r="G96" i="14"/>
  <c r="E278" i="10"/>
  <c r="E279" i="10" s="1"/>
  <c r="F283" i="10"/>
  <c r="I96" i="14"/>
  <c r="H277" i="11"/>
  <c r="H229" i="11"/>
  <c r="H229" i="13"/>
  <c r="I131" i="14"/>
  <c r="F91" i="14"/>
  <c r="F278" i="11"/>
  <c r="F281" i="11" s="1"/>
  <c r="Z168" i="11"/>
  <c r="H277" i="13"/>
  <c r="H77" i="14"/>
  <c r="H276" i="11"/>
  <c r="H276" i="13"/>
  <c r="H279" i="10"/>
  <c r="H282" i="10" s="1"/>
  <c r="H258" i="10"/>
  <c r="E277" i="13"/>
  <c r="Z168" i="13"/>
  <c r="Z173" i="11"/>
  <c r="E91" i="14"/>
  <c r="E229" i="11"/>
  <c r="J75" i="14"/>
  <c r="E77" i="14"/>
  <c r="E277" i="11"/>
  <c r="J277" i="10"/>
  <c r="D297" i="10"/>
  <c r="Z173" i="13"/>
  <c r="E229" i="13"/>
  <c r="E276" i="11"/>
  <c r="E276" i="13"/>
  <c r="F88" i="14" l="1"/>
  <c r="G97" i="14"/>
  <c r="G98" i="14" s="1"/>
  <c r="H93" i="14"/>
  <c r="H23" i="14"/>
  <c r="H92" i="14"/>
  <c r="E23" i="14"/>
  <c r="E92" i="14"/>
  <c r="E93" i="14"/>
  <c r="E44" i="14"/>
  <c r="E86" i="14"/>
  <c r="E43" i="14"/>
  <c r="E137" i="14"/>
  <c r="F282" i="13"/>
  <c r="H133" i="14"/>
  <c r="H43" i="14"/>
  <c r="H45" i="14" s="1"/>
  <c r="H278" i="11"/>
  <c r="H281" i="11" s="1"/>
  <c r="F97" i="14"/>
  <c r="F282" i="11"/>
  <c r="H22" i="14"/>
  <c r="H86" i="14"/>
  <c r="H283" i="10"/>
  <c r="H278" i="13"/>
  <c r="H282" i="13" s="1"/>
  <c r="C303" i="10"/>
  <c r="I303" i="10" s="1"/>
  <c r="E278" i="13"/>
  <c r="J276" i="13"/>
  <c r="E283" i="10"/>
  <c r="E22" i="14"/>
  <c r="E85" i="14"/>
  <c r="E282" i="10"/>
  <c r="J276" i="11"/>
  <c r="E278" i="11"/>
  <c r="F96" i="14" l="1"/>
  <c r="F98" i="14" s="1"/>
  <c r="F169" i="14"/>
  <c r="H139" i="14"/>
  <c r="H97" i="14"/>
  <c r="H138" i="14"/>
  <c r="H24" i="14"/>
  <c r="E45" i="14"/>
  <c r="E97" i="14"/>
  <c r="E131" i="14"/>
  <c r="J43" i="14"/>
  <c r="H282" i="11"/>
  <c r="H281" i="13"/>
  <c r="H132" i="14"/>
  <c r="H96" i="14"/>
  <c r="E282" i="13"/>
  <c r="C307" i="11"/>
  <c r="G307" i="11" s="1"/>
  <c r="E96" i="14"/>
  <c r="E282" i="11"/>
  <c r="E24" i="14"/>
  <c r="J22" i="14"/>
  <c r="E281" i="13"/>
  <c r="E281" i="11"/>
  <c r="C307" i="13"/>
  <c r="G307" i="13" s="1"/>
  <c r="F170" i="14" l="1"/>
  <c r="H98" i="14"/>
  <c r="E98" i="14"/>
  <c r="J96" i="14"/>
  <c r="H141" i="14" l="1"/>
  <c r="I251" i="11" l="1"/>
  <c r="I256" i="11" s="1"/>
  <c r="I251" i="13" l="1"/>
  <c r="I252" i="10"/>
  <c r="I272" i="10" s="1"/>
  <c r="I119" i="14"/>
  <c r="I120" i="14" s="1"/>
  <c r="J120" i="14" s="1"/>
  <c r="I257" i="11"/>
  <c r="J257" i="11" s="1"/>
  <c r="J256" i="11"/>
  <c r="I271" i="11"/>
  <c r="I17" i="14" s="1"/>
  <c r="I257" i="10" l="1"/>
  <c r="I258" i="10" s="1"/>
  <c r="J258" i="10" s="1"/>
  <c r="J119" i="14"/>
  <c r="I256" i="13"/>
  <c r="I271" i="13"/>
  <c r="I38" i="14" s="1"/>
  <c r="I278" i="10"/>
  <c r="I70" i="14"/>
  <c r="I76" i="14" s="1"/>
  <c r="I277" i="11"/>
  <c r="I44" i="14" l="1"/>
  <c r="J44" i="14" s="1"/>
  <c r="J257" i="10"/>
  <c r="M257" i="10" s="1"/>
  <c r="M258" i="10" s="1"/>
  <c r="J256" i="13"/>
  <c r="I257" i="13"/>
  <c r="J257" i="13" s="1"/>
  <c r="I277" i="13"/>
  <c r="I23" i="14"/>
  <c r="I24" i="14" s="1"/>
  <c r="J24" i="14" s="1"/>
  <c r="J277" i="11"/>
  <c r="I278" i="11"/>
  <c r="I282" i="11" s="1"/>
  <c r="J76" i="14"/>
  <c r="I77" i="14"/>
  <c r="J77" i="14" s="1"/>
  <c r="J278" i="10"/>
  <c r="I279" i="10"/>
  <c r="I45" i="14" l="1"/>
  <c r="J45" i="14" s="1"/>
  <c r="G131" i="14"/>
  <c r="G137" i="14"/>
  <c r="G141" i="14"/>
  <c r="E132" i="14"/>
  <c r="E133" i="14"/>
  <c r="E138" i="14"/>
  <c r="E139" i="14"/>
  <c r="E141" i="14"/>
  <c r="F135" i="14"/>
  <c r="F137" i="14"/>
  <c r="F134" i="14"/>
  <c r="F141" i="14"/>
  <c r="N257" i="10"/>
  <c r="J23" i="14"/>
  <c r="J277" i="13"/>
  <c r="I278" i="13"/>
  <c r="I91" i="14"/>
  <c r="C308" i="11"/>
  <c r="G308" i="11" s="1"/>
  <c r="I282" i="10"/>
  <c r="J279" i="10"/>
  <c r="J282" i="10" s="1"/>
  <c r="C304" i="10"/>
  <c r="I304" i="10" s="1"/>
  <c r="I283" i="10"/>
  <c r="J278" i="11"/>
  <c r="J282" i="11" s="1"/>
  <c r="I281" i="11"/>
  <c r="N258" i="10" l="1"/>
  <c r="I308" i="10"/>
  <c r="I307" i="10"/>
  <c r="I137" i="14"/>
  <c r="I97" i="14"/>
  <c r="C308" i="13"/>
  <c r="G308" i="13" s="1"/>
  <c r="I282" i="13"/>
  <c r="J278" i="13"/>
  <c r="I281" i="13"/>
  <c r="J281" i="11"/>
  <c r="C291" i="11"/>
  <c r="J283" i="10"/>
  <c r="C291" i="13" l="1"/>
  <c r="J281" i="13"/>
  <c r="I98" i="14"/>
  <c r="J97" i="14"/>
  <c r="J282" i="13"/>
  <c r="I141" i="14" l="1"/>
  <c r="J98" i="14"/>
  <c r="C151" i="14" s="1"/>
  <c r="D152" i="14" l="1"/>
  <c r="D153" i="14"/>
  <c r="F164" i="14" s="1"/>
  <c r="I176" i="14" l="1"/>
  <c r="E176" i="14"/>
  <c r="G172" i="14"/>
  <c r="F176" i="14"/>
  <c r="E166" i="14"/>
  <c r="I164" i="14"/>
  <c r="H173" i="14"/>
  <c r="F172" i="14"/>
  <c r="E165" i="14"/>
  <c r="H174" i="14"/>
  <c r="H166" i="14"/>
  <c r="E174" i="14"/>
  <c r="G176" i="14"/>
  <c r="I172" i="14"/>
  <c r="G164" i="14"/>
  <c r="H176" i="14"/>
  <c r="E164" i="14"/>
  <c r="E172" i="14"/>
  <c r="H165" i="14"/>
  <c r="E17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NERA Jan 2016 update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</authors>
  <commentList>
    <comment ref="R6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2963</author>
  </authors>
  <commentList>
    <comment ref="R6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D7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NERA
</t>
        </r>
        <r>
          <rPr>
            <sz val="8"/>
            <color indexed="81"/>
            <rFont val="Tahoma"/>
            <family val="2"/>
          </rPr>
          <t>Summer: 201406-201609
Winter:201403-201702</t>
        </r>
      </text>
    </comment>
  </commentList>
</comments>
</file>

<file path=xl/sharedStrings.xml><?xml version="1.0" encoding="utf-8"?>
<sst xmlns="http://schemas.openxmlformats.org/spreadsheetml/2006/main" count="1561" uniqueCount="325">
  <si>
    <t>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</si>
  <si>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</si>
  <si>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</si>
  <si>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</si>
  <si>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</si>
  <si>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</si>
  <si>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</si>
  <si>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</si>
  <si>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</si>
  <si>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</si>
  <si>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</si>
  <si>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</si>
  <si>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</si>
  <si>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</si>
  <si>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On-Peak</t>
  </si>
  <si>
    <t>Off-Peak</t>
  </si>
  <si>
    <t>Annual</t>
  </si>
  <si>
    <t>Summer - all hrs</t>
  </si>
  <si>
    <t>Winter - all hrs</t>
  </si>
  <si>
    <t>Forwards Prices - Energy Only @ bulk system</t>
  </si>
  <si>
    <t>Expansion Factor =</t>
  </si>
  <si>
    <t>in $/MWh</t>
  </si>
  <si>
    <t>Losses</t>
  </si>
  <si>
    <t>Loss Factors =</t>
  </si>
  <si>
    <t>Profile Meter Data</t>
  </si>
  <si>
    <t>Summer</t>
  </si>
  <si>
    <t>Winter</t>
  </si>
  <si>
    <t>On-Peak periods defined as the 16 hr PJM Trading period, adj for NERC holidays</t>
  </si>
  <si>
    <t>winter MWh =</t>
  </si>
  <si>
    <t>summer MWh =</t>
  </si>
  <si>
    <t>Table #1</t>
  </si>
  <si>
    <t>Table #2</t>
  </si>
  <si>
    <t>Table #5</t>
  </si>
  <si>
    <t>Table #6</t>
  </si>
  <si>
    <t>Table #7</t>
  </si>
  <si>
    <t>Table #8</t>
  </si>
  <si>
    <t>Table #3</t>
  </si>
  <si>
    <t>Table #4</t>
  </si>
  <si>
    <t>in MWh</t>
  </si>
  <si>
    <t>N/A</t>
  </si>
  <si>
    <t>----</t>
  </si>
  <si>
    <t>PJM on pk</t>
  </si>
  <si>
    <t>PJM off pk</t>
  </si>
  <si>
    <t>in $1000</t>
  </si>
  <si>
    <t>System Total</t>
  </si>
  <si>
    <t>Adjusted to Billing Time Periods</t>
  </si>
  <si>
    <t>On-Peak periods as defined in specified rate schedule</t>
  </si>
  <si>
    <t>% Usage During PJM On-Peak Period</t>
  </si>
  <si>
    <t>Class Usage @ customer</t>
  </si>
  <si>
    <t>Summary of Average BGS Energy Only Costs @ customer - PJM Time Periods</t>
  </si>
  <si>
    <t>Development of Post Transition Period BGS Cost and Bid Factors</t>
  </si>
  <si>
    <t>Summary of Average BGS Energy Only Unit Costs @ customer - PJM Time Periods</t>
  </si>
  <si>
    <t>RT</t>
  </si>
  <si>
    <t>GS</t>
  </si>
  <si>
    <t>GST</t>
  </si>
  <si>
    <t>OL/SL</t>
  </si>
  <si>
    <t>Other Analysis</t>
  </si>
  <si>
    <t>% Usage During JCP&amp;L On-Peak Billing Period</t>
  </si>
  <si>
    <t>Delta between PJM and Tariff based On-Peak kWh</t>
  </si>
  <si>
    <t>WH</t>
  </si>
  <si>
    <t>RGT</t>
  </si>
  <si>
    <t>RT{1}</t>
  </si>
  <si>
    <t>RS{2}</t>
  </si>
  <si>
    <t>WH RS</t>
  </si>
  <si>
    <t>WH GS</t>
  </si>
  <si>
    <t>GS{3}</t>
  </si>
  <si>
    <t xml:space="preserve">{2} For BGS purposes the RS rate class excludes the Off-Peak and Controlled Water Heating provisions and includes  </t>
  </si>
  <si>
    <t xml:space="preserve">     the winter billing month RGT rate class usage</t>
  </si>
  <si>
    <t>{3} For BGS purposes the GS rate class excludes the Off-Peak and Controlled Water Heating provisions</t>
  </si>
  <si>
    <t xml:space="preserve">Jersey Central Power &amp; Light </t>
  </si>
  <si>
    <t>Table #9</t>
  </si>
  <si>
    <t>Summary of Average BGS Energy Only Unit Costs @ customer - JCP&amp;L Time Periods</t>
  </si>
  <si>
    <t>JCP&amp;L On pk</t>
  </si>
  <si>
    <t>JCP&amp;L Off pk</t>
  </si>
  <si>
    <t>Annual Average</t>
  </si>
  <si>
    <t>System Average</t>
  </si>
  <si>
    <t>Table #10</t>
  </si>
  <si>
    <t>in MW</t>
  </si>
  <si>
    <t>Gen Obl - MW</t>
  </si>
  <si>
    <t>Trans Obl - MW</t>
  </si>
  <si>
    <t xml:space="preserve">Not applicable for JCP&amp;L - Transmission rates are based on Retail Tariff rates for the respective rate classes 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</si>
  <si>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</si>
  <si>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</si>
  <si>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</si>
  <si>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</si>
  <si>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</si>
  <si>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</si>
  <si>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</si>
  <si>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$/MW/day</t>
  </si>
  <si>
    <t>Table #11</t>
  </si>
  <si>
    <t>Ancillary Services</t>
  </si>
  <si>
    <t>forecasted overall annual average</t>
  </si>
  <si>
    <t>$/MWh</t>
  </si>
  <si>
    <t>Table #12</t>
  </si>
  <si>
    <t>Transmission Obl - all months</t>
  </si>
  <si>
    <t>Table #13</t>
  </si>
  <si>
    <t>Summary of BGS Unit Costs @ customer</t>
  </si>
  <si>
    <t>NON-DEMAND RATES</t>
  </si>
  <si>
    <t>Annual -all hrs</t>
  </si>
  <si>
    <t>DEMAND RATES</t>
  </si>
  <si>
    <t>includes energy and Ancillary Services, G&amp;T obligations charged separately - adjusted to billing time periods</t>
  </si>
  <si>
    <t>JCP&amp;L does not have a demand component in its BGS charges</t>
  </si>
  <si>
    <t>ALL RATES</t>
  </si>
  <si>
    <t>Grand Total Cost in $1000 =</t>
  </si>
  <si>
    <t>All-In Average costs @ bulk system =</t>
  </si>
  <si>
    <t>per MWh at bulk system (per bulk system metered MWh)</t>
  </si>
  <si>
    <t>Table #14</t>
  </si>
  <si>
    <t>Annual - all hrs</t>
  </si>
  <si>
    <t>Assumptions:</t>
  </si>
  <si>
    <t>Analysis time period =</t>
  </si>
  <si>
    <t>summer months</t>
  </si>
  <si>
    <t>winter months</t>
  </si>
  <si>
    <t>Ancillary Services =</t>
  </si>
  <si>
    <t>per MWh</t>
  </si>
  <si>
    <t>Energy Costs =</t>
  </si>
  <si>
    <t>Usage patterns =</t>
  </si>
  <si>
    <t>Obligations =</t>
  </si>
  <si>
    <t>Losses =</t>
  </si>
  <si>
    <t>PJM Time Periods =</t>
  </si>
  <si>
    <t xml:space="preserve">     holidays - New Year's, Memorial, 4th of July, Labor Day, Thanksgiving &amp; Christmas</t>
  </si>
  <si>
    <t>JCP&amp;L Billing time periods =</t>
  </si>
  <si>
    <t>GST On-peak hours are 8 am to 8 pm prevailing time, Monday through Friday.</t>
  </si>
  <si>
    <t>MWhs in PJM time periods</t>
  </si>
  <si>
    <t>Difference in MWhs</t>
  </si>
  <si>
    <t>Check on total $ recovered</t>
  </si>
  <si>
    <t>PJM time periods (Table #8)</t>
  </si>
  <si>
    <t>MWhs in JCP&amp;L time periods</t>
  </si>
  <si>
    <t>(PJM - JCP&amp;L)</t>
  </si>
  <si>
    <t>JCP&amp;L time periods</t>
  </si>
  <si>
    <t>Tariff Based kWh</t>
  </si>
  <si>
    <t>PJM based kWh</t>
  </si>
  <si>
    <t>Generation Obl $/MWh - all months</t>
  </si>
  <si>
    <t>Generation Capacity Cost =</t>
  </si>
  <si>
    <t>Table #15</t>
  </si>
  <si>
    <t>Total Costs by Rate - in $1000</t>
  </si>
  <si>
    <t>Total Costs - in $1000</t>
  </si>
  <si>
    <t>% of Annual Total $</t>
  </si>
  <si>
    <t>per MWh @ bulk system</t>
  </si>
  <si>
    <t>Table #16</t>
  </si>
  <si>
    <t>Generation &amp; Transmission Obligations and Costs and Other Adjustments</t>
  </si>
  <si>
    <t>Charges</t>
  </si>
  <si>
    <t>% usage</t>
  </si>
  <si>
    <t>Block 1 (0-600 kWh/m)</t>
  </si>
  <si>
    <t>¢/kWh</t>
  </si>
  <si>
    <t>Block 2 (&gt;600 kWh/m)</t>
  </si>
  <si>
    <t>off-peak=&gt;</t>
  </si>
  <si>
    <t>on-peak=&gt;</t>
  </si>
  <si>
    <t>On-peak kWh=&gt;</t>
  </si>
  <si>
    <t>Winter MWh =&gt;</t>
  </si>
  <si>
    <t>Summer MWh =&gt;</t>
  </si>
  <si>
    <t>Associated $=&gt;</t>
  </si>
  <si>
    <t>First Block (0-600 kWh/month)=&gt;</t>
  </si>
  <si>
    <t>Second Block (&gt;600 kWh/month)=&gt;</t>
  </si>
  <si>
    <t>Residential summer BGS + Transmission charge differential</t>
  </si>
  <si>
    <t>per BPU and summer blocking percentages</t>
  </si>
  <si>
    <t>Differential (Excl. SUT)</t>
  </si>
  <si>
    <t>Constant for Block 1 (0-600 kWh/m) usage (Excl. SUT)</t>
  </si>
  <si>
    <t>Constant for Block 2 (&gt;600 kWh/m) usage (Excl. SUT)</t>
  </si>
  <si>
    <t>Transmission charges will be based on Retail Tariff rates for the applicable rate schedules</t>
  </si>
  <si>
    <t>Transmission cost =</t>
  </si>
  <si>
    <t>per MW day Summer</t>
  </si>
  <si>
    <t>per MW day Winter</t>
  </si>
  <si>
    <t>Summer Total</t>
  </si>
  <si>
    <t>Winter Total</t>
  </si>
  <si>
    <t>Annual Total</t>
  </si>
  <si>
    <t>TOTAL</t>
  </si>
  <si>
    <t xml:space="preserve"> Consistent with Losses as approved by the BPU</t>
  </si>
  <si>
    <t>Summary of Obligation Costs Expressed as $/MWh @ customer</t>
  </si>
  <si>
    <t>Summary of Total Estimated BGS Costs by Season</t>
  </si>
  <si>
    <t>Off/On Pk</t>
  </si>
  <si>
    <t>LMP ratio</t>
  </si>
  <si>
    <t>based on Forwards prices corrected for zone-hub differential and losses - PJM time periods</t>
  </si>
  <si>
    <t>based on Forwards prices corrected for zone-hub differential and losses</t>
  </si>
  <si>
    <t>based on Forwards prices corrected for zone-hub differential and losses - JCP&amp;L billing time periods</t>
  </si>
  <si>
    <t>Based on 3 Year Average</t>
  </si>
  <si>
    <t>Zone-Hub Basis Differential</t>
  </si>
  <si>
    <t>Ratio to All-In Cost (rounded to 4 decimal places)</t>
  </si>
  <si>
    <t>&lt;=on-peak=&gt;</t>
  </si>
  <si>
    <t>&lt;=off-peak=&gt;</t>
  </si>
  <si>
    <t xml:space="preserve">RT Less </t>
  </si>
  <si>
    <t>Water Heating</t>
  </si>
  <si>
    <t>OPWH</t>
  </si>
  <si>
    <t>CTWH RS</t>
  </si>
  <si>
    <t>CTWH RSH</t>
  </si>
  <si>
    <t>CTWH GS</t>
  </si>
  <si>
    <t>CTWH Total</t>
  </si>
  <si>
    <t>WH On</t>
  </si>
  <si>
    <t>Attachment 2</t>
  </si>
  <si>
    <t>The Holidays identified by PJM are not excluded from the RT or GST Billing On-Peak kWh.</t>
  </si>
  <si>
    <t>RT On-peak hours are 8 am to 8 pm Eastern Standard Time, Monday through Friday.</t>
  </si>
  <si>
    <t>(data rounded to nearest .01 %)</t>
  </si>
  <si>
    <t>Average</t>
  </si>
  <si>
    <t>For Calculation</t>
  </si>
  <si>
    <t>On-Peak=&gt;</t>
  </si>
  <si>
    <t>Off-Peak=&gt;</t>
  </si>
  <si>
    <t>Average=&gt;</t>
  </si>
  <si>
    <t>For Proof</t>
  </si>
  <si>
    <t>Proof</t>
  </si>
  <si>
    <t>Generation Obl $/MWh - Summer - All Hours</t>
  </si>
  <si>
    <t>Generation Obl $/MWh - Summer - On-Peak Hours</t>
  </si>
  <si>
    <t>Generation Obl $/MWh - Winter - On-Peak Hours</t>
  </si>
  <si>
    <t>Generation Obl $/MWh - Winter - All Hours</t>
  </si>
  <si>
    <t>{1} For BGS purposes the RT rate class includes the RS and GS rate class Off-Peak (OPWH) and Controlled Water Heating (CTWH) provisions.  The RT rate class also includes the</t>
  </si>
  <si>
    <t>GST {4}</t>
  </si>
  <si>
    <t>CTWH</t>
  </si>
  <si>
    <t>On-Peak PJM</t>
  </si>
  <si>
    <t>Hours Mon=&gt;Fri</t>
  </si>
  <si>
    <t>On-peak</t>
  </si>
  <si>
    <t>Hours</t>
  </si>
  <si>
    <t>%</t>
  </si>
  <si>
    <t>Average Daily</t>
  </si>
  <si>
    <t>WH Off</t>
  </si>
  <si>
    <t>% usage during Off-Peak period</t>
  </si>
  <si>
    <t xml:space="preserve">  summer billing month RGT rate class usage.  OPWH and CTWH is billed on the average RT rates, while RT and Summer RGT use is billed at on-peak and off-peak rates.</t>
  </si>
  <si>
    <t xml:space="preserve"> PJM trading time periods - 7 AM to 11 PM weekdays, local time, excluding NERC </t>
  </si>
  <si>
    <t>1st</t>
  </si>
  <si>
    <t>2nd</t>
  </si>
  <si>
    <t>total</t>
  </si>
  <si>
    <t>Adjusted</t>
  </si>
  <si>
    <t>includes energy, Generation and Transmission obligations, and Ancillary Services - adjusted to billing time periods</t>
  </si>
  <si>
    <t>Seasonal Payment Factors</t>
  </si>
  <si>
    <t>Seasonal</t>
  </si>
  <si>
    <t>Initial</t>
  </si>
  <si>
    <t>Adjustment</t>
  </si>
  <si>
    <t>Factor</t>
  </si>
  <si>
    <t>Calculation</t>
  </si>
  <si>
    <t>Seasonally Adjusted Summer Payment</t>
  </si>
  <si>
    <t>Price per MWH</t>
  </si>
  <si>
    <t>Seasonally Adjusted Winter Payment</t>
  </si>
  <si>
    <t>Units</t>
  </si>
  <si>
    <t>Seasonal Units</t>
  </si>
  <si>
    <t>Payment</t>
  </si>
  <si>
    <t>Customer Costs Per Allocation Matrix</t>
  </si>
  <si>
    <r>
      <t xml:space="preserve">Supplier Payment </t>
    </r>
    <r>
      <rPr>
        <sz val="10"/>
        <rFont val="Arial"/>
        <family val="2"/>
      </rPr>
      <t>in $1000</t>
    </r>
  </si>
  <si>
    <t>Total Supplier Payment</t>
  </si>
  <si>
    <t>Adjustment Factor Calculation</t>
  </si>
  <si>
    <t>Allocated Customer Costs on a per MWh basis (on bulk system MWhs):</t>
  </si>
  <si>
    <t>Supplier</t>
  </si>
  <si>
    <t>in $1,000's</t>
  </si>
  <si>
    <t>Composite (Tranche Weighted) Costs</t>
  </si>
  <si>
    <t>Units @ Customer</t>
  </si>
  <si>
    <t>in kWh</t>
  </si>
  <si>
    <t>Table #17</t>
  </si>
  <si>
    <t>Table #18</t>
  </si>
  <si>
    <t>Table #19</t>
  </si>
  <si>
    <t>Table #16 &amp; Table #17</t>
  </si>
  <si>
    <t>Bulk System Costs</t>
  </si>
  <si>
    <t>Customer &amp; Bulk System Costs</t>
  </si>
  <si>
    <t>includes energy, Generation &amp; Transmission obligations, and Ancillary Services - adjusted to billing time periods</t>
  </si>
  <si>
    <t>includes Energy, Generation &amp; Transmission obligations, and Ancillary Services - adjusted to billing time periods</t>
  </si>
  <si>
    <t xml:space="preserve"> Based on Forwards prices @ PJM West corrected for hub-zone basis differential (both based on the figures used to derive the </t>
  </si>
  <si>
    <t>kWh</t>
  </si>
  <si>
    <r>
      <t>Deli</t>
    </r>
    <r>
      <rPr>
        <b/>
        <sz val="10"/>
        <color indexed="20"/>
        <rFont val="Arial"/>
        <family val="2"/>
      </rPr>
      <t>very</t>
    </r>
    <r>
      <rPr>
        <b/>
        <sz val="10"/>
        <color indexed="17"/>
        <rFont val="Arial"/>
        <family val="2"/>
      </rPr>
      <t xml:space="preserve"> kWh</t>
    </r>
  </si>
  <si>
    <t>RSH</t>
  </si>
  <si>
    <t>Total RS</t>
  </si>
  <si>
    <t xml:space="preserve"> </t>
  </si>
  <si>
    <t>Table #C1</t>
  </si>
  <si>
    <t>Table #C2</t>
  </si>
  <si>
    <t>Table #C3</t>
  </si>
  <si>
    <t>Table #C4</t>
  </si>
  <si>
    <t>Table #C5</t>
  </si>
  <si>
    <t>Table #C6</t>
  </si>
  <si>
    <t>Table #C7</t>
  </si>
  <si>
    <t>WH Average =&gt;</t>
  </si>
  <si>
    <t>WH Average=&gt;</t>
  </si>
  <si>
    <t>JC Tariff Based mWh</t>
  </si>
  <si>
    <t>Expansion Factor to Transmission Nodes =</t>
  </si>
  <si>
    <t>Loss Factors from Transmission Nodes =</t>
  </si>
  <si>
    <t>per MWh at transmission nodes (per transmission nodes metered MWh)</t>
  </si>
  <si>
    <t>All-In Average costs @ transmission nodes =</t>
  </si>
  <si>
    <t xml:space="preserve">PJM Marginal Losses = </t>
  </si>
  <si>
    <t>PJM's calculated mean value of hourly marginal loss factor</t>
  </si>
  <si>
    <t>Ratio of BGS Unit Costs @ customer to All-In Average Cost @ transmission nodes (rounded to 3 decimal places)</t>
  </si>
  <si>
    <t xml:space="preserve">Loss = </t>
  </si>
  <si>
    <t>Consistent with Losses as approved by the BPU</t>
  </si>
  <si>
    <t xml:space="preserve">         If total $ were split on a per MWh basis (on bulk nodes MWhs):</t>
  </si>
  <si>
    <t>@ Bulk mwh</t>
  </si>
  <si>
    <t>@ Transmission</t>
  </si>
  <si>
    <t>Loss Factors @ Bulk =</t>
  </si>
  <si>
    <t>Expansion Factors @ Bulk =</t>
  </si>
  <si>
    <t>Loss Factors @ Transmission Node =</t>
  </si>
  <si>
    <t>Expansion Factors @ Transmission Node =</t>
  </si>
  <si>
    <t>RS Excluding</t>
  </si>
  <si>
    <t>RT\RGT\WH</t>
  </si>
  <si>
    <t>Size of Tranches =</t>
  </si>
  <si>
    <t>Total GS (incl WH)</t>
  </si>
  <si>
    <r>
      <t xml:space="preserve">{4} The GS and GST units exclude the units associated with the </t>
    </r>
    <r>
      <rPr>
        <sz val="10"/>
        <color indexed="12"/>
        <rFont val="Arial"/>
        <family val="2"/>
      </rPr>
      <t xml:space="preserve">500 </t>
    </r>
    <r>
      <rPr>
        <sz val="10"/>
        <rFont val="Arial"/>
        <family val="2"/>
      </rPr>
      <t>kW and above PLS accounts that will be required to take service under BGS-CIEP</t>
    </r>
  </si>
  <si>
    <t>WH OnPeak MWH</t>
  </si>
  <si>
    <t>WH OffPeak MWH</t>
  </si>
  <si>
    <t xml:space="preserve">  </t>
  </si>
  <si>
    <t>BGS-RSCP</t>
  </si>
  <si>
    <t>BGS-RSCP Composite Cost Allocation</t>
  </si>
  <si>
    <t>Ratio to All-In Cost (If Winter is greater than Summer)</t>
  </si>
  <si>
    <t>2017/2018 BGS Supply Period Estimated Supplier Payments Allocated by Rate Class</t>
  </si>
  <si>
    <t>Post Transition Year 15 Costs</t>
  </si>
  <si>
    <t>Total Forecasted Ancillary Services &amp; Renewable Power Costs</t>
  </si>
  <si>
    <t>Forecasted Ancillary Services Cost</t>
  </si>
  <si>
    <t>Ancillary Services and Renewable Power Cost =</t>
  </si>
  <si>
    <t>Renewable Portfolio Standard Cost</t>
  </si>
  <si>
    <t>NJ Sales and Use Tax (SUT) =</t>
  </si>
  <si>
    <t>SUT excluded from all costs</t>
  </si>
  <si>
    <t>2018/2019 BGS Supply Period Estimated Supplier Payments Allocated by Rate Class</t>
  </si>
  <si>
    <t>RT (w/o RGT)</t>
  </si>
  <si>
    <t>Not Applicable to 2018/2019 BGS Supply Period</t>
  </si>
  <si>
    <r>
      <t xml:space="preserve"> based on </t>
    </r>
    <r>
      <rPr>
        <sz val="10"/>
        <color indexed="12"/>
        <rFont val="Arial"/>
        <family val="2"/>
      </rPr>
      <t xml:space="preserve">6/18 to 5/19 </t>
    </r>
    <r>
      <rPr>
        <sz val="10"/>
        <rFont val="Arial"/>
        <family val="2"/>
      </rPr>
      <t>Forwards @ PJM West corrected for hub-zone basis differential</t>
    </r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</si>
  <si>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>15</t>
    </r>
    <r>
      <rPr>
        <sz val="10"/>
        <rFont val="Arial"/>
        <family val="2"/>
      </rPr>
      <t xml:space="preserve"> and adjusted to match the total cost at the actual supplier bid price.</t>
    </r>
  </si>
  <si>
    <t>Post Transition Year 15 Bid price</t>
  </si>
  <si>
    <t>Post Transition Year 16 Costs</t>
  </si>
  <si>
    <r>
      <t>calendar month sales forecasted for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2018</t>
    </r>
  </si>
  <si>
    <t>Forecast 2018 Delivery MWh</t>
  </si>
  <si>
    <r>
      <t xml:space="preserve">Forecasted </t>
    </r>
    <r>
      <rPr>
        <i/>
        <sz val="10"/>
        <color indexed="12"/>
        <rFont val="Arial"/>
        <family val="2"/>
      </rPr>
      <t xml:space="preserve">2018 </t>
    </r>
    <r>
      <rPr>
        <i/>
        <sz val="10"/>
        <rFont val="Arial"/>
        <family val="2"/>
      </rPr>
      <t>in kWh</t>
    </r>
  </si>
  <si>
    <r>
      <t xml:space="preserve">obligations - annual average forecasted for </t>
    </r>
    <r>
      <rPr>
        <i/>
        <sz val="10"/>
        <color indexed="12"/>
        <rFont val="Arial"/>
        <family val="2"/>
      </rPr>
      <t>2018</t>
    </r>
    <r>
      <rPr>
        <i/>
        <sz val="10"/>
        <rFont val="Arial"/>
        <family val="2"/>
      </rPr>
      <t>; costs are market estimates</t>
    </r>
  </si>
  <si>
    <t>mWh</t>
  </si>
  <si>
    <t>Post Transition Year 16 Bid price</t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</si>
  <si>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 xml:space="preserve">16 </t>
    </r>
    <r>
      <rPr>
        <sz val="10"/>
        <rFont val="Arial"/>
        <family val="2"/>
      </rPr>
      <t>and adjusted to match the total cost at the actual supplier bid price.</t>
    </r>
  </si>
  <si>
    <t>Post Transition Year 17 Costs</t>
  </si>
  <si>
    <t>2019 BGS Auction Cost and Bid Factor Tables</t>
  </si>
  <si>
    <t>2019/2020 BGS Supply Period Estimated Supplier Payments Allocated by Rate Class</t>
  </si>
  <si>
    <r>
      <t xml:space="preserve">2018 </t>
    </r>
    <r>
      <rPr>
        <i/>
        <sz val="10"/>
        <rFont val="Arial"/>
        <family val="2"/>
      </rPr>
      <t>Forecasted Calendar Month Sales</t>
    </r>
  </si>
  <si>
    <r>
      <t xml:space="preserve">Based on an average of </t>
    </r>
    <r>
      <rPr>
        <i/>
        <sz val="10"/>
        <color indexed="12"/>
        <rFont val="Arial"/>
        <family val="2"/>
      </rPr>
      <t>2015</t>
    </r>
    <r>
      <rPr>
        <i/>
        <sz val="10"/>
        <rFont val="Arial"/>
        <family val="2"/>
      </rPr>
      <t xml:space="preserve"> through </t>
    </r>
    <r>
      <rPr>
        <i/>
        <sz val="10"/>
        <color indexed="12"/>
        <rFont val="Arial"/>
        <family val="2"/>
      </rPr>
      <t>2017</t>
    </r>
    <r>
      <rPr>
        <i/>
        <sz val="10"/>
        <rFont val="Arial"/>
        <family val="2"/>
      </rPr>
      <t xml:space="preserve"> Load Profile Information</t>
    </r>
  </si>
  <si>
    <r>
      <t xml:space="preserve"> forecasted </t>
    </r>
    <r>
      <rPr>
        <sz val="10"/>
        <color indexed="12"/>
        <rFont val="Arial"/>
        <family val="2"/>
      </rPr>
      <t>2018</t>
    </r>
    <r>
      <rPr>
        <sz val="10"/>
        <rFont val="Arial"/>
        <family val="2"/>
      </rPr>
      <t xml:space="preserve"> energy use by class based upon PJM on/off % from </t>
    </r>
    <r>
      <rPr>
        <sz val="10"/>
        <color indexed="12"/>
        <rFont val="Arial"/>
        <family val="2"/>
      </rPr>
      <t>2015 through 2017</t>
    </r>
    <r>
      <rPr>
        <sz val="10"/>
        <rFont val="Arial"/>
        <family val="2"/>
      </rPr>
      <t xml:space="preserve"> class load profiles</t>
    </r>
  </si>
  <si>
    <r>
      <t xml:space="preserve">   JCP&amp;L billing on/off % from </t>
    </r>
    <r>
      <rPr>
        <sz val="10"/>
        <color indexed="12"/>
        <rFont val="Arial"/>
        <family val="2"/>
      </rPr>
      <t>2018</t>
    </r>
    <r>
      <rPr>
        <sz val="10"/>
        <rFont val="Arial"/>
        <family val="2"/>
      </rPr>
      <t xml:space="preserve"> forecasted billing determinants</t>
    </r>
  </si>
  <si>
    <r>
      <t xml:space="preserve"> class totals for </t>
    </r>
    <r>
      <rPr>
        <sz val="10"/>
        <color indexed="12"/>
        <rFont val="Arial"/>
        <family val="2"/>
      </rPr>
      <t>2018</t>
    </r>
    <r>
      <rPr>
        <sz val="10"/>
        <rFont val="Arial"/>
        <family val="2"/>
      </rPr>
      <t xml:space="preserve"> excluding accounts required to take service under BGS-CIEP as of </t>
    </r>
    <r>
      <rPr>
        <sz val="10"/>
        <color indexed="12"/>
        <rFont val="Arial"/>
        <family val="2"/>
      </rPr>
      <t>June 1, 2019</t>
    </r>
  </si>
  <si>
    <t>Exc. CIEP mWh</t>
  </si>
  <si>
    <t>Migration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</si>
</sst>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%"/>
    <numFmt numFmtId="169" formatCode="0.0000%"/>
    <numFmt numFmtId="170" formatCode="#,##0.0"/>
    <numFmt numFmtId="171" formatCode="_(&quot;$&quot;* #,##0_);_(&quot;$&quot;* \(#,##0\);_(&quot;$&quot;* &quot;-&quot;??_);_(@_)"/>
    <numFmt numFmtId="172" formatCode="0.00000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0.0%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#,##0.000"/>
    <numFmt numFmtId="181" formatCode="_(* #,##0.000000_);_(* \(#,##0.000000\);_(* &quot;-&quot;??_);_(@_)"/>
    <numFmt numFmtId="182" formatCode="0.000000%"/>
    <numFmt numFmtId="183" formatCode="mm/dd/yy;@"/>
    <numFmt numFmtId="184" formatCode="&quot;$&quot;#,##0"/>
    <numFmt numFmtId="185" formatCode="&quot;$&quot;#,##0.00"/>
    <numFmt numFmtId="186" formatCode="#,##0.000000_);\(#,##0.000000\)"/>
    <numFmt numFmtId="187" formatCode="_(* #,##0.0_);_(* \(#,##0.0\);_(* &quot;-&quot;??_);_(@_)"/>
    <numFmt numFmtId="188" formatCode="&quot;$&quot;#,##0.00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54"/>
      <name val="Arial"/>
      <family val="2"/>
    </font>
    <font>
      <u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53"/>
      <name val="Arial"/>
      <family val="2"/>
    </font>
    <font>
      <u/>
      <sz val="10"/>
      <color indexed="53"/>
      <name val="Arial"/>
      <family val="2"/>
    </font>
    <font>
      <u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10"/>
      <color indexed="20"/>
      <name val="Arial"/>
      <family val="2"/>
    </font>
    <font>
      <b/>
      <i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7"/>
      <name val="Arial"/>
      <family val="2"/>
    </font>
    <font>
      <u/>
      <sz val="10"/>
      <color indexed="17"/>
      <name val="Arial"/>
      <family val="2"/>
    </font>
    <font>
      <sz val="9"/>
      <color indexed="81"/>
      <name val="Tahoma"/>
      <family val="2"/>
    </font>
    <font>
      <sz val="10"/>
      <color indexed="30"/>
      <name val="Arial"/>
      <family val="2"/>
    </font>
    <font>
      <u/>
      <sz val="10"/>
      <color indexed="16"/>
      <name val="Arial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sz val="10"/>
      <color theme="9" tint="-0.499984740745262"/>
      <name val="Arial"/>
      <family val="2"/>
    </font>
    <font>
      <b/>
      <sz val="10"/>
      <color rgb="FF7030A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71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3" fillId="0" borderId="0" xfId="1" quotePrefix="1" applyFont="1"/>
    <xf numFmtId="0" fontId="10" fillId="0" borderId="0" xfId="0" applyFont="1"/>
    <xf numFmtId="44" fontId="5" fillId="0" borderId="0" xfId="2" applyNumberFormat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quotePrefix="1" applyFont="1" applyFill="1" applyBorder="1"/>
    <xf numFmtId="39" fontId="3" fillId="0" borderId="0" xfId="0" quotePrefix="1" applyNumberFormat="1" applyFont="1" applyFill="1"/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quotePrefix="1" applyFont="1" applyFill="1"/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" fontId="0" fillId="0" borderId="0" xfId="0" applyNumberFormat="1" applyFill="1"/>
    <xf numFmtId="175" fontId="5" fillId="0" borderId="0" xfId="3" applyNumberFormat="1" applyFont="1" applyFill="1"/>
    <xf numFmtId="175" fontId="5" fillId="0" borderId="0" xfId="3" quotePrefix="1" applyNumberFormat="1" applyFont="1" applyFill="1"/>
    <xf numFmtId="9" fontId="5" fillId="0" borderId="0" xfId="3" quotePrefix="1" applyFont="1" applyFill="1"/>
    <xf numFmtId="9" fontId="3" fillId="0" borderId="0" xfId="3" quotePrefix="1" applyFont="1" applyFill="1"/>
    <xf numFmtId="9" fontId="5" fillId="0" borderId="0" xfId="3" applyNumberFormat="1" applyFont="1" applyFill="1"/>
    <xf numFmtId="9" fontId="6" fillId="0" borderId="0" xfId="3" applyFont="1" applyFill="1"/>
    <xf numFmtId="9" fontId="5" fillId="0" borderId="0" xfId="3" quotePrefix="1" applyFont="1" applyFill="1" applyAlignment="1">
      <alignment horizontal="center"/>
    </xf>
    <xf numFmtId="17" fontId="0" fillId="0" borderId="0" xfId="0" quotePrefix="1" applyNumberFormat="1" applyFill="1"/>
    <xf numFmtId="17" fontId="4" fillId="0" borderId="0" xfId="0" applyNumberFormat="1" applyFont="1" applyFill="1"/>
    <xf numFmtId="0" fontId="10" fillId="0" borderId="0" xfId="0" applyFont="1" applyFill="1" applyAlignment="1">
      <alignment horizontal="center"/>
    </xf>
    <xf numFmtId="17" fontId="6" fillId="0" borderId="0" xfId="0" applyNumberFormat="1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3" fontId="5" fillId="0" borderId="0" xfId="0" applyNumberFormat="1" applyFont="1" applyFill="1"/>
    <xf numFmtId="3" fontId="12" fillId="0" borderId="0" xfId="0" applyNumberFormat="1" applyFont="1" applyFill="1"/>
    <xf numFmtId="0" fontId="0" fillId="0" borderId="4" xfId="0" applyFill="1" applyBorder="1" applyAlignment="1">
      <alignment horizontal="right"/>
    </xf>
    <xf numFmtId="3" fontId="0" fillId="0" borderId="0" xfId="0" quotePrefix="1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0" fillId="0" borderId="0" xfId="0" applyNumberFormat="1" applyFill="1"/>
    <xf numFmtId="166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7" fontId="0" fillId="0" borderId="0" xfId="0" applyNumberFormat="1" applyFill="1" applyAlignment="1">
      <alignment horizontal="center"/>
    </xf>
    <xf numFmtId="37" fontId="0" fillId="0" borderId="0" xfId="0" applyNumberFormat="1" applyFill="1"/>
    <xf numFmtId="0" fontId="9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6" xfId="0" applyFill="1" applyBorder="1" applyAlignment="1">
      <alignment horizontal="right"/>
    </xf>
    <xf numFmtId="3" fontId="0" fillId="0" borderId="7" xfId="0" quotePrefix="1" applyNumberFormat="1" applyFill="1" applyBorder="1"/>
    <xf numFmtId="3" fontId="0" fillId="0" borderId="7" xfId="0" applyNumberFormat="1" applyFill="1" applyBorder="1"/>
    <xf numFmtId="180" fontId="5" fillId="0" borderId="0" xfId="0" applyNumberFormat="1" applyFont="1" applyFill="1"/>
    <xf numFmtId="171" fontId="0" fillId="0" borderId="0" xfId="0" applyNumberFormat="1" applyFill="1" applyBorder="1"/>
    <xf numFmtId="4" fontId="5" fillId="0" borderId="0" xfId="0" applyNumberFormat="1" applyFont="1" applyFill="1"/>
    <xf numFmtId="9" fontId="5" fillId="0" borderId="0" xfId="3" applyFont="1" applyFill="1"/>
    <xf numFmtId="0" fontId="0" fillId="0" borderId="0" xfId="0" applyFill="1" applyAlignment="1">
      <alignment horizontal="center"/>
    </xf>
    <xf numFmtId="169" fontId="5" fillId="0" borderId="0" xfId="0" applyNumberFormat="1" applyFont="1" applyFill="1"/>
    <xf numFmtId="166" fontId="0" fillId="0" borderId="0" xfId="0" applyNumberFormat="1" applyFill="1"/>
    <xf numFmtId="44" fontId="3" fillId="0" borderId="0" xfId="2" quotePrefix="1" applyFont="1" applyFill="1"/>
    <xf numFmtId="173" fontId="3" fillId="0" borderId="0" xfId="2" quotePrefix="1" applyNumberFormat="1" applyFont="1" applyFill="1"/>
    <xf numFmtId="171" fontId="3" fillId="0" borderId="0" xfId="2" quotePrefix="1" applyNumberFormat="1" applyFont="1" applyFill="1"/>
    <xf numFmtId="17" fontId="0" fillId="0" borderId="0" xfId="0" applyNumberFormat="1" applyFill="1" applyAlignment="1">
      <alignment horizontal="right"/>
    </xf>
    <xf numFmtId="44" fontId="3" fillId="0" borderId="0" xfId="2" applyFont="1" applyFill="1"/>
    <xf numFmtId="173" fontId="3" fillId="0" borderId="0" xfId="2" applyNumberFormat="1" applyFont="1" applyFill="1"/>
    <xf numFmtId="44" fontId="3" fillId="0" borderId="0" xfId="2" quotePrefix="1" applyNumberFormat="1" applyFont="1" applyFill="1"/>
    <xf numFmtId="171" fontId="0" fillId="0" borderId="0" xfId="0" applyNumberFormat="1" applyFill="1"/>
    <xf numFmtId="171" fontId="3" fillId="0" borderId="0" xfId="2" applyNumberFormat="1" applyFont="1" applyFill="1"/>
    <xf numFmtId="39" fontId="0" fillId="0" borderId="0" xfId="0" applyNumberFormat="1" applyFill="1"/>
    <xf numFmtId="171" fontId="0" fillId="0" borderId="0" xfId="2" applyNumberFormat="1" applyFont="1" applyFill="1"/>
    <xf numFmtId="171" fontId="14" fillId="0" borderId="0" xfId="2" applyNumberFormat="1" applyFont="1" applyFill="1"/>
    <xf numFmtId="170" fontId="5" fillId="0" borderId="0" xfId="0" applyNumberFormat="1" applyFont="1" applyFill="1"/>
    <xf numFmtId="170" fontId="0" fillId="0" borderId="0" xfId="0" applyNumberFormat="1" applyFill="1"/>
    <xf numFmtId="170" fontId="12" fillId="0" borderId="0" xfId="0" applyNumberFormat="1" applyFont="1" applyFill="1"/>
    <xf numFmtId="0" fontId="0" fillId="0" borderId="0" xfId="0" applyFill="1" applyAlignment="1">
      <alignment horizontal="right"/>
    </xf>
    <xf numFmtId="0" fontId="5" fillId="0" borderId="0" xfId="0" applyFont="1" applyFill="1"/>
    <xf numFmtId="0" fontId="0" fillId="0" borderId="0" xfId="0" quotePrefix="1" applyFill="1" applyAlignment="1">
      <alignment horizontal="right"/>
    </xf>
    <xf numFmtId="171" fontId="5" fillId="0" borderId="0" xfId="2" applyNumberFormat="1" applyFont="1" applyFill="1"/>
    <xf numFmtId="0" fontId="0" fillId="0" borderId="0" xfId="0" quotePrefix="1" applyFill="1"/>
    <xf numFmtId="0" fontId="3" fillId="0" borderId="0" xfId="0" quotePrefix="1" applyFont="1" applyFill="1" applyAlignment="1">
      <alignment horizontal="center"/>
    </xf>
    <xf numFmtId="44" fontId="0" fillId="0" borderId="0" xfId="2" quotePrefix="1" applyFont="1" applyFill="1"/>
    <xf numFmtId="0" fontId="10" fillId="0" borderId="0" xfId="0" applyFont="1" applyFill="1" applyAlignment="1">
      <alignment horizontal="left"/>
    </xf>
    <xf numFmtId="44" fontId="3" fillId="0" borderId="0" xfId="2" applyNumberFormat="1" applyFont="1" applyFill="1"/>
    <xf numFmtId="43" fontId="4" fillId="0" borderId="0" xfId="1" quotePrefix="1" applyFont="1" applyFill="1" applyBorder="1"/>
    <xf numFmtId="43" fontId="3" fillId="0" borderId="0" xfId="1" quotePrefix="1" applyFont="1" applyFill="1"/>
    <xf numFmtId="43" fontId="3" fillId="0" borderId="0" xfId="1" quotePrefix="1" applyFont="1" applyFill="1" applyBorder="1"/>
    <xf numFmtId="44" fontId="4" fillId="0" borderId="0" xfId="0" applyNumberFormat="1" applyFont="1" applyFill="1"/>
    <xf numFmtId="44" fontId="0" fillId="0" borderId="0" xfId="0" applyNumberFormat="1" applyFill="1"/>
    <xf numFmtId="43" fontId="3" fillId="0" borderId="0" xfId="1" applyFont="1" applyFill="1"/>
    <xf numFmtId="178" fontId="4" fillId="0" borderId="0" xfId="1" applyNumberFormat="1" applyFont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15" fillId="0" borderId="0" xfId="0" applyNumberFormat="1" applyFont="1" applyFill="1"/>
    <xf numFmtId="0" fontId="16" fillId="0" borderId="0" xfId="0" applyFont="1" applyFill="1"/>
    <xf numFmtId="10" fontId="0" fillId="0" borderId="0" xfId="0" applyNumberForma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0" fontId="17" fillId="0" borderId="0" xfId="0" applyFont="1" applyFill="1"/>
    <xf numFmtId="44" fontId="4" fillId="0" borderId="0" xfId="2" quotePrefix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0" fontId="12" fillId="0" borderId="0" xfId="0" applyNumberFormat="1" applyFont="1" applyFill="1"/>
    <xf numFmtId="174" fontId="3" fillId="0" borderId="0" xfId="2" quotePrefix="1" applyNumberFormat="1" applyFont="1" applyFill="1"/>
    <xf numFmtId="22" fontId="0" fillId="0" borderId="0" xfId="0" applyNumberFormat="1" applyFill="1"/>
    <xf numFmtId="0" fontId="10" fillId="0" borderId="0" xfId="0" applyFont="1" applyFill="1" applyAlignment="1">
      <alignment horizontal="right"/>
    </xf>
    <xf numFmtId="171" fontId="14" fillId="0" borderId="0" xfId="0" applyNumberFormat="1" applyFont="1" applyFill="1"/>
    <xf numFmtId="177" fontId="4" fillId="0" borderId="0" xfId="1" quotePrefix="1" applyNumberFormat="1" applyFont="1" applyFill="1" applyBorder="1"/>
    <xf numFmtId="177" fontId="3" fillId="0" borderId="0" xfId="1" quotePrefix="1" applyNumberFormat="1" applyFont="1" applyFill="1" applyBorder="1"/>
    <xf numFmtId="177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0" fontId="4" fillId="0" borderId="0" xfId="0" quotePrefix="1" applyFont="1" applyFill="1" applyAlignment="1"/>
    <xf numFmtId="9" fontId="5" fillId="0" borderId="9" xfId="3" applyNumberFormat="1" applyFont="1" applyFill="1" applyBorder="1"/>
    <xf numFmtId="9" fontId="5" fillId="0" borderId="10" xfId="3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0" xfId="0" applyFont="1" applyFill="1"/>
    <xf numFmtId="9" fontId="22" fillId="0" borderId="0" xfId="3" applyFont="1" applyFill="1"/>
    <xf numFmtId="10" fontId="5" fillId="0" borderId="0" xfId="3" quotePrefix="1" applyNumberFormat="1" applyFont="1" applyFill="1" applyAlignment="1">
      <alignment horizontal="center"/>
    </xf>
    <xf numFmtId="0" fontId="12" fillId="0" borderId="0" xfId="0" applyFont="1" applyFill="1"/>
    <xf numFmtId="1" fontId="0" fillId="0" borderId="0" xfId="0" applyNumberFormat="1"/>
    <xf numFmtId="3" fontId="10" fillId="0" borderId="0" xfId="0" applyNumberFormat="1" applyFont="1" applyFill="1"/>
    <xf numFmtId="175" fontId="2" fillId="0" borderId="0" xfId="3" applyNumberFormat="1" applyFill="1"/>
    <xf numFmtId="171" fontId="2" fillId="0" borderId="0" xfId="2" applyNumberFormat="1" applyFill="1" applyBorder="1"/>
    <xf numFmtId="171" fontId="2" fillId="0" borderId="7" xfId="2" applyNumberFormat="1" applyFill="1" applyBorder="1"/>
    <xf numFmtId="44" fontId="2" fillId="0" borderId="0" xfId="2" applyFill="1"/>
    <xf numFmtId="173" fontId="2" fillId="0" borderId="0" xfId="2" applyNumberFormat="1" applyFill="1"/>
    <xf numFmtId="171" fontId="2" fillId="0" borderId="0" xfId="2" applyNumberFormat="1" applyFill="1"/>
    <xf numFmtId="44" fontId="2" fillId="0" borderId="0" xfId="2" quotePrefix="1" applyFont="1" applyFill="1"/>
    <xf numFmtId="173" fontId="2" fillId="0" borderId="0" xfId="2" quotePrefix="1" applyNumberFormat="1" applyFont="1" applyFill="1"/>
    <xf numFmtId="3" fontId="2" fillId="0" borderId="0" xfId="2" quotePrefix="1" applyNumberFormat="1" applyFont="1" applyFill="1"/>
    <xf numFmtId="176" fontId="2" fillId="0" borderId="0" xfId="1" applyNumberFormat="1" applyFill="1"/>
    <xf numFmtId="171" fontId="2" fillId="0" borderId="0" xfId="2" applyNumberFormat="1"/>
    <xf numFmtId="9" fontId="2" fillId="0" borderId="0" xfId="3"/>
    <xf numFmtId="171" fontId="2" fillId="0" borderId="0" xfId="3" applyNumberFormat="1"/>
    <xf numFmtId="44" fontId="2" fillId="0" borderId="0" xfId="2"/>
    <xf numFmtId="10" fontId="12" fillId="0" borderId="0" xfId="3" applyNumberFormat="1" applyFont="1" applyFill="1"/>
    <xf numFmtId="169" fontId="12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9" fontId="12" fillId="0" borderId="0" xfId="3" quotePrefix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78" fontId="3" fillId="0" borderId="0" xfId="1" applyNumberFormat="1" applyFont="1"/>
    <xf numFmtId="44" fontId="2" fillId="0" borderId="0" xfId="2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80" fontId="12" fillId="0" borderId="0" xfId="0" applyNumberFormat="1" applyFont="1" applyFill="1"/>
    <xf numFmtId="0" fontId="4" fillId="0" borderId="0" xfId="0" applyFont="1" applyFill="1" applyBorder="1"/>
    <xf numFmtId="17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78" fontId="5" fillId="0" borderId="0" xfId="1" applyNumberFormat="1" applyFont="1"/>
    <xf numFmtId="9" fontId="28" fillId="0" borderId="0" xfId="3" applyFont="1" applyFill="1"/>
    <xf numFmtId="17" fontId="12" fillId="0" borderId="0" xfId="0" applyNumberFormat="1" applyFont="1" applyFill="1"/>
    <xf numFmtId="17" fontId="28" fillId="0" borderId="0" xfId="0" applyNumberFormat="1" applyFont="1" applyFill="1"/>
    <xf numFmtId="9" fontId="21" fillId="0" borderId="0" xfId="3" quotePrefix="1" applyFont="1" applyFill="1"/>
    <xf numFmtId="0" fontId="21" fillId="0" borderId="0" xfId="0" applyFont="1" applyFill="1" applyBorder="1"/>
    <xf numFmtId="0" fontId="5" fillId="0" borderId="0" xfId="0" quotePrefix="1" applyFont="1" applyFill="1"/>
    <xf numFmtId="179" fontId="5" fillId="0" borderId="0" xfId="1" applyNumberFormat="1" applyFont="1"/>
    <xf numFmtId="9" fontId="3" fillId="0" borderId="11" xfId="3" applyNumberFormat="1" applyFont="1" applyFill="1" applyBorder="1"/>
    <xf numFmtId="9" fontId="3" fillId="0" borderId="12" xfId="3" applyNumberFormat="1" applyFont="1" applyFill="1" applyBorder="1"/>
    <xf numFmtId="9" fontId="3" fillId="0" borderId="0" xfId="3" applyNumberFormat="1" applyFont="1" applyFill="1"/>
    <xf numFmtId="9" fontId="12" fillId="0" borderId="13" xfId="3" applyNumberFormat="1" applyFont="1" applyFill="1" applyBorder="1"/>
    <xf numFmtId="9" fontId="12" fillId="0" borderId="14" xfId="3" applyNumberFormat="1" applyFont="1" applyFill="1" applyBorder="1"/>
    <xf numFmtId="175" fontId="5" fillId="0" borderId="0" xfId="3" applyNumberFormat="1" applyFont="1" applyFill="1" applyBorder="1"/>
    <xf numFmtId="0" fontId="34" fillId="0" borderId="0" xfId="0" applyFont="1" applyFill="1" applyAlignment="1">
      <alignment horizontal="center" wrapText="1"/>
    </xf>
    <xf numFmtId="180" fontId="3" fillId="0" borderId="0" xfId="0" applyNumberFormat="1" applyFont="1" applyFill="1"/>
    <xf numFmtId="180" fontId="3" fillId="0" borderId="10" xfId="0" applyNumberFormat="1" applyFont="1" applyFill="1" applyBorder="1"/>
    <xf numFmtId="180" fontId="3" fillId="0" borderId="13" xfId="0" applyNumberFormat="1" applyFont="1" applyFill="1" applyBorder="1"/>
    <xf numFmtId="180" fontId="3" fillId="0" borderId="14" xfId="0" applyNumberFormat="1" applyFont="1" applyFill="1" applyBorder="1"/>
    <xf numFmtId="17" fontId="0" fillId="0" borderId="9" xfId="0" applyNumberFormat="1" applyFill="1" applyBorder="1"/>
    <xf numFmtId="3" fontId="5" fillId="0" borderId="15" xfId="0" applyNumberFormat="1" applyFont="1" applyFill="1" applyBorder="1"/>
    <xf numFmtId="3" fontId="12" fillId="0" borderId="15" xfId="0" applyNumberFormat="1" applyFont="1" applyFill="1" applyBorder="1"/>
    <xf numFmtId="3" fontId="12" fillId="0" borderId="10" xfId="0" applyNumberFormat="1" applyFont="1" applyFill="1" applyBorder="1"/>
    <xf numFmtId="17" fontId="0" fillId="0" borderId="11" xfId="0" applyNumberFormat="1" applyFill="1" applyBorder="1"/>
    <xf numFmtId="3" fontId="5" fillId="0" borderId="0" xfId="0" applyNumberFormat="1" applyFont="1" applyFill="1" applyBorder="1"/>
    <xf numFmtId="3" fontId="12" fillId="0" borderId="13" xfId="0" applyNumberFormat="1" applyFont="1" applyFill="1" applyBorder="1"/>
    <xf numFmtId="17" fontId="0" fillId="0" borderId="12" xfId="0" applyNumberFormat="1" applyFill="1" applyBorder="1"/>
    <xf numFmtId="3" fontId="5" fillId="0" borderId="16" xfId="0" applyNumberFormat="1" applyFont="1" applyFill="1" applyBorder="1"/>
    <xf numFmtId="3" fontId="12" fillId="0" borderId="16" xfId="0" applyNumberFormat="1" applyFont="1" applyFill="1" applyBorder="1"/>
    <xf numFmtId="3" fontId="12" fillId="0" borderId="14" xfId="0" applyNumberFormat="1" applyFont="1" applyFill="1" applyBorder="1"/>
    <xf numFmtId="3" fontId="12" fillId="0" borderId="17" xfId="0" applyNumberFormat="1" applyFont="1" applyFill="1" applyBorder="1"/>
    <xf numFmtId="3" fontId="12" fillId="0" borderId="18" xfId="0" applyNumberFormat="1" applyFont="1" applyFill="1" applyBorder="1"/>
    <xf numFmtId="3" fontId="12" fillId="0" borderId="19" xfId="0" applyNumberFormat="1" applyFont="1" applyFill="1" applyBorder="1"/>
    <xf numFmtId="3" fontId="26" fillId="0" borderId="0" xfId="0" applyNumberFormat="1" applyFont="1" applyFill="1"/>
    <xf numFmtId="3" fontId="0" fillId="0" borderId="2" xfId="0" applyNumberFormat="1" applyFill="1" applyBorder="1"/>
    <xf numFmtId="3" fontId="35" fillId="0" borderId="0" xfId="0" applyNumberFormat="1" applyFont="1" applyFill="1"/>
    <xf numFmtId="3" fontId="18" fillId="2" borderId="0" xfId="0" applyNumberFormat="1" applyFont="1" applyFill="1"/>
    <xf numFmtId="9" fontId="5" fillId="0" borderId="0" xfId="3" quotePrefix="1" applyFont="1" applyFill="1" applyBorder="1" applyAlignment="1">
      <alignment horizontal="center"/>
    </xf>
    <xf numFmtId="10" fontId="5" fillId="0" borderId="0" xfId="3" quotePrefix="1" applyNumberFormat="1" applyFont="1" applyFill="1" applyBorder="1" applyAlignment="1">
      <alignment horizontal="center"/>
    </xf>
    <xf numFmtId="9" fontId="12" fillId="0" borderId="0" xfId="3" quotePrefix="1" applyFont="1" applyFill="1" applyBorder="1" applyAlignment="1">
      <alignment horizontal="center"/>
    </xf>
    <xf numFmtId="10" fontId="12" fillId="0" borderId="0" xfId="3" applyNumberFormat="1" applyFont="1" applyFill="1" applyBorder="1"/>
    <xf numFmtId="175" fontId="5" fillId="0" borderId="15" xfId="3" applyNumberFormat="1" applyFont="1" applyFill="1" applyBorder="1"/>
    <xf numFmtId="175" fontId="5" fillId="0" borderId="16" xfId="3" applyNumberFormat="1" applyFont="1" applyFill="1" applyBorder="1"/>
    <xf numFmtId="9" fontId="5" fillId="0" borderId="15" xfId="3" quotePrefix="1" applyFont="1" applyFill="1" applyBorder="1" applyAlignment="1">
      <alignment horizontal="center"/>
    </xf>
    <xf numFmtId="10" fontId="5" fillId="0" borderId="15" xfId="3" quotePrefix="1" applyNumberFormat="1" applyFont="1" applyFill="1" applyBorder="1" applyAlignment="1">
      <alignment horizontal="center"/>
    </xf>
    <xf numFmtId="9" fontId="12" fillId="0" borderId="15" xfId="3" quotePrefix="1" applyFont="1" applyFill="1" applyBorder="1" applyAlignment="1">
      <alignment horizontal="center"/>
    </xf>
    <xf numFmtId="10" fontId="12" fillId="0" borderId="15" xfId="3" applyNumberFormat="1" applyFont="1" applyFill="1" applyBorder="1"/>
    <xf numFmtId="9" fontId="12" fillId="0" borderId="10" xfId="3" quotePrefix="1" applyFont="1" applyFill="1" applyBorder="1" applyAlignment="1">
      <alignment horizontal="center"/>
    </xf>
    <xf numFmtId="9" fontId="12" fillId="0" borderId="13" xfId="3" quotePrefix="1" applyFont="1" applyFill="1" applyBorder="1" applyAlignment="1">
      <alignment horizontal="center"/>
    </xf>
    <xf numFmtId="9" fontId="5" fillId="0" borderId="16" xfId="3" quotePrefix="1" applyFont="1" applyFill="1" applyBorder="1" applyAlignment="1">
      <alignment horizontal="center"/>
    </xf>
    <xf numFmtId="10" fontId="5" fillId="0" borderId="16" xfId="3" quotePrefix="1" applyNumberFormat="1" applyFont="1" applyFill="1" applyBorder="1" applyAlignment="1">
      <alignment horizontal="center"/>
    </xf>
    <xf numFmtId="9" fontId="12" fillId="0" borderId="16" xfId="3" quotePrefix="1" applyFont="1" applyFill="1" applyBorder="1" applyAlignment="1">
      <alignment horizontal="center"/>
    </xf>
    <xf numFmtId="10" fontId="12" fillId="0" borderId="16" xfId="3" applyNumberFormat="1" applyFont="1" applyFill="1" applyBorder="1"/>
    <xf numFmtId="9" fontId="12" fillId="0" borderId="14" xfId="3" quotePrefix="1" applyFont="1" applyFill="1" applyBorder="1" applyAlignment="1">
      <alignment horizontal="center"/>
    </xf>
    <xf numFmtId="167" fontId="0" fillId="0" borderId="0" xfId="0" applyNumberFormat="1" applyFill="1" applyBorder="1"/>
    <xf numFmtId="167" fontId="0" fillId="0" borderId="16" xfId="0" applyNumberFormat="1" applyFill="1" applyBorder="1"/>
    <xf numFmtId="180" fontId="5" fillId="0" borderId="15" xfId="0" applyNumberFormat="1" applyFont="1" applyFill="1" applyBorder="1"/>
    <xf numFmtId="180" fontId="12" fillId="0" borderId="15" xfId="0" applyNumberFormat="1" applyFont="1" applyFill="1" applyBorder="1"/>
    <xf numFmtId="180" fontId="12" fillId="0" borderId="10" xfId="0" applyNumberFormat="1" applyFont="1" applyFill="1" applyBorder="1"/>
    <xf numFmtId="180" fontId="5" fillId="0" borderId="0" xfId="0" applyNumberFormat="1" applyFont="1" applyFill="1" applyBorder="1"/>
    <xf numFmtId="180" fontId="12" fillId="0" borderId="0" xfId="0" applyNumberFormat="1" applyFont="1" applyFill="1" applyBorder="1"/>
    <xf numFmtId="180" fontId="12" fillId="0" borderId="13" xfId="0" applyNumberFormat="1" applyFont="1" applyFill="1" applyBorder="1"/>
    <xf numFmtId="180" fontId="5" fillId="0" borderId="16" xfId="0" applyNumberFormat="1" applyFont="1" applyFill="1" applyBorder="1"/>
    <xf numFmtId="180" fontId="12" fillId="0" borderId="16" xfId="0" applyNumberFormat="1" applyFont="1" applyFill="1" applyBorder="1"/>
    <xf numFmtId="180" fontId="12" fillId="0" borderId="14" xfId="0" applyNumberFormat="1" applyFont="1" applyFill="1" applyBorder="1"/>
    <xf numFmtId="10" fontId="12" fillId="0" borderId="10" xfId="3" applyNumberFormat="1" applyFont="1" applyFill="1" applyBorder="1"/>
    <xf numFmtId="10" fontId="12" fillId="0" borderId="13" xfId="3" applyNumberFormat="1" applyFont="1" applyFill="1" applyBorder="1"/>
    <xf numFmtId="10" fontId="12" fillId="0" borderId="14" xfId="3" applyNumberFormat="1" applyFont="1" applyFill="1" applyBorder="1"/>
    <xf numFmtId="0" fontId="36" fillId="0" borderId="0" xfId="0" applyFont="1" applyFill="1"/>
    <xf numFmtId="44" fontId="2" fillId="0" borderId="0" xfId="2" applyFont="1" applyFill="1"/>
    <xf numFmtId="0" fontId="0" fillId="3" borderId="0" xfId="0" applyFill="1"/>
    <xf numFmtId="0" fontId="0" fillId="3" borderId="0" xfId="0" applyFill="1" applyAlignment="1">
      <alignment horizontal="center"/>
    </xf>
    <xf numFmtId="44" fontId="2" fillId="3" borderId="0" xfId="2" applyFill="1"/>
    <xf numFmtId="0" fontId="4" fillId="3" borderId="0" xfId="0" applyFont="1" applyFill="1" applyAlignment="1">
      <alignment horizontal="center"/>
    </xf>
    <xf numFmtId="178" fontId="4" fillId="3" borderId="0" xfId="1" applyNumberFormat="1" applyFont="1" applyFill="1"/>
    <xf numFmtId="166" fontId="0" fillId="3" borderId="0" xfId="0" applyNumberFormat="1" applyFill="1"/>
    <xf numFmtId="0" fontId="4" fillId="3" borderId="0" xfId="0" applyFont="1" applyFill="1"/>
    <xf numFmtId="0" fontId="0" fillId="3" borderId="0" xfId="0" applyFill="1" applyAlignment="1">
      <alignment horizontal="right"/>
    </xf>
    <xf numFmtId="44" fontId="0" fillId="3" borderId="0" xfId="2" quotePrefix="1" applyFont="1" applyFill="1"/>
    <xf numFmtId="169" fontId="0" fillId="3" borderId="0" xfId="3" applyNumberFormat="1" applyFont="1" applyFill="1"/>
    <xf numFmtId="10" fontId="0" fillId="0" borderId="0" xfId="3" applyNumberFormat="1" applyFont="1" applyFill="1"/>
    <xf numFmtId="0" fontId="13" fillId="0" borderId="0" xfId="0" applyFont="1" applyFill="1"/>
    <xf numFmtId="178" fontId="4" fillId="0" borderId="0" xfId="1" applyNumberFormat="1" applyFont="1" applyFill="1"/>
    <xf numFmtId="9" fontId="2" fillId="0" borderId="0" xfId="3" quotePrefix="1" applyFont="1" applyFill="1"/>
    <xf numFmtId="182" fontId="0" fillId="0" borderId="0" xfId="3" applyNumberFormat="1" applyFont="1" applyFill="1"/>
    <xf numFmtId="0" fontId="6" fillId="3" borderId="0" xfId="0" applyFont="1" applyFill="1"/>
    <xf numFmtId="17" fontId="0" fillId="3" borderId="0" xfId="0" applyNumberFormat="1" applyFill="1"/>
    <xf numFmtId="43" fontId="4" fillId="3" borderId="0" xfId="1" quotePrefix="1" applyFont="1" applyFill="1" applyBorder="1"/>
    <xf numFmtId="177" fontId="4" fillId="3" borderId="0" xfId="1" quotePrefix="1" applyNumberFormat="1" applyFont="1" applyFill="1" applyBorder="1"/>
    <xf numFmtId="17" fontId="0" fillId="3" borderId="0" xfId="0" applyNumberFormat="1" applyFill="1" applyAlignment="1">
      <alignment horizontal="right"/>
    </xf>
    <xf numFmtId="43" fontId="3" fillId="3" borderId="0" xfId="1" quotePrefix="1" applyFont="1" applyFill="1" applyBorder="1"/>
    <xf numFmtId="177" fontId="3" fillId="3" borderId="0" xfId="1" quotePrefix="1" applyNumberFormat="1" applyFont="1" applyFill="1" applyBorder="1"/>
    <xf numFmtId="43" fontId="3" fillId="3" borderId="0" xfId="1" quotePrefix="1" applyFont="1" applyFill="1"/>
    <xf numFmtId="177" fontId="3" fillId="3" borderId="0" xfId="1" quotePrefix="1" applyNumberFormat="1" applyFont="1" applyFill="1"/>
    <xf numFmtId="177" fontId="4" fillId="3" borderId="0" xfId="1" quotePrefix="1" applyNumberFormat="1" applyFont="1" applyFill="1"/>
    <xf numFmtId="0" fontId="7" fillId="0" borderId="0" xfId="0" quotePrefix="1" applyFont="1" applyFill="1" applyAlignment="1">
      <alignment horizontal="center"/>
    </xf>
    <xf numFmtId="44" fontId="0" fillId="0" borderId="0" xfId="2" applyFont="1" applyFill="1"/>
    <xf numFmtId="169" fontId="0" fillId="0" borderId="0" xfId="3" applyNumberFormat="1" applyFont="1" applyFill="1"/>
    <xf numFmtId="166" fontId="0" fillId="0" borderId="0" xfId="0" applyNumberFormat="1" applyFill="1" applyAlignment="1">
      <alignment horizontal="right"/>
    </xf>
    <xf numFmtId="168" fontId="0" fillId="0" borderId="0" xfId="3" applyNumberFormat="1" applyFont="1" applyFill="1"/>
    <xf numFmtId="168" fontId="0" fillId="0" borderId="0" xfId="3" quotePrefix="1" applyNumberFormat="1" applyFont="1" applyFill="1"/>
    <xf numFmtId="9" fontId="3" fillId="0" borderId="13" xfId="3" applyNumberFormat="1" applyFont="1" applyFill="1" applyBorder="1"/>
    <xf numFmtId="9" fontId="3" fillId="0" borderId="14" xfId="3" applyNumberFormat="1" applyFont="1" applyFill="1" applyBorder="1"/>
    <xf numFmtId="0" fontId="31" fillId="0" borderId="0" xfId="0" applyFont="1" applyFill="1"/>
    <xf numFmtId="0" fontId="0" fillId="3" borderId="0" xfId="0" applyFill="1" applyAlignment="1">
      <alignment horizontal="left"/>
    </xf>
    <xf numFmtId="44" fontId="2" fillId="3" borderId="0" xfId="2" quotePrefix="1" applyFont="1" applyFill="1" applyAlignment="1">
      <alignment horizontal="left"/>
    </xf>
    <xf numFmtId="183" fontId="5" fillId="0" borderId="0" xfId="0" applyNumberFormat="1" applyFont="1" applyFill="1"/>
    <xf numFmtId="183" fontId="0" fillId="0" borderId="0" xfId="0" applyNumberFormat="1" applyFill="1"/>
    <xf numFmtId="2" fontId="0" fillId="0" borderId="0" xfId="0" applyNumberFormat="1" applyFill="1"/>
    <xf numFmtId="176" fontId="3" fillId="0" borderId="0" xfId="1" applyNumberFormat="1" applyFont="1" applyFill="1" applyAlignment="1">
      <alignment horizontal="center"/>
    </xf>
    <xf numFmtId="176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76" fontId="10" fillId="0" borderId="0" xfId="1" applyNumberFormat="1" applyFont="1" applyFill="1"/>
    <xf numFmtId="175" fontId="0" fillId="0" borderId="0" xfId="3" applyNumberFormat="1" applyFont="1" applyFill="1"/>
    <xf numFmtId="14" fontId="0" fillId="0" borderId="0" xfId="0" applyNumberFormat="1" applyFill="1"/>
    <xf numFmtId="1" fontId="0" fillId="0" borderId="0" xfId="0" applyNumberFormat="1" applyFill="1"/>
    <xf numFmtId="10" fontId="39" fillId="0" borderId="0" xfId="3" applyNumberFormat="1" applyFont="1" applyFill="1" applyAlignment="1">
      <alignment horizontal="center"/>
    </xf>
    <xf numFmtId="9" fontId="22" fillId="4" borderId="0" xfId="3" applyFont="1" applyFill="1"/>
    <xf numFmtId="3" fontId="18" fillId="4" borderId="0" xfId="0" applyNumberFormat="1" applyFont="1" applyFill="1"/>
    <xf numFmtId="3" fontId="23" fillId="4" borderId="0" xfId="0" applyNumberFormat="1" applyFont="1" applyFill="1"/>
    <xf numFmtId="3" fontId="30" fillId="4" borderId="0" xfId="0" applyNumberFormat="1" applyFont="1" applyFill="1"/>
    <xf numFmtId="3" fontId="24" fillId="5" borderId="0" xfId="0" applyNumberFormat="1" applyFont="1" applyFill="1"/>
    <xf numFmtId="9" fontId="27" fillId="5" borderId="0" xfId="3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0" fillId="0" borderId="0" xfId="0" applyNumberFormat="1" applyFont="1" applyFill="1"/>
    <xf numFmtId="0" fontId="40" fillId="0" borderId="0" xfId="0" applyFont="1" applyFill="1"/>
    <xf numFmtId="0" fontId="3" fillId="0" borderId="0" xfId="0" quotePrefix="1" applyFont="1" applyFill="1"/>
    <xf numFmtId="44" fontId="2" fillId="0" borderId="0" xfId="2" quotePrefix="1" applyNumberFormat="1" applyFont="1" applyFill="1"/>
    <xf numFmtId="44" fontId="2" fillId="0" borderId="0" xfId="2" applyNumberFormat="1" applyFill="1"/>
    <xf numFmtId="181" fontId="5" fillId="0" borderId="0" xfId="1" applyNumberFormat="1" applyFont="1"/>
    <xf numFmtId="3" fontId="23" fillId="4" borderId="0" xfId="0" applyNumberFormat="1" applyFont="1" applyFill="1" applyAlignment="1">
      <alignment horizontal="center"/>
    </xf>
    <xf numFmtId="3" fontId="3" fillId="5" borderId="0" xfId="0" applyNumberFormat="1" applyFont="1" applyFill="1"/>
    <xf numFmtId="1" fontId="39" fillId="0" borderId="0" xfId="3" applyNumberFormat="1" applyFont="1" applyFill="1" applyAlignment="1">
      <alignment horizontal="center"/>
    </xf>
    <xf numFmtId="165" fontId="0" fillId="0" borderId="0" xfId="0" applyNumberFormat="1" applyFill="1"/>
    <xf numFmtId="44" fontId="2" fillId="0" borderId="0" xfId="2" applyNumberFormat="1"/>
    <xf numFmtId="3" fontId="25" fillId="5" borderId="0" xfId="0" applyNumberFormat="1" applyFont="1" applyFill="1"/>
    <xf numFmtId="17" fontId="43" fillId="0" borderId="0" xfId="0" applyNumberFormat="1" applyFont="1" applyFill="1"/>
    <xf numFmtId="3" fontId="44" fillId="4" borderId="0" xfId="0" applyNumberFormat="1" applyFont="1" applyFill="1"/>
    <xf numFmtId="164" fontId="0" fillId="0" borderId="0" xfId="0" applyNumberFormat="1" applyFill="1"/>
    <xf numFmtId="3" fontId="37" fillId="4" borderId="0" xfId="0" applyNumberFormat="1" applyFont="1" applyFill="1"/>
    <xf numFmtId="3" fontId="41" fillId="4" borderId="0" xfId="0" applyNumberFormat="1" applyFont="1" applyFill="1"/>
    <xf numFmtId="3" fontId="43" fillId="0" borderId="0" xfId="0" applyNumberFormat="1" applyFont="1" applyFill="1"/>
    <xf numFmtId="176" fontId="43" fillId="0" borderId="0" xfId="1" applyNumberFormat="1" applyFont="1" applyFill="1"/>
    <xf numFmtId="167" fontId="5" fillId="0" borderId="0" xfId="0" applyNumberFormat="1" applyFont="1" applyFill="1"/>
    <xf numFmtId="167" fontId="5" fillId="0" borderId="15" xfId="0" applyNumberFormat="1" applyFont="1" applyFill="1" applyBorder="1"/>
    <xf numFmtId="10" fontId="5" fillId="0" borderId="0" xfId="3" applyNumberFormat="1" applyFont="1" applyFill="1"/>
    <xf numFmtId="10" fontId="5" fillId="0" borderId="15" xfId="3" applyNumberFormat="1" applyFont="1" applyFill="1" applyBorder="1"/>
    <xf numFmtId="10" fontId="5" fillId="0" borderId="10" xfId="3" applyNumberFormat="1" applyFont="1" applyFill="1" applyBorder="1"/>
    <xf numFmtId="10" fontId="5" fillId="0" borderId="0" xfId="3" applyNumberFormat="1" applyFont="1" applyFill="1" applyBorder="1"/>
    <xf numFmtId="10" fontId="5" fillId="0" borderId="13" xfId="3" applyNumberFormat="1" applyFont="1" applyFill="1" applyBorder="1"/>
    <xf numFmtId="10" fontId="5" fillId="0" borderId="16" xfId="3" applyNumberFormat="1" applyFont="1" applyFill="1" applyBorder="1"/>
    <xf numFmtId="10" fontId="5" fillId="0" borderId="14" xfId="3" applyNumberFormat="1" applyFont="1" applyFill="1" applyBorder="1"/>
    <xf numFmtId="0" fontId="2" fillId="0" borderId="0" xfId="0" applyFont="1" applyFill="1"/>
    <xf numFmtId="3" fontId="2" fillId="0" borderId="0" xfId="0" applyNumberFormat="1" applyFont="1" applyFill="1"/>
    <xf numFmtId="4" fontId="5" fillId="0" borderId="9" xfId="0" applyNumberFormat="1" applyFont="1" applyFill="1" applyBorder="1"/>
    <xf numFmtId="4" fontId="5" fillId="0" borderId="11" xfId="0" applyNumberFormat="1" applyFont="1" applyFill="1" applyBorder="1"/>
    <xf numFmtId="4" fontId="5" fillId="0" borderId="12" xfId="0" applyNumberFormat="1" applyFont="1" applyFill="1" applyBorder="1"/>
    <xf numFmtId="44" fontId="2" fillId="0" borderId="0" xfId="2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86" fontId="0" fillId="0" borderId="0" xfId="0" applyNumberFormat="1" applyFill="1"/>
    <xf numFmtId="172" fontId="0" fillId="0" borderId="0" xfId="0" applyNumberFormat="1" applyFill="1"/>
    <xf numFmtId="184" fontId="0" fillId="0" borderId="0" xfId="0" applyNumberFormat="1" applyFill="1"/>
    <xf numFmtId="184" fontId="0" fillId="0" borderId="0" xfId="0" applyNumberFormat="1" applyFill="1" applyAlignment="1">
      <alignment horizontal="center"/>
    </xf>
    <xf numFmtId="9" fontId="0" fillId="0" borderId="0" xfId="3" applyFont="1" applyFill="1"/>
    <xf numFmtId="0" fontId="2" fillId="0" borderId="0" xfId="0" applyFont="1" applyFill="1" applyBorder="1"/>
    <xf numFmtId="167" fontId="0" fillId="0" borderId="0" xfId="0" applyNumberFormat="1" applyFill="1" applyBorder="1" applyAlignment="1">
      <alignment horizontal="right"/>
    </xf>
    <xf numFmtId="167" fontId="3" fillId="0" borderId="0" xfId="2" quotePrefix="1" applyNumberFormat="1" applyFont="1" applyFill="1" applyBorder="1"/>
    <xf numFmtId="44" fontId="3" fillId="0" borderId="0" xfId="2" quotePrefix="1" applyNumberFormat="1" applyFont="1" applyFill="1" applyBorder="1"/>
    <xf numFmtId="167" fontId="2" fillId="0" borderId="0" xfId="0" applyNumberFormat="1" applyFont="1" applyFill="1" applyBorder="1"/>
    <xf numFmtId="186" fontId="48" fillId="0" borderId="0" xfId="0" applyNumberFormat="1" applyFont="1" applyFill="1"/>
    <xf numFmtId="184" fontId="0" fillId="0" borderId="20" xfId="0" applyNumberFormat="1" applyFill="1" applyBorder="1"/>
    <xf numFmtId="187" fontId="0" fillId="0" borderId="0" xfId="1" applyNumberFormat="1" applyFont="1" applyFill="1"/>
    <xf numFmtId="176" fontId="0" fillId="0" borderId="0" xfId="1" applyNumberFormat="1" applyFont="1" applyFill="1"/>
    <xf numFmtId="184" fontId="49" fillId="0" borderId="0" xfId="0" applyNumberFormat="1" applyFont="1" applyFill="1"/>
    <xf numFmtId="0" fontId="49" fillId="0" borderId="0" xfId="0" applyFont="1" applyFill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0" xfId="0" quotePrefix="1" applyFont="1" applyFill="1"/>
    <xf numFmtId="175" fontId="0" fillId="0" borderId="0" xfId="0" applyNumberFormat="1" applyFill="1"/>
    <xf numFmtId="0" fontId="2" fillId="0" borderId="0" xfId="0" quotePrefix="1" applyFont="1" applyFill="1" applyBorder="1"/>
    <xf numFmtId="10" fontId="4" fillId="0" borderId="0" xfId="3" applyNumberFormat="1" applyFont="1" applyFill="1"/>
    <xf numFmtId="10" fontId="4" fillId="0" borderId="0" xfId="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4" fontId="4" fillId="0" borderId="20" xfId="0" applyNumberFormat="1" applyFont="1" applyFill="1" applyBorder="1"/>
    <xf numFmtId="10" fontId="50" fillId="0" borderId="0" xfId="3" quotePrefix="1" applyNumberFormat="1" applyFont="1" applyFill="1"/>
    <xf numFmtId="44" fontId="50" fillId="0" borderId="0" xfId="2" quotePrefix="1" applyFont="1" applyFill="1"/>
    <xf numFmtId="0" fontId="50" fillId="0" borderId="0" xfId="0" applyFont="1" applyFill="1"/>
    <xf numFmtId="0" fontId="7" fillId="0" borderId="0" xfId="0" applyFont="1" applyFill="1" applyAlignment="1">
      <alignment horizontal="center"/>
    </xf>
    <xf numFmtId="0" fontId="51" fillId="0" borderId="0" xfId="0" quotePrefix="1" applyFont="1" applyFill="1"/>
    <xf numFmtId="10" fontId="51" fillId="0" borderId="0" xfId="3" applyNumberFormat="1" applyFont="1" applyFill="1"/>
    <xf numFmtId="167" fontId="4" fillId="0" borderId="0" xfId="0" applyNumberFormat="1" applyFont="1"/>
    <xf numFmtId="44" fontId="46" fillId="0" borderId="0" xfId="2" quotePrefix="1" applyFont="1" applyFill="1"/>
    <xf numFmtId="8" fontId="2" fillId="0" borderId="0" xfId="2" applyNumberFormat="1" applyFont="1" applyFill="1"/>
    <xf numFmtId="0" fontId="46" fillId="0" borderId="0" xfId="0" applyFont="1" applyFill="1"/>
    <xf numFmtId="8" fontId="46" fillId="0" borderId="0" xfId="0" applyNumberFormat="1" applyFont="1" applyFill="1"/>
    <xf numFmtId="185" fontId="52" fillId="0" borderId="0" xfId="0" applyNumberFormat="1" applyFont="1" applyFill="1"/>
    <xf numFmtId="164" fontId="0" fillId="0" borderId="0" xfId="0" applyNumberFormat="1" applyFill="1" applyBorder="1"/>
    <xf numFmtId="176" fontId="46" fillId="0" borderId="0" xfId="1" applyNumberFormat="1" applyFont="1" applyFill="1" applyBorder="1"/>
    <xf numFmtId="0" fontId="2" fillId="0" borderId="0" xfId="0" applyFont="1" applyFill="1" applyBorder="1" applyAlignment="1">
      <alignment horizontal="left"/>
    </xf>
    <xf numFmtId="3" fontId="46" fillId="0" borderId="0" xfId="0" applyNumberFormat="1" applyFont="1" applyFill="1" applyBorder="1"/>
    <xf numFmtId="176" fontId="0" fillId="0" borderId="0" xfId="0" applyNumberFormat="1" applyFill="1" applyBorder="1"/>
    <xf numFmtId="175" fontId="0" fillId="0" borderId="0" xfId="3" applyNumberFormat="1" applyFont="1" applyFill="1" applyBorder="1"/>
    <xf numFmtId="184" fontId="46" fillId="0" borderId="0" xfId="0" applyNumberFormat="1" applyFont="1" applyFill="1" applyBorder="1"/>
    <xf numFmtId="184" fontId="0" fillId="0" borderId="0" xfId="0" applyNumberFormat="1" applyFill="1" applyBorder="1"/>
    <xf numFmtId="9" fontId="0" fillId="0" borderId="0" xfId="3" applyNumberFormat="1" applyFont="1" applyFill="1" applyBorder="1"/>
    <xf numFmtId="9" fontId="0" fillId="0" borderId="0" xfId="3" applyFont="1" applyFill="1" applyBorder="1"/>
    <xf numFmtId="0" fontId="47" fillId="0" borderId="0" xfId="0" applyFont="1" applyFill="1" applyBorder="1"/>
    <xf numFmtId="2" fontId="47" fillId="0" borderId="0" xfId="0" applyNumberFormat="1" applyFont="1" applyFill="1" applyBorder="1"/>
    <xf numFmtId="185" fontId="46" fillId="0" borderId="0" xfId="0" applyNumberFormat="1" applyFont="1" applyFill="1" applyBorder="1"/>
    <xf numFmtId="10" fontId="0" fillId="0" borderId="0" xfId="3" applyNumberFormat="1" applyFont="1" applyFill="1" applyBorder="1"/>
    <xf numFmtId="10" fontId="0" fillId="0" borderId="0" xfId="0" applyNumberFormat="1" applyFill="1" applyBorder="1"/>
    <xf numFmtId="175" fontId="0" fillId="0" borderId="0" xfId="0" applyNumberFormat="1" applyFill="1" applyBorder="1"/>
    <xf numFmtId="175" fontId="46" fillId="0" borderId="0" xfId="3" applyNumberFormat="1" applyFont="1" applyFill="1" applyBorder="1"/>
    <xf numFmtId="2" fontId="0" fillId="0" borderId="0" xfId="0" applyNumberFormat="1" applyFill="1" applyBorder="1"/>
    <xf numFmtId="0" fontId="51" fillId="0" borderId="0" xfId="0" applyFont="1" applyFill="1" applyBorder="1"/>
    <xf numFmtId="175" fontId="4" fillId="0" borderId="0" xfId="3" applyNumberFormat="1" applyFont="1" applyFill="1" applyBorder="1" applyAlignment="1" applyProtection="1">
      <alignment horizontal="right"/>
    </xf>
    <xf numFmtId="44" fontId="0" fillId="0" borderId="0" xfId="2" applyFont="1" applyFill="1" applyBorder="1"/>
    <xf numFmtId="0" fontId="0" fillId="0" borderId="0" xfId="0" quotePrefix="1" applyFill="1" applyBorder="1"/>
    <xf numFmtId="175" fontId="4" fillId="0" borderId="0" xfId="3" applyNumberFormat="1" applyFont="1" applyFill="1" applyBorder="1"/>
    <xf numFmtId="0" fontId="46" fillId="0" borderId="0" xfId="0" quotePrefix="1" applyFont="1" applyFill="1" applyAlignment="1">
      <alignment wrapText="1"/>
    </xf>
    <xf numFmtId="0" fontId="4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Fill="1" applyAlignment="1">
      <alignment horizontal="left"/>
    </xf>
    <xf numFmtId="175" fontId="46" fillId="0" borderId="0" xfId="3" applyNumberFormat="1" applyFont="1" applyFill="1"/>
    <xf numFmtId="10" fontId="46" fillId="0" borderId="0" xfId="3" quotePrefix="1" applyNumberFormat="1" applyFont="1" applyFill="1" applyAlignment="1">
      <alignment horizontal="right"/>
    </xf>
    <xf numFmtId="10" fontId="46" fillId="0" borderId="15" xfId="3" quotePrefix="1" applyNumberFormat="1" applyFont="1" applyFill="1" applyBorder="1" applyAlignment="1">
      <alignment horizontal="right"/>
    </xf>
    <xf numFmtId="10" fontId="46" fillId="0" borderId="0" xfId="3" quotePrefix="1" applyNumberFormat="1" applyFont="1" applyFill="1" applyBorder="1" applyAlignment="1">
      <alignment horizontal="right"/>
    </xf>
    <xf numFmtId="10" fontId="46" fillId="0" borderId="16" xfId="3" quotePrefix="1" applyNumberFormat="1" applyFont="1" applyFill="1" applyBorder="1" applyAlignment="1">
      <alignment horizontal="right"/>
    </xf>
    <xf numFmtId="10" fontId="46" fillId="0" borderId="0" xfId="3" applyNumberFormat="1" applyFont="1" applyFill="1"/>
    <xf numFmtId="10" fontId="46" fillId="0" borderId="15" xfId="3" applyNumberFormat="1" applyFont="1" applyFill="1" applyBorder="1"/>
    <xf numFmtId="10" fontId="46" fillId="0" borderId="0" xfId="3" applyNumberFormat="1" applyFont="1" applyFill="1" applyBorder="1"/>
    <xf numFmtId="10" fontId="46" fillId="0" borderId="16" xfId="3" applyNumberFormat="1" applyFont="1" applyFill="1" applyBorder="1"/>
    <xf numFmtId="17" fontId="5" fillId="0" borderId="0" xfId="0" applyNumberFormat="1" applyFont="1" applyFill="1"/>
    <xf numFmtId="4" fontId="5" fillId="0" borderId="15" xfId="0" applyNumberFormat="1" applyFont="1" applyFill="1" applyBorder="1"/>
    <xf numFmtId="4" fontId="5" fillId="0" borderId="0" xfId="0" applyNumberFormat="1" applyFont="1" applyFill="1" applyBorder="1"/>
    <xf numFmtId="4" fontId="5" fillId="0" borderId="16" xfId="0" applyNumberFormat="1" applyFont="1" applyFill="1" applyBorder="1"/>
    <xf numFmtId="188" fontId="12" fillId="0" borderId="0" xfId="0" applyNumberFormat="1" applyFont="1" applyFill="1"/>
    <xf numFmtId="8" fontId="46" fillId="0" borderId="0" xfId="0" applyNumberFormat="1" applyFont="1" applyFill="1" applyAlignment="1">
      <alignment horizontal="right"/>
    </xf>
    <xf numFmtId="185" fontId="52" fillId="0" borderId="0" xfId="0" applyNumberFormat="1" applyFont="1" applyFill="1" applyAlignment="1">
      <alignment horizontal="right"/>
    </xf>
    <xf numFmtId="8" fontId="5" fillId="0" borderId="0" xfId="2" applyNumberFormat="1" applyFont="1" applyFill="1" applyAlignment="1">
      <alignment horizontal="right"/>
    </xf>
    <xf numFmtId="0" fontId="0" fillId="6" borderId="0" xfId="0" applyFill="1" applyAlignment="1">
      <alignment horizontal="right"/>
    </xf>
    <xf numFmtId="44" fontId="2" fillId="6" borderId="0" xfId="2" quotePrefix="1" applyFont="1" applyFill="1"/>
    <xf numFmtId="173" fontId="2" fillId="6" borderId="0" xfId="2" quotePrefix="1" applyNumberFormat="1" applyFont="1" applyFill="1"/>
    <xf numFmtId="3" fontId="2" fillId="5" borderId="0" xfId="0" applyNumberFormat="1" applyFont="1" applyFill="1"/>
    <xf numFmtId="0" fontId="7" fillId="0" borderId="0" xfId="0" applyFont="1" applyFill="1" applyAlignment="1">
      <alignment horizontal="center"/>
    </xf>
    <xf numFmtId="169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169" fontId="0" fillId="0" borderId="0" xfId="3" applyNumberFormat="1" applyFont="1" applyFill="1" applyBorder="1"/>
    <xf numFmtId="44" fontId="3" fillId="0" borderId="0" xfId="2" applyFont="1" applyFill="1" applyBorder="1"/>
    <xf numFmtId="44" fontId="3" fillId="0" borderId="0" xfId="2" quotePrefix="1" applyFont="1" applyFill="1" applyBorder="1"/>
    <xf numFmtId="44" fontId="2" fillId="0" borderId="0" xfId="2" applyFont="1" applyFill="1" applyBorder="1"/>
    <xf numFmtId="171" fontId="2" fillId="0" borderId="0" xfId="2" quotePrefix="1" applyNumberFormat="1" applyFont="1" applyFill="1" applyBorder="1"/>
    <xf numFmtId="171" fontId="3" fillId="0" borderId="0" xfId="2" quotePrefix="1" applyNumberFormat="1" applyFont="1" applyFill="1" applyBorder="1"/>
    <xf numFmtId="169" fontId="21" fillId="0" borderId="0" xfId="0" applyNumberFormat="1" applyFont="1" applyFill="1" applyBorder="1"/>
    <xf numFmtId="169" fontId="4" fillId="0" borderId="0" xfId="0" applyNumberFormat="1" applyFont="1" applyFill="1" applyBorder="1"/>
    <xf numFmtId="10" fontId="46" fillId="0" borderId="0" xfId="0" applyNumberFormat="1" applyFont="1" applyFill="1" applyBorder="1"/>
    <xf numFmtId="169" fontId="46" fillId="0" borderId="0" xfId="0" applyNumberFormat="1" applyFont="1" applyFill="1" applyBorder="1"/>
    <xf numFmtId="177" fontId="3" fillId="0" borderId="0" xfId="1" quotePrefix="1" applyNumberFormat="1" applyFont="1" applyFill="1"/>
    <xf numFmtId="177" fontId="4" fillId="0" borderId="0" xfId="1" quotePrefix="1" applyNumberFormat="1" applyFont="1" applyFill="1"/>
    <xf numFmtId="0" fontId="47" fillId="0" borderId="0" xfId="0" applyFont="1" applyFill="1" applyBorder="1" applyAlignment="1">
      <alignment horizontal="right"/>
    </xf>
    <xf numFmtId="3" fontId="47" fillId="0" borderId="0" xfId="0" applyNumberFormat="1" applyFont="1" applyFill="1" applyBorder="1"/>
    <xf numFmtId="165" fontId="47" fillId="0" borderId="0" xfId="0" applyNumberFormat="1" applyFont="1" applyFill="1" applyBorder="1"/>
    <xf numFmtId="185" fontId="0" fillId="0" borderId="0" xfId="0" applyNumberFormat="1" applyFill="1" applyBorder="1"/>
    <xf numFmtId="7" fontId="0" fillId="0" borderId="0" xfId="0" applyNumberFormat="1" applyFill="1" applyBorder="1"/>
    <xf numFmtId="0" fontId="49" fillId="0" borderId="0" xfId="0" applyFont="1" applyFill="1" applyBorder="1"/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wrapText="1"/>
    </xf>
  </cellXfs>
  <cellStyles count="7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3" xfId="5" xr:uid="{00000000-0005-0000-0000-000004000000}"/>
    <cellStyle name="Percent" xfId="3" builtinId="5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0000FF"/>
      <color rgb="FFCC99FF"/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Y349"/>
  <sheetViews>
    <sheetView tabSelected="1" view="pageBreakPreview" zoomScaleNormal="50" zoomScaleSheetLayoutView="10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6.5703125" style="13" customWidth="1"/>
    <col min="6" max="6" width="16" style="13" customWidth="1"/>
    <col min="7" max="7" width="16.5703125" style="13" customWidth="1"/>
    <col min="8" max="8" width="15.42578125" style="13" customWidth="1"/>
    <col min="9" max="9" width="14.140625" style="13" customWidth="1"/>
    <col min="10" max="10" width="16.42578125" style="13" customWidth="1"/>
    <col min="11" max="11" width="12.5703125" style="13" customWidth="1"/>
    <col min="12" max="12" width="16.5703125" style="13" customWidth="1"/>
    <col min="13" max="13" width="17" style="13" hidden="1" customWidth="1"/>
    <col min="14" max="14" width="15.140625" style="13" hidden="1" customWidth="1"/>
    <col min="15" max="16" width="12.42578125" style="13" hidden="1" customWidth="1"/>
    <col min="17" max="17" width="13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0.5703125" style="13" hidden="1" customWidth="1"/>
    <col min="26" max="26" width="11.5703125" style="13" hidden="1" customWidth="1"/>
    <col min="27" max="27" width="12.5703125" style="13" hidden="1" customWidth="1"/>
    <col min="28" max="28" width="13.42578125" style="13" hidden="1" customWidth="1"/>
    <col min="29" max="29" width="11" style="13" hidden="1" customWidth="1"/>
    <col min="30" max="30" width="14.140625" style="13" hidden="1" customWidth="1"/>
    <col min="31" max="31" width="9.85546875" style="13" hidden="1" customWidth="1"/>
    <col min="32" max="32" width="9.140625" style="13" hidden="1" customWidth="1"/>
    <col min="33" max="33" width="12" style="13" hidden="1" customWidth="1"/>
    <col min="34" max="34" width="9.140625" style="13" hidden="1" customWidth="1"/>
    <col min="35" max="37" width="9.140625" style="13" customWidth="1"/>
    <col min="38" max="38" width="9.42578125" style="13" customWidth="1"/>
    <col min="39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435" t="s">
        <v>69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26" ht="15.75" x14ac:dyDescent="0.25">
      <c r="B2" s="435" t="s">
        <v>187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1:26" ht="15.75" x14ac:dyDescent="0.25">
      <c r="B3" s="435" t="str">
        <f>'BGS PTY17 Cost Alloc'!$B$3</f>
        <v>2019 BGS Auction Cost and Bid Factor Tables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436" t="s">
        <v>293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</row>
    <row r="6" spans="1:26" x14ac:dyDescent="0.2">
      <c r="L6" s="120" t="s">
        <v>255</v>
      </c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tr">
        <f>'BGS PTY17 Cost Alloc'!$E$10</f>
        <v>Based on an average of 2015 through 2017 Load Profile Information</v>
      </c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153">
        <f>'BGS PTY17 Cost Alloc'!E15</f>
        <v>0.4788</v>
      </c>
      <c r="F15" s="153">
        <f>'BGS PTY17 Cost Alloc'!F15</f>
        <v>0.45710000000000001</v>
      </c>
      <c r="G15" s="153">
        <f>'BGS PTY17 Cost Alloc'!G15</f>
        <v>0.54459999999999997</v>
      </c>
      <c r="H15" s="153">
        <f>'BGS PTY17 Cost Alloc'!H15</f>
        <v>0.52739999999999998</v>
      </c>
      <c r="I15" s="153">
        <f>'BGS PTY17 Cost Alloc'!I15</f>
        <v>0.3125</v>
      </c>
      <c r="J15" s="29"/>
      <c r="K15" s="30"/>
      <c r="L15" s="30"/>
      <c r="M15" s="30"/>
      <c r="N15" s="31"/>
      <c r="O15" s="32"/>
      <c r="P15" s="32"/>
      <c r="Q15" s="32">
        <f t="shared" ref="Q15:U26" si="0">1-E15</f>
        <v>0.5212</v>
      </c>
      <c r="R15" s="32">
        <f t="shared" si="0"/>
        <v>0.54289999999999994</v>
      </c>
      <c r="S15" s="32">
        <f t="shared" si="0"/>
        <v>0.45540000000000003</v>
      </c>
      <c r="T15" s="32">
        <f t="shared" si="0"/>
        <v>0.47260000000000002</v>
      </c>
      <c r="U15" s="32">
        <f t="shared" si="0"/>
        <v>0.6875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153">
        <f>'BGS PTY17 Cost Alloc'!E16</f>
        <v>0.51229999999999998</v>
      </c>
      <c r="F16" s="153">
        <f>'BGS PTY17 Cost Alloc'!F16</f>
        <v>0.48399999999999999</v>
      </c>
      <c r="G16" s="153">
        <f>'BGS PTY17 Cost Alloc'!G16</f>
        <v>0.57720000000000005</v>
      </c>
      <c r="H16" s="153">
        <f>'BGS PTY17 Cost Alloc'!H16</f>
        <v>0.55740000000000001</v>
      </c>
      <c r="I16" s="153">
        <f>'BGS PTY17 Cost Alloc'!I16</f>
        <v>0.31359999999999999</v>
      </c>
      <c r="J16" s="29"/>
      <c r="K16" s="30"/>
      <c r="L16" s="30"/>
      <c r="M16" s="30"/>
      <c r="N16" s="31"/>
      <c r="O16" s="32"/>
      <c r="P16" s="32"/>
      <c r="Q16" s="32">
        <f t="shared" si="0"/>
        <v>0.48770000000000002</v>
      </c>
      <c r="R16" s="32">
        <f t="shared" si="0"/>
        <v>0.51600000000000001</v>
      </c>
      <c r="S16" s="32">
        <f t="shared" si="0"/>
        <v>0.42279999999999995</v>
      </c>
      <c r="T16" s="32">
        <f t="shared" si="0"/>
        <v>0.44259999999999999</v>
      </c>
      <c r="U16" s="32">
        <f t="shared" si="0"/>
        <v>0.68640000000000001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153">
        <f>'BGS PTY17 Cost Alloc'!E17</f>
        <v>0.51680000000000004</v>
      </c>
      <c r="F17" s="153">
        <f>'BGS PTY17 Cost Alloc'!F17</f>
        <v>0.48730000000000001</v>
      </c>
      <c r="G17" s="153">
        <f>'BGS PTY17 Cost Alloc'!G17</f>
        <v>0.60429999999999995</v>
      </c>
      <c r="H17" s="153">
        <f>'BGS PTY17 Cost Alloc'!H17</f>
        <v>0.5706</v>
      </c>
      <c r="I17" s="153">
        <f>'BGS PTY17 Cost Alloc'!I17</f>
        <v>0.29680000000000001</v>
      </c>
      <c r="J17" s="29"/>
      <c r="K17" s="30"/>
      <c r="L17" s="30"/>
      <c r="M17" s="30"/>
      <c r="N17" s="31"/>
      <c r="O17" s="32"/>
      <c r="P17" s="32"/>
      <c r="Q17" s="32">
        <f t="shared" si="0"/>
        <v>0.48319999999999996</v>
      </c>
      <c r="R17" s="32">
        <f t="shared" si="0"/>
        <v>0.51269999999999993</v>
      </c>
      <c r="S17" s="32">
        <f t="shared" si="0"/>
        <v>0.39570000000000005</v>
      </c>
      <c r="T17" s="32">
        <f t="shared" si="0"/>
        <v>0.4294</v>
      </c>
      <c r="U17" s="32">
        <f t="shared" si="0"/>
        <v>0.70320000000000005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153">
        <f>'BGS PTY17 Cost Alloc'!E18</f>
        <v>0.49469999999999997</v>
      </c>
      <c r="F18" s="153">
        <f>'BGS PTY17 Cost Alloc'!F18</f>
        <v>0.47610000000000002</v>
      </c>
      <c r="G18" s="153">
        <f>'BGS PTY17 Cost Alloc'!G18</f>
        <v>0.59019999999999995</v>
      </c>
      <c r="H18" s="153">
        <f>'BGS PTY17 Cost Alloc'!H18</f>
        <v>0.56710000000000005</v>
      </c>
      <c r="I18" s="153">
        <f>'BGS PTY17 Cost Alloc'!I18</f>
        <v>0.26450000000000001</v>
      </c>
      <c r="J18" s="29"/>
      <c r="K18" s="30"/>
      <c r="L18" s="30"/>
      <c r="M18" s="30"/>
      <c r="N18" s="31"/>
      <c r="O18" s="32"/>
      <c r="P18" s="32"/>
      <c r="Q18" s="32">
        <f t="shared" si="0"/>
        <v>0.50530000000000008</v>
      </c>
      <c r="R18" s="32">
        <f t="shared" si="0"/>
        <v>0.52390000000000003</v>
      </c>
      <c r="S18" s="32">
        <f t="shared" si="0"/>
        <v>0.40980000000000005</v>
      </c>
      <c r="T18" s="32">
        <f t="shared" si="0"/>
        <v>0.43289999999999995</v>
      </c>
      <c r="U18" s="32">
        <f t="shared" si="0"/>
        <v>0.73550000000000004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153">
        <f>'BGS PTY17 Cost Alloc'!E19</f>
        <v>0.48330000000000001</v>
      </c>
      <c r="F19" s="153">
        <f>'BGS PTY17 Cost Alloc'!F19</f>
        <v>0.47310000000000002</v>
      </c>
      <c r="G19" s="153">
        <f>'BGS PTY17 Cost Alloc'!G19</f>
        <v>0.58009999999999995</v>
      </c>
      <c r="H19" s="153">
        <f>'BGS PTY17 Cost Alloc'!H19</f>
        <v>0.56159999999999999</v>
      </c>
      <c r="I19" s="153">
        <f>'BGS PTY17 Cost Alloc'!I19</f>
        <v>0.2487</v>
      </c>
      <c r="J19" s="29"/>
      <c r="K19" s="30"/>
      <c r="L19" s="30"/>
      <c r="M19" s="30"/>
      <c r="N19" s="31"/>
      <c r="O19" s="32"/>
      <c r="P19" s="32"/>
      <c r="Q19" s="32">
        <f t="shared" si="0"/>
        <v>0.51669999999999994</v>
      </c>
      <c r="R19" s="32">
        <f t="shared" si="0"/>
        <v>0.52689999999999992</v>
      </c>
      <c r="S19" s="32">
        <f t="shared" si="0"/>
        <v>0.41990000000000005</v>
      </c>
      <c r="T19" s="32">
        <f t="shared" si="0"/>
        <v>0.43840000000000001</v>
      </c>
      <c r="U19" s="32">
        <f t="shared" si="0"/>
        <v>0.75129999999999997</v>
      </c>
      <c r="V19" s="32"/>
      <c r="W19" s="32"/>
      <c r="X19" s="32"/>
      <c r="Y19" s="32"/>
      <c r="Z19" s="32"/>
    </row>
    <row r="20" spans="1:26" x14ac:dyDescent="0.2">
      <c r="A20" s="22"/>
      <c r="B20" s="186" t="s">
        <v>6</v>
      </c>
      <c r="C20" s="208"/>
      <c r="D20" s="208"/>
      <c r="E20" s="213">
        <f>'BGS PTY17 Cost Alloc'!E20</f>
        <v>0.54179999999999995</v>
      </c>
      <c r="F20" s="213">
        <f>'BGS PTY17 Cost Alloc'!F20</f>
        <v>0.53710000000000002</v>
      </c>
      <c r="G20" s="213">
        <f>'BGS PTY17 Cost Alloc'!G20</f>
        <v>0.60329999999999995</v>
      </c>
      <c r="H20" s="213">
        <f>'BGS PTY17 Cost Alloc'!H20</f>
        <v>0.59840000000000004</v>
      </c>
      <c r="I20" s="232">
        <f>'BGS PTY17 Cost Alloc'!I20</f>
        <v>0.2576</v>
      </c>
      <c r="J20" s="29"/>
      <c r="K20" s="30"/>
      <c r="L20" s="30"/>
      <c r="M20" s="30"/>
      <c r="N20" s="31"/>
      <c r="O20" s="32"/>
      <c r="P20" s="32"/>
      <c r="Q20" s="32">
        <f t="shared" si="0"/>
        <v>0.45820000000000005</v>
      </c>
      <c r="R20" s="32">
        <f t="shared" si="0"/>
        <v>0.46289999999999998</v>
      </c>
      <c r="S20" s="32">
        <f t="shared" si="0"/>
        <v>0.39670000000000005</v>
      </c>
      <c r="T20" s="32">
        <f t="shared" si="0"/>
        <v>0.40159999999999996</v>
      </c>
      <c r="U20" s="32">
        <f t="shared" si="0"/>
        <v>0.74239999999999995</v>
      </c>
      <c r="V20" s="32"/>
      <c r="W20" s="32"/>
      <c r="X20" s="32"/>
      <c r="Y20" s="32"/>
      <c r="Z20" s="32"/>
    </row>
    <row r="21" spans="1:26" x14ac:dyDescent="0.2">
      <c r="A21" s="22"/>
      <c r="B21" s="190" t="s">
        <v>7</v>
      </c>
      <c r="C21" s="180"/>
      <c r="D21" s="180"/>
      <c r="E21" s="207">
        <f>'BGS PTY17 Cost Alloc'!E21</f>
        <v>0.50590000000000002</v>
      </c>
      <c r="F21" s="207">
        <f>'BGS PTY17 Cost Alloc'!F21</f>
        <v>0.50790000000000002</v>
      </c>
      <c r="G21" s="207">
        <f>'BGS PTY17 Cost Alloc'!G21</f>
        <v>0.56889999999999996</v>
      </c>
      <c r="H21" s="207">
        <f>'BGS PTY17 Cost Alloc'!H21</f>
        <v>0.56259999999999999</v>
      </c>
      <c r="I21" s="233">
        <f>'BGS PTY17 Cost Alloc'!I21</f>
        <v>0.23569999999999999</v>
      </c>
      <c r="J21" s="29"/>
      <c r="K21" s="30"/>
      <c r="L21" s="30"/>
      <c r="M21" s="30"/>
      <c r="N21" s="31"/>
      <c r="O21" s="32"/>
      <c r="P21" s="32"/>
      <c r="Q21" s="32">
        <f t="shared" si="0"/>
        <v>0.49409999999999998</v>
      </c>
      <c r="R21" s="32">
        <f t="shared" si="0"/>
        <v>0.49209999999999998</v>
      </c>
      <c r="S21" s="32">
        <f t="shared" si="0"/>
        <v>0.43110000000000004</v>
      </c>
      <c r="T21" s="32">
        <f t="shared" si="0"/>
        <v>0.43740000000000001</v>
      </c>
      <c r="U21" s="32">
        <f t="shared" si="0"/>
        <v>0.76429999999999998</v>
      </c>
      <c r="V21" s="32"/>
      <c r="W21" s="32"/>
      <c r="X21" s="32"/>
      <c r="Y21" s="32"/>
      <c r="Z21" s="32"/>
    </row>
    <row r="22" spans="1:26" x14ac:dyDescent="0.2">
      <c r="A22" s="22"/>
      <c r="B22" s="190" t="s">
        <v>8</v>
      </c>
      <c r="C22" s="180"/>
      <c r="D22" s="180"/>
      <c r="E22" s="207">
        <f>'BGS PTY17 Cost Alloc'!E22</f>
        <v>0.52929999999999999</v>
      </c>
      <c r="F22" s="207">
        <f>'BGS PTY17 Cost Alloc'!F22</f>
        <v>0.53069999999999995</v>
      </c>
      <c r="G22" s="207">
        <f>'BGS PTY17 Cost Alloc'!G22</f>
        <v>0.59470000000000001</v>
      </c>
      <c r="H22" s="207">
        <f>'BGS PTY17 Cost Alloc'!H22</f>
        <v>0.58599999999999997</v>
      </c>
      <c r="I22" s="233">
        <f>'BGS PTY17 Cost Alloc'!I22</f>
        <v>0.26490000000000002</v>
      </c>
      <c r="J22" s="29"/>
      <c r="K22" s="30"/>
      <c r="L22" s="30"/>
      <c r="M22" s="30"/>
      <c r="N22" s="31"/>
      <c r="O22" s="32"/>
      <c r="P22" s="32"/>
      <c r="Q22" s="32">
        <f t="shared" si="0"/>
        <v>0.47070000000000001</v>
      </c>
      <c r="R22" s="32">
        <f t="shared" si="0"/>
        <v>0.46930000000000005</v>
      </c>
      <c r="S22" s="32">
        <f t="shared" si="0"/>
        <v>0.40529999999999999</v>
      </c>
      <c r="T22" s="32">
        <f t="shared" si="0"/>
        <v>0.41400000000000003</v>
      </c>
      <c r="U22" s="32">
        <f t="shared" si="0"/>
        <v>0.73509999999999998</v>
      </c>
      <c r="V22" s="32"/>
      <c r="W22" s="32"/>
      <c r="X22" s="32"/>
      <c r="Y22" s="32"/>
      <c r="Z22" s="32"/>
    </row>
    <row r="23" spans="1:26" x14ac:dyDescent="0.2">
      <c r="A23" s="22"/>
      <c r="B23" s="193" t="s">
        <v>9</v>
      </c>
      <c r="C23" s="209"/>
      <c r="D23" s="209"/>
      <c r="E23" s="219">
        <f>'BGS PTY17 Cost Alloc'!E23</f>
        <v>0.49070000000000003</v>
      </c>
      <c r="F23" s="219">
        <f>'BGS PTY17 Cost Alloc'!F23</f>
        <v>0.48509999999999998</v>
      </c>
      <c r="G23" s="219">
        <f>'BGS PTY17 Cost Alloc'!G23</f>
        <v>0.58860000000000001</v>
      </c>
      <c r="H23" s="219">
        <f>'BGS PTY17 Cost Alloc'!H23</f>
        <v>0.57589999999999997</v>
      </c>
      <c r="I23" s="234">
        <f>'BGS PTY17 Cost Alloc'!I23</f>
        <v>0.27060000000000001</v>
      </c>
      <c r="J23" s="29"/>
      <c r="K23" s="30"/>
      <c r="L23" s="30"/>
      <c r="M23" s="30"/>
      <c r="N23" s="31"/>
      <c r="O23" s="32"/>
      <c r="P23" s="32"/>
      <c r="Q23" s="32">
        <f t="shared" si="0"/>
        <v>0.50929999999999997</v>
      </c>
      <c r="R23" s="32">
        <f t="shared" si="0"/>
        <v>0.51490000000000002</v>
      </c>
      <c r="S23" s="32">
        <f t="shared" si="0"/>
        <v>0.41139999999999999</v>
      </c>
      <c r="T23" s="32">
        <f t="shared" si="0"/>
        <v>0.42410000000000003</v>
      </c>
      <c r="U23" s="32">
        <f t="shared" si="0"/>
        <v>0.72940000000000005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153">
        <f>'BGS PTY17 Cost Alloc'!E24</f>
        <v>0.49790000000000001</v>
      </c>
      <c r="F24" s="153">
        <f>'BGS PTY17 Cost Alloc'!F24</f>
        <v>0.47910000000000003</v>
      </c>
      <c r="G24" s="153">
        <f>'BGS PTY17 Cost Alloc'!G24</f>
        <v>0.58520000000000005</v>
      </c>
      <c r="H24" s="153">
        <f>'BGS PTY17 Cost Alloc'!H24</f>
        <v>0.57269999999999999</v>
      </c>
      <c r="I24" s="153">
        <f>'BGS PTY17 Cost Alloc'!I24</f>
        <v>0.29659999999999997</v>
      </c>
      <c r="J24" s="29"/>
      <c r="K24" s="30"/>
      <c r="L24" s="30"/>
      <c r="M24" s="30"/>
      <c r="N24" s="31"/>
      <c r="O24" s="32"/>
      <c r="P24" s="32"/>
      <c r="Q24" s="32">
        <f t="shared" si="0"/>
        <v>0.50209999999999999</v>
      </c>
      <c r="R24" s="32">
        <f t="shared" si="0"/>
        <v>0.52089999999999992</v>
      </c>
      <c r="S24" s="32">
        <f t="shared" si="0"/>
        <v>0.41479999999999995</v>
      </c>
      <c r="T24" s="32">
        <f t="shared" si="0"/>
        <v>0.42730000000000001</v>
      </c>
      <c r="U24" s="32">
        <f t="shared" si="0"/>
        <v>0.70340000000000003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153">
        <f>'BGS PTY17 Cost Alloc'!E25</f>
        <v>0.48970000000000002</v>
      </c>
      <c r="F25" s="153">
        <f>'BGS PTY17 Cost Alloc'!F25</f>
        <v>0.45469999999999999</v>
      </c>
      <c r="G25" s="153">
        <f>'BGS PTY17 Cost Alloc'!G25</f>
        <v>0.57679999999999998</v>
      </c>
      <c r="H25" s="153">
        <f>'BGS PTY17 Cost Alloc'!H25</f>
        <v>0.55279999999999996</v>
      </c>
      <c r="I25" s="153">
        <f>'BGS PTY17 Cost Alloc'!I25</f>
        <v>0.32319999999999999</v>
      </c>
      <c r="J25" s="29"/>
      <c r="K25" s="30"/>
      <c r="L25" s="30"/>
      <c r="M25" s="30"/>
      <c r="N25" s="31"/>
      <c r="O25" s="32"/>
      <c r="P25" s="32"/>
      <c r="Q25" s="32">
        <f t="shared" si="0"/>
        <v>0.51029999999999998</v>
      </c>
      <c r="R25" s="32">
        <f t="shared" si="0"/>
        <v>0.54530000000000001</v>
      </c>
      <c r="S25" s="32">
        <f t="shared" si="0"/>
        <v>0.42320000000000002</v>
      </c>
      <c r="T25" s="32">
        <f t="shared" si="0"/>
        <v>0.44720000000000004</v>
      </c>
      <c r="U25" s="32">
        <f t="shared" si="0"/>
        <v>0.67680000000000007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153">
        <f>'BGS PTY17 Cost Alloc'!E26</f>
        <v>0.48209999999999997</v>
      </c>
      <c r="F26" s="153">
        <f>'BGS PTY17 Cost Alloc'!F26</f>
        <v>0.45960000000000001</v>
      </c>
      <c r="G26" s="153">
        <f>'BGS PTY17 Cost Alloc'!G26</f>
        <v>0.55449999999999999</v>
      </c>
      <c r="H26" s="153">
        <f>'BGS PTY17 Cost Alloc'!H26</f>
        <v>0.53349999999999997</v>
      </c>
      <c r="I26" s="153">
        <f>'BGS PTY17 Cost Alloc'!I26</f>
        <v>0.3231</v>
      </c>
      <c r="J26" s="29"/>
      <c r="K26" s="30"/>
      <c r="L26" s="30"/>
      <c r="M26" s="30"/>
      <c r="N26" s="31"/>
      <c r="O26" s="32"/>
      <c r="P26" s="32"/>
      <c r="Q26" s="32">
        <f t="shared" si="0"/>
        <v>0.51790000000000003</v>
      </c>
      <c r="R26" s="32">
        <f t="shared" si="0"/>
        <v>0.54039999999999999</v>
      </c>
      <c r="S26" s="32">
        <f t="shared" si="0"/>
        <v>0.44550000000000001</v>
      </c>
      <c r="T26" s="32">
        <f t="shared" si="0"/>
        <v>0.46650000000000003</v>
      </c>
      <c r="U26" s="32">
        <f t="shared" si="0"/>
        <v>0.67690000000000006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23" t="str">
        <f>'BGS PTY17 Cost Alloc'!$E$30</f>
        <v>2018 Forecasted Calendar Month Sales</v>
      </c>
      <c r="F30" s="23" t="s">
        <v>39</v>
      </c>
      <c r="G30" s="23" t="s">
        <v>39</v>
      </c>
      <c r="H30" s="23" t="str">
        <f>'BGS PTY17 Cost Alloc'!$E$30</f>
        <v>2018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PTY17 Cost Alloc'!Q30</f>
        <v>2018 Forecasted Calendar Month Sales</v>
      </c>
      <c r="R30" s="23" t="s">
        <v>39</v>
      </c>
      <c r="S30" s="23" t="s">
        <v>39</v>
      </c>
      <c r="T30" s="23" t="str">
        <f>'BGS PTY17 Cost Alloc'!T30</f>
        <v>2018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153">
        <f>'BGS PTY17 Cost Alloc'!E33</f>
        <v>0.3584</v>
      </c>
      <c r="F33" s="156" t="s">
        <v>40</v>
      </c>
      <c r="G33" s="156" t="s">
        <v>40</v>
      </c>
      <c r="H33" s="153">
        <f>'BGS PTY17 Cost Alloc'!H33</f>
        <v>0.42420000000000002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1">1-E33</f>
        <v>0.64159999999999995</v>
      </c>
      <c r="R33" s="32"/>
      <c r="S33" s="32"/>
      <c r="T33" s="32">
        <f t="shared" ref="T33:T44" si="2">1-H33</f>
        <v>0.57579999999999998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153">
        <f>'BGS PTY17 Cost Alloc'!E34</f>
        <v>0.35410000000000003</v>
      </c>
      <c r="F34" s="156" t="s">
        <v>40</v>
      </c>
      <c r="G34" s="156" t="s">
        <v>40</v>
      </c>
      <c r="H34" s="153">
        <f>'BGS PTY17 Cost Alloc'!H34</f>
        <v>0.42830000000000001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1"/>
        <v>0.64589999999999992</v>
      </c>
      <c r="R34" s="32"/>
      <c r="S34" s="32"/>
      <c r="T34" s="32">
        <f t="shared" si="2"/>
        <v>0.57169999999999999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153">
        <f>'BGS PTY17 Cost Alloc'!E35</f>
        <v>0.3473</v>
      </c>
      <c r="F35" s="156" t="s">
        <v>40</v>
      </c>
      <c r="G35" s="156" t="s">
        <v>40</v>
      </c>
      <c r="H35" s="153">
        <f>'BGS PTY17 Cost Alloc'!H35</f>
        <v>0.42820000000000003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1"/>
        <v>0.65270000000000006</v>
      </c>
      <c r="R35" s="32"/>
      <c r="S35" s="32"/>
      <c r="T35" s="32">
        <f t="shared" si="2"/>
        <v>0.57179999999999997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153">
        <f>'BGS PTY17 Cost Alloc'!E36</f>
        <v>0.3468</v>
      </c>
      <c r="F36" s="156" t="s">
        <v>40</v>
      </c>
      <c r="G36" s="156" t="s">
        <v>40</v>
      </c>
      <c r="H36" s="153">
        <f>'BGS PTY17 Cost Alloc'!H36</f>
        <v>0.44040000000000001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1"/>
        <v>0.6532</v>
      </c>
      <c r="R36" s="32"/>
      <c r="S36" s="32"/>
      <c r="T36" s="32">
        <f t="shared" si="2"/>
        <v>0.55959999999999999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153">
        <f>'BGS PTY17 Cost Alloc'!E37</f>
        <v>0.36659999999999998</v>
      </c>
      <c r="F37" s="156" t="s">
        <v>40</v>
      </c>
      <c r="G37" s="156" t="s">
        <v>40</v>
      </c>
      <c r="H37" s="153">
        <f>'BGS PTY17 Cost Alloc'!H37</f>
        <v>0.4551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1"/>
        <v>0.63339999999999996</v>
      </c>
      <c r="R37" s="32"/>
      <c r="S37" s="32"/>
      <c r="T37" s="32">
        <f t="shared" si="2"/>
        <v>0.54489999999999994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28" t="s">
        <v>6</v>
      </c>
      <c r="C38" s="35"/>
      <c r="D38" s="135"/>
      <c r="E38" s="153">
        <f>'BGS PTY17 Cost Alloc'!E38</f>
        <v>0.39929999999999999</v>
      </c>
      <c r="F38" s="156" t="s">
        <v>40</v>
      </c>
      <c r="G38" s="156" t="s">
        <v>40</v>
      </c>
      <c r="H38" s="153">
        <f>'BGS PTY17 Cost Alloc'!H38</f>
        <v>0.46329999999999999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1"/>
        <v>0.60070000000000001</v>
      </c>
      <c r="R38" s="32"/>
      <c r="S38" s="32"/>
      <c r="T38" s="32">
        <f t="shared" si="2"/>
        <v>0.53669999999999995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28" t="s">
        <v>7</v>
      </c>
      <c r="C39" s="35"/>
      <c r="D39" s="135"/>
      <c r="E39" s="153">
        <f>'BGS PTY17 Cost Alloc'!E39</f>
        <v>0.41589999999999999</v>
      </c>
      <c r="F39" s="156" t="s">
        <v>40</v>
      </c>
      <c r="G39" s="156" t="s">
        <v>40</v>
      </c>
      <c r="H39" s="153">
        <f>'BGS PTY17 Cost Alloc'!H39</f>
        <v>0.4718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1"/>
        <v>0.58410000000000006</v>
      </c>
      <c r="R39" s="32"/>
      <c r="S39" s="32"/>
      <c r="T39" s="32">
        <f t="shared" si="2"/>
        <v>0.5282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28" t="s">
        <v>8</v>
      </c>
      <c r="C40" s="35"/>
      <c r="D40" s="135"/>
      <c r="E40" s="153">
        <f>'BGS PTY17 Cost Alloc'!E40</f>
        <v>0.41589999999999999</v>
      </c>
      <c r="F40" s="156" t="s">
        <v>40</v>
      </c>
      <c r="G40" s="156" t="s">
        <v>40</v>
      </c>
      <c r="H40" s="153">
        <f>'BGS PTY17 Cost Alloc'!H40</f>
        <v>0.46650000000000003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1"/>
        <v>0.58410000000000006</v>
      </c>
      <c r="R40" s="32"/>
      <c r="S40" s="32"/>
      <c r="T40" s="32">
        <f t="shared" si="2"/>
        <v>0.53349999999999997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28" t="s">
        <v>9</v>
      </c>
      <c r="C41" s="35"/>
      <c r="D41" s="135"/>
      <c r="E41" s="153">
        <f>'BGS PTY17 Cost Alloc'!E41</f>
        <v>0.40029999999999999</v>
      </c>
      <c r="F41" s="156" t="s">
        <v>40</v>
      </c>
      <c r="G41" s="156" t="s">
        <v>40</v>
      </c>
      <c r="H41" s="153">
        <f>'BGS PTY17 Cost Alloc'!H41</f>
        <v>0.46129999999999999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1"/>
        <v>0.59970000000000001</v>
      </c>
      <c r="R41" s="32"/>
      <c r="S41" s="32"/>
      <c r="T41" s="32">
        <f t="shared" si="2"/>
        <v>0.53869999999999996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153">
        <f>'BGS PTY17 Cost Alloc'!E42</f>
        <v>0.36680000000000001</v>
      </c>
      <c r="F42" s="156" t="s">
        <v>40</v>
      </c>
      <c r="G42" s="156" t="s">
        <v>40</v>
      </c>
      <c r="H42" s="153">
        <f>'BGS PTY17 Cost Alloc'!H42</f>
        <v>0.4607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1"/>
        <v>0.63319999999999999</v>
      </c>
      <c r="R42" s="32"/>
      <c r="S42" s="32"/>
      <c r="T42" s="32">
        <f t="shared" si="2"/>
        <v>0.5393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153">
        <f>'BGS PTY17 Cost Alloc'!E43</f>
        <v>0.3518</v>
      </c>
      <c r="F43" s="156" t="s">
        <v>40</v>
      </c>
      <c r="G43" s="156" t="s">
        <v>40</v>
      </c>
      <c r="H43" s="153">
        <f>'BGS PTY17 Cost Alloc'!H43</f>
        <v>0.4546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1"/>
        <v>0.6482</v>
      </c>
      <c r="R43" s="32"/>
      <c r="S43" s="32"/>
      <c r="T43" s="32">
        <f t="shared" si="2"/>
        <v>0.5454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153">
        <f>'BGS PTY17 Cost Alloc'!E44</f>
        <v>0.35589999999999999</v>
      </c>
      <c r="F44" s="156" t="s">
        <v>40</v>
      </c>
      <c r="G44" s="156" t="s">
        <v>40</v>
      </c>
      <c r="H44" s="153">
        <f>'BGS PTY17 Cost Alloc'!H44</f>
        <v>0.43390000000000001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1"/>
        <v>0.64410000000000001</v>
      </c>
      <c r="R44" s="32"/>
      <c r="S44" s="32"/>
      <c r="T44" s="32">
        <f t="shared" si="2"/>
        <v>0.56610000000000005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75" x14ac:dyDescent="0.25">
      <c r="A52" s="22"/>
      <c r="B52" s="435" t="str">
        <f>$B$1</f>
        <v xml:space="preserve">Jersey Central Power &amp; Light </v>
      </c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75" x14ac:dyDescent="0.25">
      <c r="A53" s="22"/>
      <c r="B53" s="435" t="str">
        <f>$B$2</f>
        <v>Attachment 2</v>
      </c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70" t="str">
        <f>'BGS PTY17 Cost Alloc'!Y55</f>
        <v>Forecast 2018 Delivery MWh</v>
      </c>
      <c r="X55" s="171"/>
      <c r="Y55" s="171"/>
      <c r="Z55" s="31"/>
    </row>
    <row r="56" spans="1:33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8" t="s">
        <v>251</v>
      </c>
    </row>
    <row r="57" spans="1:33" x14ac:dyDescent="0.2">
      <c r="A57" s="22"/>
      <c r="B57" s="39" t="str">
        <f>'BGS PTY17 Cost Alloc'!$B$57</f>
        <v>calendar month sales forecasted for 2018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2">
      <c r="A60" s="22"/>
      <c r="B60" s="28" t="s">
        <v>1</v>
      </c>
      <c r="C60" s="49"/>
      <c r="D60" s="49"/>
      <c r="E60" s="50">
        <f>'BGS PTY17 Cost Alloc'!E60</f>
        <v>26592</v>
      </c>
      <c r="F60" s="50">
        <f>'BGS PTY17 Cost Alloc'!F60</f>
        <v>799279</v>
      </c>
      <c r="G60" s="50">
        <f>'BGS PTY17 Cost Alloc'!G60</f>
        <v>510394</v>
      </c>
      <c r="H60" s="50">
        <f>'BGS PTY17 Cost Alloc'!H60</f>
        <v>15108</v>
      </c>
      <c r="I60" s="50">
        <f>'BGS PTY17 Cost Alloc'!I60</f>
        <v>9490</v>
      </c>
      <c r="J60" s="50">
        <f t="shared" ref="J60:J72" si="3">SUM(E60:I60)</f>
        <v>1360863</v>
      </c>
      <c r="K60" s="49"/>
      <c r="L60" s="49"/>
      <c r="M60" s="50">
        <f t="shared" ref="M60:M71" si="4">E60-ROUND(SUM($W60/1000),0)</f>
        <v>26108</v>
      </c>
      <c r="N60" s="51" t="s">
        <v>28</v>
      </c>
      <c r="O60" s="52"/>
      <c r="P60" s="53"/>
      <c r="Q60" s="53">
        <f>SUM(E60:E64,E69:E71)</f>
        <v>163437</v>
      </c>
      <c r="R60" s="53">
        <f>SUM(F60:F64,F69:F71)</f>
        <v>5302673</v>
      </c>
      <c r="S60" s="53">
        <f>SUM(G60:G64,G69:G71)</f>
        <v>3817801</v>
      </c>
      <c r="T60" s="53">
        <f>SUM(H60:H64,H69:H71)</f>
        <v>108978</v>
      </c>
      <c r="U60" s="54">
        <f>SUM(I60:I64,I69:I71)</f>
        <v>75717</v>
      </c>
      <c r="V60" s="169">
        <f>'BGS PTY17 Cost Alloc'!V60</f>
        <v>43101</v>
      </c>
      <c r="W60" s="50">
        <f>'BGS PTY17 Cost Alloc'!W60</f>
        <v>484084.67893729993</v>
      </c>
      <c r="X60" s="50">
        <f>'BGS PTY17 Cost Alloc'!X60</f>
        <v>4604.7825406000002</v>
      </c>
      <c r="Y60" s="55">
        <f t="shared" ref="Y60:Y71" si="5">W60-X60</f>
        <v>479479.89639669994</v>
      </c>
      <c r="Z60" s="50">
        <f>'BGS PTY17 Cost Alloc'!Z60</f>
        <v>1918907.2774936</v>
      </c>
      <c r="AA60" s="50">
        <f>'BGS PTY17 Cost Alloc'!AA60</f>
        <v>26107.613694167299</v>
      </c>
      <c r="AB60" s="50">
        <f>'BGS PTY17 Cost Alloc'!AB60</f>
        <v>797359.65613194206</v>
      </c>
      <c r="AC60" s="50">
        <f>'BGS PTY17 Cost Alloc'!AC60</f>
        <v>510399.101220018</v>
      </c>
      <c r="AD60" s="50">
        <f>'BGS PTY17 Cost Alloc'!AD60</f>
        <v>561197.93522001803</v>
      </c>
      <c r="AG60" s="50">
        <f>'BGS PTY17 Cost Alloc'!AG60</f>
        <v>15108.375460639902</v>
      </c>
    </row>
    <row r="61" spans="1:33" x14ac:dyDescent="0.2">
      <c r="A61" s="22"/>
      <c r="B61" s="28" t="s">
        <v>2</v>
      </c>
      <c r="C61" s="49"/>
      <c r="D61" s="49"/>
      <c r="E61" s="50">
        <f>'BGS PTY17 Cost Alloc'!E61</f>
        <v>27398</v>
      </c>
      <c r="F61" s="50">
        <f>'BGS PTY17 Cost Alloc'!F61</f>
        <v>760155</v>
      </c>
      <c r="G61" s="50">
        <f>'BGS PTY17 Cost Alloc'!G61</f>
        <v>493890</v>
      </c>
      <c r="H61" s="50">
        <f>'BGS PTY17 Cost Alloc'!H61</f>
        <v>15108</v>
      </c>
      <c r="I61" s="50">
        <f>'BGS PTY17 Cost Alloc'!I61</f>
        <v>9485</v>
      </c>
      <c r="J61" s="50">
        <f t="shared" si="3"/>
        <v>1306036</v>
      </c>
      <c r="K61" s="49"/>
      <c r="L61" s="49"/>
      <c r="M61" s="50">
        <f t="shared" si="4"/>
        <v>26921</v>
      </c>
      <c r="N61" s="51"/>
      <c r="O61" s="52"/>
      <c r="P61" s="114" t="s">
        <v>193</v>
      </c>
      <c r="Q61" s="53">
        <f>SUMPRODUCT(E33:E37,M60:M64)+SUMPRODUCT(E42:E44,M69:M71)</f>
        <v>56758.725399999996</v>
      </c>
      <c r="R61" s="47"/>
      <c r="S61" s="131" t="s">
        <v>177</v>
      </c>
      <c r="T61" s="53">
        <f>SUMPRODUCT(H33:H37,H60:H64)+SUMPRODUCT(H42:H44,H69:H71)</f>
        <v>47882.7984</v>
      </c>
      <c r="U61" s="48">
        <f>T61/T60</f>
        <v>0.43938041072510048</v>
      </c>
      <c r="V61" s="169">
        <f>'BGS PTY17 Cost Alloc'!V61</f>
        <v>43132</v>
      </c>
      <c r="W61" s="50">
        <f>'BGS PTY17 Cost Alloc'!W61</f>
        <v>477463.23484459997</v>
      </c>
      <c r="X61" s="50">
        <f>'BGS PTY17 Cost Alloc'!X61</f>
        <v>4552.8303741999998</v>
      </c>
      <c r="Y61" s="55">
        <f t="shared" si="5"/>
        <v>472910.40447039995</v>
      </c>
      <c r="Z61" s="50">
        <f>'BGS PTY17 Cost Alloc'!Z61</f>
        <v>1892620.5957742</v>
      </c>
      <c r="AA61" s="50">
        <f>'BGS PTY17 Cost Alloc'!AA61</f>
        <v>26921.4641347504</v>
      </c>
      <c r="AB61" s="50">
        <f>'BGS PTY17 Cost Alloc'!AB61</f>
        <v>758262.28886500502</v>
      </c>
      <c r="AC61" s="50">
        <f>'BGS PTY17 Cost Alloc'!AC61</f>
        <v>493894.641684503</v>
      </c>
      <c r="AD61" s="50">
        <f>'BGS PTY17 Cost Alloc'!AD61</f>
        <v>542656.76268450299</v>
      </c>
      <c r="AG61" s="50">
        <f>'BGS PTY17 Cost Alloc'!AG61</f>
        <v>15108.042151111998</v>
      </c>
    </row>
    <row r="62" spans="1:33" x14ac:dyDescent="0.2">
      <c r="A62" s="22"/>
      <c r="B62" s="28" t="s">
        <v>3</v>
      </c>
      <c r="C62" s="49"/>
      <c r="D62" s="49"/>
      <c r="E62" s="50">
        <f>'BGS PTY17 Cost Alloc'!E62</f>
        <v>25342</v>
      </c>
      <c r="F62" s="50">
        <f>'BGS PTY17 Cost Alloc'!F62</f>
        <v>690812</v>
      </c>
      <c r="G62" s="50">
        <f>'BGS PTY17 Cost Alloc'!G62</f>
        <v>508325</v>
      </c>
      <c r="H62" s="50">
        <f>'BGS PTY17 Cost Alloc'!H62</f>
        <v>15667</v>
      </c>
      <c r="I62" s="50">
        <f>'BGS PTY17 Cost Alloc'!I62</f>
        <v>9480</v>
      </c>
      <c r="J62" s="50">
        <f t="shared" si="3"/>
        <v>1249626</v>
      </c>
      <c r="K62" s="49"/>
      <c r="L62" s="49"/>
      <c r="M62" s="50">
        <f t="shared" si="4"/>
        <v>24871</v>
      </c>
      <c r="N62" s="51"/>
      <c r="O62" s="52"/>
      <c r="P62" s="114" t="s">
        <v>194</v>
      </c>
      <c r="Q62" s="53">
        <f>SUMPRODUCT(Q33:Q37,M60:M64)+SUMPRODUCT(Q42:Q44,M69:M71)</f>
        <v>103068.2746</v>
      </c>
      <c r="R62" s="47"/>
      <c r="S62" s="131" t="s">
        <v>178</v>
      </c>
      <c r="T62" s="53">
        <f>+T60-T61</f>
        <v>61095.2016</v>
      </c>
      <c r="U62" s="48"/>
      <c r="V62" s="169">
        <f>'BGS PTY17 Cost Alloc'!V62</f>
        <v>43160</v>
      </c>
      <c r="W62" s="50">
        <f>'BGS PTY17 Cost Alloc'!W62</f>
        <v>471398.92719170003</v>
      </c>
      <c r="X62" s="50">
        <f>'BGS PTY17 Cost Alloc'!X62</f>
        <v>4503.0900005000003</v>
      </c>
      <c r="Y62" s="55">
        <f t="shared" si="5"/>
        <v>466895.8371912</v>
      </c>
      <c r="Z62" s="50">
        <f>'BGS PTY17 Cost Alloc'!Z62</f>
        <v>1703760.4013359</v>
      </c>
      <c r="AA62" s="50">
        <f>'BGS PTY17 Cost Alloc'!AA62</f>
        <v>24871.170958628998</v>
      </c>
      <c r="AB62" s="50">
        <f>'BGS PTY17 Cost Alloc'!AB62</f>
        <v>689107.636802844</v>
      </c>
      <c r="AC62" s="50">
        <f>'BGS PTY17 Cost Alloc'!AC62</f>
        <v>508330.18124383496</v>
      </c>
      <c r="AD62" s="50">
        <f>'BGS PTY17 Cost Alloc'!AD62</f>
        <v>555486.82424383494</v>
      </c>
      <c r="AG62" s="50">
        <f>'BGS PTY17 Cost Alloc'!AG62</f>
        <v>15666.663593153104</v>
      </c>
    </row>
    <row r="63" spans="1:33" x14ac:dyDescent="0.2">
      <c r="A63" s="22"/>
      <c r="B63" s="28" t="s">
        <v>4</v>
      </c>
      <c r="C63" s="49"/>
      <c r="D63" s="49"/>
      <c r="E63" s="50">
        <f>'BGS PTY17 Cost Alloc'!E63</f>
        <v>19847</v>
      </c>
      <c r="F63" s="50">
        <f>'BGS PTY17 Cost Alloc'!F63</f>
        <v>589629</v>
      </c>
      <c r="G63" s="50">
        <f>'BGS PTY17 Cost Alloc'!G63</f>
        <v>465966</v>
      </c>
      <c r="H63" s="50">
        <f>'BGS PTY17 Cost Alloc'!H63</f>
        <v>14129</v>
      </c>
      <c r="I63" s="50">
        <f>'BGS PTY17 Cost Alloc'!I63</f>
        <v>9475</v>
      </c>
      <c r="J63" s="50">
        <f t="shared" si="3"/>
        <v>1099046</v>
      </c>
      <c r="K63" s="49"/>
      <c r="L63" s="49"/>
      <c r="M63" s="50">
        <f t="shared" si="4"/>
        <v>19382</v>
      </c>
      <c r="N63" s="46"/>
      <c r="O63" s="47"/>
      <c r="P63" s="114" t="s">
        <v>195</v>
      </c>
      <c r="Q63" s="53">
        <f>SUM(W60:W64,W69:W71)/1000</f>
        <v>3609.5614574587003</v>
      </c>
      <c r="R63" s="47"/>
      <c r="S63" s="47"/>
      <c r="T63" s="47"/>
      <c r="U63" s="48"/>
      <c r="V63" s="169">
        <f>'BGS PTY17 Cost Alloc'!V63</f>
        <v>43191</v>
      </c>
      <c r="W63" s="50">
        <f>'BGS PTY17 Cost Alloc'!W63</f>
        <v>464569.87553070002</v>
      </c>
      <c r="X63" s="50">
        <f>'BGS PTY17 Cost Alloc'!X63</f>
        <v>4471.4730952</v>
      </c>
      <c r="Y63" s="55">
        <f t="shared" si="5"/>
        <v>460098.4024355</v>
      </c>
      <c r="Z63" s="50">
        <f>'BGS PTY17 Cost Alloc'!Z63</f>
        <v>1293214.2449352001</v>
      </c>
      <c r="AA63" s="50">
        <f>'BGS PTY17 Cost Alloc'!AA63</f>
        <v>19381.885010979702</v>
      </c>
      <c r="AB63" s="50">
        <f>'BGS PTY17 Cost Alloc'!AB63</f>
        <v>588335.98634165002</v>
      </c>
      <c r="AC63" s="50">
        <f>'BGS PTY17 Cost Alloc'!AC63</f>
        <v>465969.785230259</v>
      </c>
      <c r="AD63" s="50">
        <f>'BGS PTY17 Cost Alloc'!AD63</f>
        <v>515135.85223025898</v>
      </c>
      <c r="AG63" s="50">
        <f>'BGS PTY17 Cost Alloc'!AG63</f>
        <v>14129.337734551698</v>
      </c>
    </row>
    <row r="64" spans="1:33" x14ac:dyDescent="0.2">
      <c r="A64" s="22"/>
      <c r="B64" s="28" t="s">
        <v>5</v>
      </c>
      <c r="C64" s="49"/>
      <c r="D64" s="49"/>
      <c r="E64" s="50">
        <f>'BGS PTY17 Cost Alloc'!E64</f>
        <v>15385</v>
      </c>
      <c r="F64" s="50">
        <f>'BGS PTY17 Cost Alloc'!F64</f>
        <v>552906</v>
      </c>
      <c r="G64" s="50">
        <f>'BGS PTY17 Cost Alloc'!G64</f>
        <v>436268</v>
      </c>
      <c r="H64" s="50">
        <f>'BGS PTY17 Cost Alloc'!H64</f>
        <v>10341</v>
      </c>
      <c r="I64" s="50">
        <f>'BGS PTY17 Cost Alloc'!I64</f>
        <v>9470</v>
      </c>
      <c r="J64" s="50">
        <f t="shared" si="3"/>
        <v>1024370</v>
      </c>
      <c r="K64" s="49"/>
      <c r="L64" s="49"/>
      <c r="M64" s="50">
        <f t="shared" si="4"/>
        <v>14927</v>
      </c>
      <c r="N64" s="51" t="s">
        <v>29</v>
      </c>
      <c r="O64" s="52"/>
      <c r="P64" s="53"/>
      <c r="Q64" s="53">
        <f>+SUM(E65:E68)</f>
        <v>77643</v>
      </c>
      <c r="R64" s="53">
        <f>+SUM(F65:F68)</f>
        <v>3756035</v>
      </c>
      <c r="S64" s="53">
        <f>+SUM(G65:G68)</f>
        <v>2209279</v>
      </c>
      <c r="T64" s="53">
        <f>+SUM(H65:H68)</f>
        <v>58121</v>
      </c>
      <c r="U64" s="54">
        <f>+SUM(I65:I68)</f>
        <v>37828</v>
      </c>
      <c r="V64" s="169">
        <f>'BGS PTY17 Cost Alloc'!V64</f>
        <v>43221</v>
      </c>
      <c r="W64" s="50">
        <f>'BGS PTY17 Cost Alloc'!W64</f>
        <v>457893.06750289997</v>
      </c>
      <c r="X64" s="50">
        <f>'BGS PTY17 Cost Alloc'!X64</f>
        <v>4455.3368780999999</v>
      </c>
      <c r="Y64" s="55">
        <f t="shared" si="5"/>
        <v>453437.73062479997</v>
      </c>
      <c r="Z64" s="50">
        <f>'BGS PTY17 Cost Alloc'!Z64</f>
        <v>961078.93891040003</v>
      </c>
      <c r="AA64" s="50">
        <f>'BGS PTY17 Cost Alloc'!AA64</f>
        <v>14926.9446093193</v>
      </c>
      <c r="AB64" s="50">
        <f>'BGS PTY17 Cost Alloc'!AB64</f>
        <v>551945.35872114601</v>
      </c>
      <c r="AC64" s="50">
        <f>'BGS PTY17 Cost Alloc'!AC64</f>
        <v>436271.96970793803</v>
      </c>
      <c r="AD64" s="50">
        <f>'BGS PTY17 Cost Alloc'!AD64</f>
        <v>489100.955707938</v>
      </c>
      <c r="AG64" s="50">
        <f>'BGS PTY17 Cost Alloc'!AG64</f>
        <v>10341.098849502399</v>
      </c>
    </row>
    <row r="65" spans="1:34" x14ac:dyDescent="0.2">
      <c r="A65" s="22"/>
      <c r="B65" s="28" t="s">
        <v>6</v>
      </c>
      <c r="C65" s="49"/>
      <c r="D65" s="49"/>
      <c r="E65" s="50">
        <f>'BGS PTY17 Cost Alloc'!E65</f>
        <v>16535</v>
      </c>
      <c r="F65" s="50">
        <f>'BGS PTY17 Cost Alloc'!F65</f>
        <v>715966</v>
      </c>
      <c r="G65" s="50">
        <f>'BGS PTY17 Cost Alloc'!G65</f>
        <v>508549</v>
      </c>
      <c r="H65" s="50">
        <f>'BGS PTY17 Cost Alloc'!H65</f>
        <v>13565</v>
      </c>
      <c r="I65" s="50">
        <f>'BGS PTY17 Cost Alloc'!I65</f>
        <v>9465</v>
      </c>
      <c r="J65" s="50">
        <f t="shared" si="3"/>
        <v>1264080</v>
      </c>
      <c r="K65" s="49"/>
      <c r="L65" s="50"/>
      <c r="M65" s="50">
        <f t="shared" si="4"/>
        <v>16084</v>
      </c>
      <c r="N65" s="51"/>
      <c r="O65" s="52"/>
      <c r="P65" s="157" t="s">
        <v>151</v>
      </c>
      <c r="Q65" s="158">
        <f>SUMPRODUCT(E38:E41,M65:M68)</f>
        <v>31007.910499999998</v>
      </c>
      <c r="R65" s="158">
        <f>'BGS PTY17 Cost Alloc'!R65</f>
        <v>1966233.6807635399</v>
      </c>
      <c r="S65" s="131" t="s">
        <v>177</v>
      </c>
      <c r="T65" s="53">
        <f>+SUMPRODUCT(H38:H41,H65:H68)</f>
        <v>27069.1777</v>
      </c>
      <c r="U65" s="56">
        <f>T65/T64</f>
        <v>0.46573833382082208</v>
      </c>
      <c r="V65" s="169">
        <f>'BGS PTY17 Cost Alloc'!V65</f>
        <v>43252</v>
      </c>
      <c r="W65" s="50">
        <f>'BGS PTY17 Cost Alloc'!W65</f>
        <v>451008.21692110004</v>
      </c>
      <c r="X65" s="50">
        <f>'BGS PTY17 Cost Alloc'!X65</f>
        <v>4412.0570854999996</v>
      </c>
      <c r="Y65" s="55">
        <f t="shared" si="5"/>
        <v>446596.15983560006</v>
      </c>
      <c r="Z65" s="50">
        <f>'BGS PTY17 Cost Alloc'!Z65</f>
        <v>1026029.6711441</v>
      </c>
      <c r="AA65" s="50">
        <f>'BGS PTY17 Cost Alloc'!AA65</f>
        <v>15057.990146324801</v>
      </c>
      <c r="AB65" s="50">
        <f>'BGS PTY17 Cost Alloc'!AB65</f>
        <v>715966.23302269494</v>
      </c>
      <c r="AC65" s="50">
        <f>'BGS PTY17 Cost Alloc'!AC65</f>
        <v>508553.34947173204</v>
      </c>
      <c r="AD65" s="50">
        <f>'BGS PTY17 Cost Alloc'!AD65</f>
        <v>561369.66347173206</v>
      </c>
      <c r="AG65" s="50">
        <f>'BGS PTY17 Cost Alloc'!AG65</f>
        <v>13565.393794336402</v>
      </c>
    </row>
    <row r="66" spans="1:34" x14ac:dyDescent="0.2">
      <c r="A66" s="22"/>
      <c r="B66" s="28" t="s">
        <v>7</v>
      </c>
      <c r="C66" s="49"/>
      <c r="D66" s="49"/>
      <c r="E66" s="50">
        <f>'BGS PTY17 Cost Alloc'!E66</f>
        <v>20574</v>
      </c>
      <c r="F66" s="50">
        <f>'BGS PTY17 Cost Alloc'!F66</f>
        <v>1004787</v>
      </c>
      <c r="G66" s="50">
        <f>'BGS PTY17 Cost Alloc'!G66</f>
        <v>564605</v>
      </c>
      <c r="H66" s="50">
        <f>'BGS PTY17 Cost Alloc'!H66</f>
        <v>14168</v>
      </c>
      <c r="I66" s="50">
        <f>'BGS PTY17 Cost Alloc'!I66</f>
        <v>9460</v>
      </c>
      <c r="J66" s="50">
        <f t="shared" si="3"/>
        <v>1613594</v>
      </c>
      <c r="K66" s="49"/>
      <c r="L66" s="50"/>
      <c r="M66" s="50">
        <f t="shared" si="4"/>
        <v>20130</v>
      </c>
      <c r="N66" s="51"/>
      <c r="O66" s="52"/>
      <c r="P66" s="157" t="s">
        <v>152</v>
      </c>
      <c r="Q66" s="158">
        <f>SUMPRODUCT(Q38:Q41,M65:M68)</f>
        <v>44871.089500000002</v>
      </c>
      <c r="R66" s="158">
        <f>'BGS PTY17 Cost Alloc'!R66</f>
        <v>1789801.3192364601</v>
      </c>
      <c r="S66" s="131" t="s">
        <v>178</v>
      </c>
      <c r="T66" s="53">
        <f>+T64-T65</f>
        <v>31051.8223</v>
      </c>
      <c r="U66" s="48"/>
      <c r="V66" s="169">
        <f>'BGS PTY17 Cost Alloc'!V66</f>
        <v>43282</v>
      </c>
      <c r="W66" s="50">
        <f>'BGS PTY17 Cost Alloc'!W66</f>
        <v>444429.60457440006</v>
      </c>
      <c r="X66" s="50">
        <f>'BGS PTY17 Cost Alloc'!X66</f>
        <v>4348.6047331</v>
      </c>
      <c r="Y66" s="55">
        <f t="shared" si="5"/>
        <v>440080.99984130007</v>
      </c>
      <c r="Z66" s="50">
        <f>'BGS PTY17 Cost Alloc'!Z66</f>
        <v>1248292.6233738</v>
      </c>
      <c r="AA66" s="50">
        <f>'BGS PTY17 Cost Alloc'!AA66</f>
        <v>18881.452187436498</v>
      </c>
      <c r="AB66" s="50">
        <f>'BGS PTY17 Cost Alloc'!AB66</f>
        <v>1004786.97118935</v>
      </c>
      <c r="AC66" s="50">
        <f>'BGS PTY17 Cost Alloc'!AC66</f>
        <v>564609.29122548294</v>
      </c>
      <c r="AD66" s="50">
        <f>'BGS PTY17 Cost Alloc'!AD66</f>
        <v>625032.84622548299</v>
      </c>
      <c r="AG66" s="50">
        <f>'BGS PTY17 Cost Alloc'!AG66</f>
        <v>14167.925159521594</v>
      </c>
    </row>
    <row r="67" spans="1:34" x14ac:dyDescent="0.2">
      <c r="A67" s="22"/>
      <c r="B67" s="28" t="s">
        <v>8</v>
      </c>
      <c r="C67" s="49"/>
      <c r="D67" s="49"/>
      <c r="E67" s="50">
        <f>'BGS PTY17 Cost Alloc'!E67</f>
        <v>21951</v>
      </c>
      <c r="F67" s="50">
        <f>'BGS PTY17 Cost Alloc'!F67</f>
        <v>1111718</v>
      </c>
      <c r="G67" s="50">
        <f>'BGS PTY17 Cost Alloc'!G67</f>
        <v>587963</v>
      </c>
      <c r="H67" s="50">
        <f>'BGS PTY17 Cost Alloc'!H67</f>
        <v>15782</v>
      </c>
      <c r="I67" s="50">
        <f>'BGS PTY17 Cost Alloc'!I67</f>
        <v>9454</v>
      </c>
      <c r="J67" s="50">
        <f t="shared" si="3"/>
        <v>1746868</v>
      </c>
      <c r="K67" s="49"/>
      <c r="L67" s="49"/>
      <c r="M67" s="50">
        <f t="shared" si="4"/>
        <v>21513</v>
      </c>
      <c r="N67" s="57"/>
      <c r="O67" s="58"/>
      <c r="P67" s="114" t="s">
        <v>195</v>
      </c>
      <c r="Q67" s="53">
        <f>SUM(W65:W68)/1000</f>
        <v>1764.1423844134001</v>
      </c>
      <c r="R67" s="66"/>
      <c r="S67" s="58"/>
      <c r="T67" s="58"/>
      <c r="U67" s="59"/>
      <c r="V67" s="169">
        <f>'BGS PTY17 Cost Alloc'!V67</f>
        <v>43313</v>
      </c>
      <c r="W67" s="50">
        <f>'BGS PTY17 Cost Alloc'!W67</f>
        <v>437703.82789889997</v>
      </c>
      <c r="X67" s="50">
        <f>'BGS PTY17 Cost Alloc'!X67</f>
        <v>4302.3085903000001</v>
      </c>
      <c r="Y67" s="55">
        <f t="shared" si="5"/>
        <v>433401.51930859999</v>
      </c>
      <c r="Z67" s="50">
        <f>'BGS PTY17 Cost Alloc'!Z67</f>
        <v>1303502.2858349001</v>
      </c>
      <c r="AA67" s="50">
        <f>'BGS PTY17 Cost Alloc'!AA67</f>
        <v>20210.306567985801</v>
      </c>
      <c r="AB67" s="50">
        <f>'BGS PTY17 Cost Alloc'!AB67</f>
        <v>1111717.70262687</v>
      </c>
      <c r="AC67" s="50">
        <f>'BGS PTY17 Cost Alloc'!AC67</f>
        <v>587966.94902956497</v>
      </c>
      <c r="AD67" s="50">
        <f>'BGS PTY17 Cost Alloc'!AD67</f>
        <v>649230.79502956499</v>
      </c>
      <c r="AG67" s="50">
        <f>'BGS PTY17 Cost Alloc'!AG67</f>
        <v>15781.708187981001</v>
      </c>
    </row>
    <row r="68" spans="1:34" x14ac:dyDescent="0.2">
      <c r="A68" s="22"/>
      <c r="B68" s="28" t="s">
        <v>9</v>
      </c>
      <c r="C68" s="49"/>
      <c r="D68" s="49"/>
      <c r="E68" s="50">
        <f>'BGS PTY17 Cost Alloc'!E68</f>
        <v>18583</v>
      </c>
      <c r="F68" s="50">
        <f>'BGS PTY17 Cost Alloc'!F68</f>
        <v>923564</v>
      </c>
      <c r="G68" s="50">
        <f>'BGS PTY17 Cost Alloc'!G68</f>
        <v>548162</v>
      </c>
      <c r="H68" s="50">
        <f>'BGS PTY17 Cost Alloc'!H68</f>
        <v>14606</v>
      </c>
      <c r="I68" s="50">
        <f>'BGS PTY17 Cost Alloc'!I68</f>
        <v>9449</v>
      </c>
      <c r="J68" s="50">
        <f t="shared" si="3"/>
        <v>1514364</v>
      </c>
      <c r="K68" s="49"/>
      <c r="L68" s="49"/>
      <c r="M68" s="50">
        <f t="shared" si="4"/>
        <v>18152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9">
        <f>'BGS PTY17 Cost Alloc'!V68</f>
        <v>43344</v>
      </c>
      <c r="W68" s="50">
        <f>'BGS PTY17 Cost Alloc'!W68</f>
        <v>431000.73501900007</v>
      </c>
      <c r="X68" s="50">
        <f>'BGS PTY17 Cost Alloc'!X68</f>
        <v>4263.8549514000006</v>
      </c>
      <c r="Y68" s="55">
        <f t="shared" si="5"/>
        <v>426736.88006760005</v>
      </c>
      <c r="Z68" s="50">
        <f>'BGS PTY17 Cost Alloc'!Z68</f>
        <v>1112732.5409321999</v>
      </c>
      <c r="AA68" s="50">
        <f>'BGS PTY17 Cost Alloc'!AA68</f>
        <v>17038.862970017999</v>
      </c>
      <c r="AB68" s="50">
        <f>'BGS PTY17 Cost Alloc'!AB68</f>
        <v>923564.02760898299</v>
      </c>
      <c r="AC68" s="50">
        <f>'BGS PTY17 Cost Alloc'!AC68</f>
        <v>548165.96438928205</v>
      </c>
      <c r="AD68" s="50">
        <f>'BGS PTY17 Cost Alloc'!AD68</f>
        <v>606331.97338928201</v>
      </c>
      <c r="AG68" s="50">
        <f>'BGS PTY17 Cost Alloc'!AG68</f>
        <v>14605.595506058</v>
      </c>
    </row>
    <row r="69" spans="1:34" x14ac:dyDescent="0.2">
      <c r="A69" s="22"/>
      <c r="B69" s="28" t="s">
        <v>10</v>
      </c>
      <c r="C69" s="49"/>
      <c r="D69" s="49"/>
      <c r="E69" s="50">
        <f>'BGS PTY17 Cost Alloc'!E69</f>
        <v>14081</v>
      </c>
      <c r="F69" s="50">
        <f>'BGS PTY17 Cost Alloc'!F69</f>
        <v>658509</v>
      </c>
      <c r="G69" s="50">
        <f>'BGS PTY17 Cost Alloc'!G69</f>
        <v>477383</v>
      </c>
      <c r="H69" s="50">
        <f>'BGS PTY17 Cost Alloc'!H69</f>
        <v>12752</v>
      </c>
      <c r="I69" s="50">
        <f>'BGS PTY17 Cost Alloc'!I69</f>
        <v>9444</v>
      </c>
      <c r="J69" s="50">
        <f t="shared" si="3"/>
        <v>1172169</v>
      </c>
      <c r="K69" s="49"/>
      <c r="L69" s="49"/>
      <c r="M69" s="50">
        <f t="shared" si="4"/>
        <v>13656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9">
        <f>'BGS PTY17 Cost Alloc'!V69</f>
        <v>43374</v>
      </c>
      <c r="W69" s="50">
        <f>'BGS PTY17 Cost Alloc'!W69</f>
        <v>424583.96870499995</v>
      </c>
      <c r="X69" s="50">
        <f>'BGS PTY17 Cost Alloc'!X69</f>
        <v>4256.1845043000003</v>
      </c>
      <c r="Y69" s="55">
        <f t="shared" si="5"/>
        <v>420327.78420069994</v>
      </c>
      <c r="Z69" s="50">
        <f>'BGS PTY17 Cost Alloc'!Z69</f>
        <v>920057.94926230004</v>
      </c>
      <c r="AA69" s="50">
        <f>'BGS PTY17 Cost Alloc'!AA69</f>
        <v>13656.023813534699</v>
      </c>
      <c r="AB69" s="50">
        <f>'BGS PTY17 Cost Alloc'!AB69</f>
        <v>657589.44345300202</v>
      </c>
      <c r="AC69" s="50">
        <f>'BGS PTY17 Cost Alloc'!AC69</f>
        <v>477387.24944953603</v>
      </c>
      <c r="AD69" s="50">
        <f>'BGS PTY17 Cost Alloc'!AD69</f>
        <v>533592.46844953601</v>
      </c>
      <c r="AG69" s="50">
        <f>'BGS PTY17 Cost Alloc'!AG69</f>
        <v>12751.7566700591</v>
      </c>
    </row>
    <row r="70" spans="1:34" x14ac:dyDescent="0.2">
      <c r="A70" s="22"/>
      <c r="B70" s="28" t="s">
        <v>11</v>
      </c>
      <c r="C70" s="49"/>
      <c r="D70" s="49"/>
      <c r="E70" s="50">
        <f>'BGS PTY17 Cost Alloc'!E70</f>
        <v>14764</v>
      </c>
      <c r="F70" s="50">
        <f>'BGS PTY17 Cost Alloc'!F70</f>
        <v>573321</v>
      </c>
      <c r="G70" s="50">
        <f>'BGS PTY17 Cost Alloc'!G70</f>
        <v>453136</v>
      </c>
      <c r="H70" s="50">
        <f>'BGS PTY17 Cost Alloc'!H70</f>
        <v>12796</v>
      </c>
      <c r="I70" s="50">
        <f>'BGS PTY17 Cost Alloc'!I70</f>
        <v>9439</v>
      </c>
      <c r="J70" s="50">
        <f t="shared" si="3"/>
        <v>1063456</v>
      </c>
      <c r="K70" s="49"/>
      <c r="L70" s="49"/>
      <c r="M70" s="50">
        <f t="shared" si="4"/>
        <v>14346</v>
      </c>
      <c r="N70" s="46"/>
      <c r="O70" s="47"/>
      <c r="P70" s="47"/>
      <c r="Q70" s="47"/>
      <c r="R70" s="47"/>
      <c r="S70" s="47"/>
      <c r="T70" s="47"/>
      <c r="U70" s="48"/>
      <c r="V70" s="169">
        <f>'BGS PTY17 Cost Alloc'!V70</f>
        <v>43405</v>
      </c>
      <c r="W70" s="50">
        <f>'BGS PTY17 Cost Alloc'!W70</f>
        <v>417984.01565449999</v>
      </c>
      <c r="X70" s="50">
        <f>'BGS PTY17 Cost Alloc'!X70</f>
        <v>4215.8947844000004</v>
      </c>
      <c r="Y70" s="55">
        <f t="shared" si="5"/>
        <v>413768.12087009999</v>
      </c>
      <c r="Z70" s="50">
        <f>'BGS PTY17 Cost Alloc'!Z70</f>
        <v>1035443.2074712</v>
      </c>
      <c r="AA70" s="50">
        <f>'BGS PTY17 Cost Alloc'!AA70</f>
        <v>14345.676869766899</v>
      </c>
      <c r="AB70" s="50">
        <f>'BGS PTY17 Cost Alloc'!AB70</f>
        <v>572285.67680189305</v>
      </c>
      <c r="AC70" s="50">
        <f>'BGS PTY17 Cost Alloc'!AC70</f>
        <v>453140.30549563596</v>
      </c>
      <c r="AD70" s="50">
        <f>'BGS PTY17 Cost Alloc'!AD70</f>
        <v>504091.23749563599</v>
      </c>
      <c r="AE70" s="13">
        <f>'BGS PTY17 Cost Alloc'!AE70</f>
        <v>0</v>
      </c>
      <c r="AG70" s="50">
        <f>'BGS PTY17 Cost Alloc'!AG70</f>
        <v>12795.746913092702</v>
      </c>
      <c r="AH70" s="13">
        <f>'BGS PTY17 Cost Alloc'!AH70</f>
        <v>0</v>
      </c>
    </row>
    <row r="71" spans="1:34" x14ac:dyDescent="0.2">
      <c r="A71" s="22"/>
      <c r="B71" s="28" t="s">
        <v>12</v>
      </c>
      <c r="C71" s="49"/>
      <c r="D71" s="49"/>
      <c r="E71" s="50">
        <f>'BGS PTY17 Cost Alloc'!E71</f>
        <v>20028</v>
      </c>
      <c r="F71" s="50">
        <f>'BGS PTY17 Cost Alloc'!F71</f>
        <v>678062</v>
      </c>
      <c r="G71" s="50">
        <f>'BGS PTY17 Cost Alloc'!G71</f>
        <v>472439</v>
      </c>
      <c r="H71" s="50">
        <f>'BGS PTY17 Cost Alloc'!H71</f>
        <v>13077</v>
      </c>
      <c r="I71" s="50">
        <f>'BGS PTY17 Cost Alloc'!I71</f>
        <v>9434</v>
      </c>
      <c r="J71" s="50">
        <f t="shared" si="3"/>
        <v>1193040</v>
      </c>
      <c r="K71" s="49"/>
      <c r="L71" s="49"/>
      <c r="M71" s="50">
        <f t="shared" si="4"/>
        <v>19616</v>
      </c>
      <c r="N71" s="51"/>
      <c r="O71" s="52"/>
      <c r="P71" s="115" t="s">
        <v>148</v>
      </c>
      <c r="Q71" s="53">
        <f>SUM(E60:E64,E69:E71)</f>
        <v>163437</v>
      </c>
      <c r="R71" s="53"/>
      <c r="S71" s="115" t="s">
        <v>148</v>
      </c>
      <c r="T71" s="53">
        <f>SUM(H60:H64,H69:H71)</f>
        <v>108978</v>
      </c>
      <c r="U71" s="54"/>
      <c r="V71" s="169">
        <f>'BGS PTY17 Cost Alloc'!V71</f>
        <v>43435</v>
      </c>
      <c r="W71" s="50">
        <f>'BGS PTY17 Cost Alloc'!W71</f>
        <v>411583.68909199996</v>
      </c>
      <c r="X71" s="50">
        <f>'BGS PTY17 Cost Alloc'!X71</f>
        <v>4150.6522543999999</v>
      </c>
      <c r="Y71" s="55">
        <f t="shared" si="5"/>
        <v>407433.03683759994</v>
      </c>
      <c r="Z71" s="50">
        <f>'BGS PTY17 Cost Alloc'!Z71</f>
        <v>1432508.5301492999</v>
      </c>
      <c r="AA71" s="50">
        <f>'BGS PTY17 Cost Alloc'!AA71</f>
        <v>19616.3468370062</v>
      </c>
      <c r="AB71" s="50">
        <f>'BGS PTY17 Cost Alloc'!AB71</f>
        <v>676629.10559600696</v>
      </c>
      <c r="AC71" s="50">
        <f>'BGS PTY17 Cost Alloc'!AC71</f>
        <v>472443.27835132903</v>
      </c>
      <c r="AD71" s="50">
        <f>'BGS PTY17 Cost Alloc'!AD71</f>
        <v>521307.46335132903</v>
      </c>
      <c r="AE71" s="13">
        <f>'BGS PTY17 Cost Alloc'!AE71</f>
        <v>0</v>
      </c>
      <c r="AG71" s="50">
        <f>'BGS PTY17 Cost Alloc'!AG71</f>
        <v>13077.117372242101</v>
      </c>
      <c r="AH71" s="13">
        <f>'BGS PTY17 Cost Alloc'!AH71</f>
        <v>0</v>
      </c>
    </row>
    <row r="72" spans="1:34" x14ac:dyDescent="0.2">
      <c r="A72" s="22"/>
      <c r="B72" s="60" t="s">
        <v>13</v>
      </c>
      <c r="C72" s="55"/>
      <c r="D72" s="55"/>
      <c r="E72" s="55">
        <f>SUM(E60:E71)</f>
        <v>241080</v>
      </c>
      <c r="F72" s="55">
        <f>SUM(F60:F71)</f>
        <v>9058708</v>
      </c>
      <c r="G72" s="55">
        <f>SUM(G60:G71)</f>
        <v>6027080</v>
      </c>
      <c r="H72" s="55">
        <f>SUM(H60:H71)</f>
        <v>167099</v>
      </c>
      <c r="I72" s="55">
        <f>SUM(I60:I71)</f>
        <v>113545</v>
      </c>
      <c r="J72" s="55">
        <f t="shared" si="3"/>
        <v>15607512</v>
      </c>
      <c r="K72" s="55"/>
      <c r="L72" s="55"/>
      <c r="M72" s="55">
        <f>SUM(M60:M71)</f>
        <v>235706</v>
      </c>
      <c r="N72" s="51"/>
      <c r="O72" s="52"/>
      <c r="P72" s="114" t="s">
        <v>146</v>
      </c>
      <c r="Q72" s="53">
        <f>SUMPRODUCT(E15:E19,E60:E64)+SUMPRODUCT(E24:E26,E69:E71)</f>
        <v>81015.231499999994</v>
      </c>
      <c r="R72" s="47">
        <f>Q72/Q71</f>
        <v>0.49569700557401319</v>
      </c>
      <c r="S72" s="114" t="s">
        <v>177</v>
      </c>
      <c r="T72" s="53">
        <f>SUMPRODUCT(H15:H19,H60:H64)+SUMPRODUCT(H24:H26,H69:H71)</f>
        <v>60502.088799999998</v>
      </c>
      <c r="U72" s="48">
        <f>T72/T71</f>
        <v>0.55517708895373374</v>
      </c>
      <c r="W72" s="55">
        <f t="shared" ref="W72:AD72" si="6">SUM(W60:W71)</f>
        <v>5373703.8418720998</v>
      </c>
      <c r="X72" s="55">
        <f t="shared" si="6"/>
        <v>52537.069792000009</v>
      </c>
      <c r="Y72" s="55">
        <f t="shared" si="6"/>
        <v>5321166.7720801001</v>
      </c>
      <c r="Z72" s="55">
        <f t="shared" si="6"/>
        <v>15848148.266617103</v>
      </c>
      <c r="AA72" s="55">
        <f t="shared" si="6"/>
        <v>231015.73779991857</v>
      </c>
      <c r="AB72" s="55">
        <f t="shared" si="6"/>
        <v>9047550.0871613882</v>
      </c>
      <c r="AC72" s="55">
        <f t="shared" si="6"/>
        <v>6027132.0664991159</v>
      </c>
      <c r="AD72" s="55">
        <f t="shared" si="6"/>
        <v>6664534.7774991151</v>
      </c>
      <c r="AE72" s="13">
        <f>'BGS PTY17 Cost Alloc'!AE72</f>
        <v>0</v>
      </c>
      <c r="AG72" s="55">
        <f>SUM(AG60:AG71)</f>
        <v>167098.76139225002</v>
      </c>
      <c r="AH72" s="13">
        <f>'BGS PTY17 Cost Alloc'!AH72</f>
        <v>0</v>
      </c>
    </row>
    <row r="73" spans="1:34" x14ac:dyDescent="0.2">
      <c r="A73" s="22"/>
      <c r="B73" s="28"/>
      <c r="J73" s="61"/>
      <c r="N73" s="51"/>
      <c r="O73" s="52"/>
      <c r="P73" s="114" t="s">
        <v>145</v>
      </c>
      <c r="Q73" s="53">
        <f>+Q71-Q72</f>
        <v>82421.768500000006</v>
      </c>
      <c r="R73" s="47"/>
      <c r="S73" s="114" t="s">
        <v>178</v>
      </c>
      <c r="T73" s="53">
        <f>+T71-T72</f>
        <v>48475.911200000002</v>
      </c>
      <c r="U73" s="48"/>
    </row>
    <row r="74" spans="1:34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4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77643</v>
      </c>
      <c r="R75" s="44"/>
      <c r="S75" s="116" t="s">
        <v>149</v>
      </c>
      <c r="T75" s="53">
        <f>+SUM(H65:H68)</f>
        <v>58121</v>
      </c>
      <c r="U75" s="45"/>
      <c r="V75" s="55">
        <f t="shared" ref="V75:V86" si="7">W60-W75</f>
        <v>200448.79845649999</v>
      </c>
      <c r="W75" s="55">
        <f t="shared" ref="W75:W86" si="8">SUM(X75:Z75)</f>
        <v>283635.88048079994</v>
      </c>
      <c r="X75" s="50">
        <f>'BGS PTY17 Cost Alloc'!X75</f>
        <v>3603.7155610999998</v>
      </c>
      <c r="Y75" s="50">
        <f>'BGS PTY17 Cost Alloc'!Y75</f>
        <v>277789.55187089997</v>
      </c>
      <c r="Z75" s="50">
        <f>'BGS PTY17 Cost Alloc'!Z75</f>
        <v>2242.6130487999999</v>
      </c>
      <c r="AA75" s="55"/>
      <c r="AB75" s="13">
        <f t="shared" ref="AB75:AB86" si="9">(V75*$AA$94+W75*$AA$95)/1000</f>
        <v>104.54463294294274</v>
      </c>
      <c r="AC75" s="13">
        <f t="shared" ref="AC75:AC86" si="10">(W60/1000)-AB75</f>
        <v>379.54004599435723</v>
      </c>
    </row>
    <row r="76" spans="1:34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40104.392</v>
      </c>
      <c r="R76" s="47">
        <f>Q76/Q75</f>
        <v>0.51652295763945233</v>
      </c>
      <c r="S76" s="131" t="s">
        <v>177</v>
      </c>
      <c r="T76" s="53">
        <f>+SUMPRODUCT(H20:H23,H65:H68)</f>
        <v>33748.0602</v>
      </c>
      <c r="U76" s="48">
        <f>T76/T75</f>
        <v>0.58065174721701274</v>
      </c>
      <c r="V76" s="55">
        <f t="shared" si="7"/>
        <v>198277.1483533</v>
      </c>
      <c r="W76" s="55">
        <f t="shared" si="8"/>
        <v>279186.08649129997</v>
      </c>
      <c r="X76" s="50">
        <f>'BGS PTY17 Cost Alloc'!X76</f>
        <v>3566.5978057000002</v>
      </c>
      <c r="Y76" s="50">
        <f>'BGS PTY17 Cost Alloc'!Y76</f>
        <v>273451.683204</v>
      </c>
      <c r="Z76" s="50">
        <f>'BGS PTY17 Cost Alloc'!Z76</f>
        <v>2167.8054815999999</v>
      </c>
      <c r="AA76" s="55"/>
      <c r="AB76" s="13">
        <f t="shared" si="9"/>
        <v>103.02033644898265</v>
      </c>
      <c r="AC76" s="13">
        <f t="shared" si="10"/>
        <v>374.44289839561736</v>
      </c>
      <c r="AD76" s="13"/>
    </row>
    <row r="77" spans="1:34" x14ac:dyDescent="0.2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37538.608</v>
      </c>
      <c r="R77" s="58"/>
      <c r="S77" s="132" t="s">
        <v>178</v>
      </c>
      <c r="T77" s="66">
        <f>T75-T76</f>
        <v>24372.9398</v>
      </c>
      <c r="U77" s="59"/>
      <c r="V77" s="55">
        <f t="shared" si="7"/>
        <v>196281.72715769999</v>
      </c>
      <c r="W77" s="55">
        <f t="shared" si="8"/>
        <v>275117.20003400004</v>
      </c>
      <c r="X77" s="50">
        <f>'BGS PTY17 Cost Alloc'!X77</f>
        <v>3530.8248339000002</v>
      </c>
      <c r="Y77" s="50">
        <f>'BGS PTY17 Cost Alloc'!Y77</f>
        <v>269487.53938720003</v>
      </c>
      <c r="Z77" s="50">
        <f>'BGS PTY17 Cost Alloc'!Z77</f>
        <v>2098.8358128999998</v>
      </c>
      <c r="AA77" s="55"/>
      <c r="AB77" s="13">
        <f t="shared" si="9"/>
        <v>101.62537068778596</v>
      </c>
      <c r="AC77" s="13">
        <f t="shared" si="10"/>
        <v>369.77355650391405</v>
      </c>
      <c r="AD77" s="55">
        <f>SUM(AB65:AB68)</f>
        <v>3756034.9344478976</v>
      </c>
    </row>
    <row r="78" spans="1:34" x14ac:dyDescent="0.2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7"/>
        <v>194019.76662060001</v>
      </c>
      <c r="W78" s="55">
        <f t="shared" si="8"/>
        <v>270550.10891010001</v>
      </c>
      <c r="X78" s="50">
        <f>'BGS PTY17 Cost Alloc'!X78</f>
        <v>3509.6337545000001</v>
      </c>
      <c r="Y78" s="50">
        <f>'BGS PTY17 Cost Alloc'!Y78</f>
        <v>265018.29992070002</v>
      </c>
      <c r="Z78" s="50">
        <f>'BGS PTY17 Cost Alloc'!Z78</f>
        <v>2022.1752349000001</v>
      </c>
      <c r="AA78" s="55"/>
      <c r="AB78" s="13">
        <f t="shared" si="9"/>
        <v>100.05695718029105</v>
      </c>
      <c r="AC78" s="13">
        <f t="shared" si="10"/>
        <v>364.512918350409</v>
      </c>
    </row>
    <row r="79" spans="1:34" x14ac:dyDescent="0.2">
      <c r="A79" s="22"/>
      <c r="B79" s="28" t="s">
        <v>1</v>
      </c>
      <c r="C79" s="69">
        <v>52.53</v>
      </c>
      <c r="D79" s="162">
        <f>ROUND(C79*$H$308,3)</f>
        <v>55.142000000000003</v>
      </c>
      <c r="E79" s="67">
        <v>36.750999999999998</v>
      </c>
      <c r="F79" s="162">
        <f>ROUND(E79*$H$308,3)</f>
        <v>38.579000000000001</v>
      </c>
      <c r="H79" s="33">
        <v>1.0424479436469261</v>
      </c>
      <c r="I79" s="33">
        <v>1.0344323436374043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7"/>
        <v>191798.55553419999</v>
      </c>
      <c r="W79" s="55">
        <f t="shared" si="8"/>
        <v>266094.51196869998</v>
      </c>
      <c r="X79" s="50">
        <f>'BGS PTY17 Cost Alloc'!X79</f>
        <v>3500.3296442000001</v>
      </c>
      <c r="Y79" s="50">
        <f>'BGS PTY17 Cost Alloc'!Y79</f>
        <v>260645.86184289999</v>
      </c>
      <c r="Z79" s="50">
        <f>'BGS PTY17 Cost Alloc'!Z79</f>
        <v>1948.3204816</v>
      </c>
      <c r="AA79" s="55"/>
      <c r="AB79" s="13">
        <f t="shared" si="9"/>
        <v>98.525109889856608</v>
      </c>
      <c r="AC79" s="13">
        <f t="shared" si="10"/>
        <v>359.36795761304336</v>
      </c>
    </row>
    <row r="80" spans="1:34" x14ac:dyDescent="0.2">
      <c r="A80" s="22"/>
      <c r="B80" s="28" t="s">
        <v>2</v>
      </c>
      <c r="C80" s="69">
        <v>49.85</v>
      </c>
      <c r="D80" s="162">
        <f>ROUND(C80*$H$308,3)</f>
        <v>52.329000000000001</v>
      </c>
      <c r="E80" s="67">
        <v>34.875999999999998</v>
      </c>
      <c r="F80" s="162">
        <f>ROUND(E80*$H$308,3)</f>
        <v>36.61</v>
      </c>
      <c r="H80" s="177">
        <f>H79</f>
        <v>1.0424479436469261</v>
      </c>
      <c r="I80" s="177">
        <f>I79</f>
        <v>1.0344323436374043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7"/>
        <v>189514.32907790004</v>
      </c>
      <c r="W80" s="55">
        <f t="shared" si="8"/>
        <v>261493.88784320001</v>
      </c>
      <c r="X80" s="50">
        <f>'BGS PTY17 Cost Alloc'!X80</f>
        <v>3470.0088234999998</v>
      </c>
      <c r="Y80" s="50">
        <f>'BGS PTY17 Cost Alloc'!Y80</f>
        <v>256152.35611550001</v>
      </c>
      <c r="Z80" s="50">
        <f>'BGS PTY17 Cost Alloc'!Z80</f>
        <v>1871.5229042000001</v>
      </c>
      <c r="AA80" s="55"/>
      <c r="AB80" s="13">
        <f t="shared" si="9"/>
        <v>96.944507043425844</v>
      </c>
      <c r="AC80" s="13">
        <f t="shared" si="10"/>
        <v>354.06370987767417</v>
      </c>
    </row>
    <row r="81" spans="1:29" x14ac:dyDescent="0.2">
      <c r="A81" s="22"/>
      <c r="B81" s="28" t="s">
        <v>3</v>
      </c>
      <c r="C81" s="69">
        <v>40.31</v>
      </c>
      <c r="D81" s="162">
        <f>ROUND(C81*$H$308,3)</f>
        <v>42.314999999999998</v>
      </c>
      <c r="E81" s="67">
        <v>28.202000000000002</v>
      </c>
      <c r="F81" s="162">
        <f>ROUND(E81*$H$308,3)</f>
        <v>29.605</v>
      </c>
      <c r="H81" s="177">
        <f>H79</f>
        <v>1.0424479436469261</v>
      </c>
      <c r="I81" s="177">
        <f>I79</f>
        <v>1.0344323436374043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7"/>
        <v>187344.05422230007</v>
      </c>
      <c r="W81" s="55">
        <f t="shared" si="8"/>
        <v>257085.55035209999</v>
      </c>
      <c r="X81" s="50">
        <f>'BGS PTY17 Cost Alloc'!X81</f>
        <v>3423.5094672</v>
      </c>
      <c r="Y81" s="50">
        <f>'BGS PTY17 Cost Alloc'!Y81</f>
        <v>251864.45400239999</v>
      </c>
      <c r="Z81" s="50">
        <f>'BGS PTY17 Cost Alloc'!Z81</f>
        <v>1797.5868825</v>
      </c>
      <c r="AA81" s="55"/>
      <c r="AB81" s="13">
        <f t="shared" si="9"/>
        <v>95.432166782985419</v>
      </c>
      <c r="AC81" s="13">
        <f t="shared" si="10"/>
        <v>348.99743779141465</v>
      </c>
    </row>
    <row r="82" spans="1:29" x14ac:dyDescent="0.2">
      <c r="A82" s="22"/>
      <c r="B82" s="28" t="s">
        <v>4</v>
      </c>
      <c r="C82" s="69">
        <v>33.729999999999997</v>
      </c>
      <c r="D82" s="162">
        <f>ROUND(C82*$H$308,3)</f>
        <v>35.406999999999996</v>
      </c>
      <c r="E82" s="67">
        <v>23.597999999999999</v>
      </c>
      <c r="F82" s="162">
        <f>ROUND(E82*$H$308,3)</f>
        <v>24.771999999999998</v>
      </c>
      <c r="H82" s="177">
        <f>H79</f>
        <v>1.0424479436469261</v>
      </c>
      <c r="I82" s="177">
        <f>I79</f>
        <v>1.0344323436374043</v>
      </c>
      <c r="L82" s="139"/>
      <c r="N82" s="51"/>
      <c r="O82" s="52"/>
      <c r="P82" s="114" t="s">
        <v>147</v>
      </c>
      <c r="Q82" s="53">
        <f>Q72-Q61</f>
        <v>24256.506099999999</v>
      </c>
      <c r="R82" s="47"/>
      <c r="S82" s="114" t="s">
        <v>147</v>
      </c>
      <c r="T82" s="53">
        <f>T72-T61</f>
        <v>12619.290399999998</v>
      </c>
      <c r="U82" s="48"/>
      <c r="V82" s="55">
        <f t="shared" si="7"/>
        <v>185127.79121019997</v>
      </c>
      <c r="W82" s="55">
        <f t="shared" si="8"/>
        <v>252576.0366887</v>
      </c>
      <c r="X82" s="50">
        <f>'BGS PTY17 Cost Alloc'!X82</f>
        <v>3390.7866438999999</v>
      </c>
      <c r="Y82" s="50">
        <f>'BGS PTY17 Cost Alloc'!Y82</f>
        <v>247463.7259516</v>
      </c>
      <c r="Z82" s="50">
        <f>'BGS PTY17 Cost Alloc'!Z82</f>
        <v>1721.5240931999999</v>
      </c>
      <c r="AA82" s="55"/>
      <c r="AB82" s="13">
        <f t="shared" si="9"/>
        <v>93.885571660946368</v>
      </c>
      <c r="AC82" s="13">
        <f t="shared" si="10"/>
        <v>343.81825623795362</v>
      </c>
    </row>
    <row r="83" spans="1:29" x14ac:dyDescent="0.2">
      <c r="A83" s="22"/>
      <c r="B83" s="28" t="s">
        <v>5</v>
      </c>
      <c r="C83" s="69">
        <v>33.630000000000003</v>
      </c>
      <c r="D83" s="162">
        <f>ROUND(C83*$H$308,3)</f>
        <v>35.302999999999997</v>
      </c>
      <c r="E83" s="67">
        <v>23.529</v>
      </c>
      <c r="F83" s="162">
        <f>ROUND(E83*$H$308,3)</f>
        <v>24.699000000000002</v>
      </c>
      <c r="H83" s="177">
        <f>H79</f>
        <v>1.0424479436469261</v>
      </c>
      <c r="I83" s="177">
        <f>I79</f>
        <v>1.0344323436374043</v>
      </c>
      <c r="L83" s="139"/>
      <c r="N83" s="51"/>
      <c r="O83" s="52"/>
      <c r="P83" s="114" t="s">
        <v>150</v>
      </c>
      <c r="Q83" s="140">
        <f>Q82*(E117-E118)</f>
        <v>373234.30319418904</v>
      </c>
      <c r="R83" s="47"/>
      <c r="S83" s="114" t="s">
        <v>150</v>
      </c>
      <c r="T83" s="140">
        <f>T82*(H117-H118)</f>
        <v>185739.6482356787</v>
      </c>
      <c r="U83" s="48"/>
      <c r="V83" s="55">
        <f t="shared" si="7"/>
        <v>182918.84607850006</v>
      </c>
      <c r="W83" s="55">
        <f t="shared" si="8"/>
        <v>248081.88894050001</v>
      </c>
      <c r="X83" s="50">
        <f>'BGS PTY17 Cost Alloc'!X83</f>
        <v>3364.2428441000002</v>
      </c>
      <c r="Y83" s="50">
        <f>'BGS PTY17 Cost Alloc'!Y83</f>
        <v>243071.34652980001</v>
      </c>
      <c r="Z83" s="50">
        <f>'BGS PTY17 Cost Alloc'!Z83</f>
        <v>1646.2995665999999</v>
      </c>
      <c r="AA83" s="55"/>
      <c r="AB83" s="13">
        <f t="shared" si="9"/>
        <v>92.344218628523635</v>
      </c>
      <c r="AC83" s="13">
        <f t="shared" si="10"/>
        <v>338.65651639047644</v>
      </c>
    </row>
    <row r="84" spans="1:29" x14ac:dyDescent="0.2">
      <c r="A84" s="22"/>
      <c r="B84" s="186" t="s">
        <v>6</v>
      </c>
      <c r="C84" s="403">
        <v>37.35</v>
      </c>
      <c r="D84" s="224">
        <f>ROUND(C84*$H$307,3)</f>
        <v>48.91</v>
      </c>
      <c r="E84" s="223">
        <v>23.965</v>
      </c>
      <c r="F84" s="225">
        <f>ROUND(E84*$H$307,3)</f>
        <v>31.382000000000001</v>
      </c>
      <c r="H84" s="128">
        <v>0.95336004762387205</v>
      </c>
      <c r="I84" s="129">
        <v>0.89953982005070054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7"/>
        <v>180805.08255919995</v>
      </c>
      <c r="W84" s="55">
        <f t="shared" si="8"/>
        <v>243778.8861458</v>
      </c>
      <c r="X84" s="50">
        <f>'BGS PTY17 Cost Alloc'!X84</f>
        <v>3361.7209757000001</v>
      </c>
      <c r="Y84" s="50">
        <f>'BGS PTY17 Cost Alloc'!Y84</f>
        <v>238844.36049319999</v>
      </c>
      <c r="Z84" s="50">
        <f>'BGS PTY17 Cost Alloc'!Z84</f>
        <v>1572.8046769</v>
      </c>
      <c r="AA84" s="55"/>
      <c r="AB84" s="13">
        <f t="shared" si="9"/>
        <v>90.868568902687841</v>
      </c>
      <c r="AC84" s="13">
        <f t="shared" si="10"/>
        <v>333.71539980231211</v>
      </c>
    </row>
    <row r="85" spans="1:29" x14ac:dyDescent="0.2">
      <c r="A85" s="22"/>
      <c r="B85" s="190" t="s">
        <v>7</v>
      </c>
      <c r="C85" s="404">
        <v>45.53</v>
      </c>
      <c r="D85" s="227">
        <f>ROUND(C85*$H$307,3)</f>
        <v>59.622</v>
      </c>
      <c r="E85" s="226">
        <v>29.213000000000001</v>
      </c>
      <c r="F85" s="228">
        <f>ROUND(E85*$H$307,3)</f>
        <v>38.255000000000003</v>
      </c>
      <c r="H85" s="175">
        <f>H84</f>
        <v>0.95336004762387205</v>
      </c>
      <c r="I85" s="268">
        <f>I84</f>
        <v>0.89953982005070054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7"/>
        <v>178641.35353369999</v>
      </c>
      <c r="W85" s="55">
        <f t="shared" si="8"/>
        <v>239342.6621208</v>
      </c>
      <c r="X85" s="50">
        <f>'BGS PTY17 Cost Alloc'!X85</f>
        <v>3333.7620565000002</v>
      </c>
      <c r="Y85" s="50">
        <f>'BGS PTY17 Cost Alloc'!Y85</f>
        <v>234511.71598469999</v>
      </c>
      <c r="Z85" s="50">
        <f>'BGS PTY17 Cost Alloc'!Z85</f>
        <v>1497.1840795999999</v>
      </c>
      <c r="AA85" s="55"/>
      <c r="AB85" s="13">
        <f t="shared" si="9"/>
        <v>89.349075440159794</v>
      </c>
      <c r="AC85" s="13">
        <f t="shared" si="10"/>
        <v>328.63494021434019</v>
      </c>
    </row>
    <row r="86" spans="1:29" x14ac:dyDescent="0.2">
      <c r="A86" s="22"/>
      <c r="B86" s="190" t="s">
        <v>8</v>
      </c>
      <c r="C86" s="404">
        <v>41.6</v>
      </c>
      <c r="D86" s="227">
        <f>ROUND(C86*$H$307,3)</f>
        <v>54.475000000000001</v>
      </c>
      <c r="E86" s="226">
        <v>26.690999999999999</v>
      </c>
      <c r="F86" s="228">
        <f>ROUND(E86*$H$307,3)</f>
        <v>34.951999999999998</v>
      </c>
      <c r="H86" s="175">
        <f>H84</f>
        <v>0.95336004762387205</v>
      </c>
      <c r="I86" s="268">
        <f>I84</f>
        <v>0.89953982005070054</v>
      </c>
      <c r="L86" s="139"/>
      <c r="N86" s="51"/>
      <c r="O86" s="52"/>
      <c r="P86" s="114" t="s">
        <v>147</v>
      </c>
      <c r="Q86" s="53">
        <f>Q76-Q65</f>
        <v>9096.4815000000017</v>
      </c>
      <c r="R86" s="47"/>
      <c r="S86" s="114" t="s">
        <v>147</v>
      </c>
      <c r="T86" s="53">
        <f>T76-T65</f>
        <v>6678.8824999999997</v>
      </c>
      <c r="U86" s="48"/>
      <c r="V86" s="55">
        <f t="shared" si="7"/>
        <v>176547.76464739998</v>
      </c>
      <c r="W86" s="55">
        <f t="shared" si="8"/>
        <v>235035.92444459998</v>
      </c>
      <c r="X86" s="50">
        <f>'BGS PTY17 Cost Alloc'!X86</f>
        <v>3285.9983014999998</v>
      </c>
      <c r="Y86" s="50">
        <f>'BGS PTY17 Cost Alloc'!Y86</f>
        <v>230325.223631</v>
      </c>
      <c r="Z86" s="50">
        <f>'BGS PTY17 Cost Alloc'!Z86</f>
        <v>1424.7025120999999</v>
      </c>
      <c r="AA86" s="55"/>
      <c r="AB86" s="13">
        <f t="shared" si="9"/>
        <v>87.874765050151893</v>
      </c>
      <c r="AC86" s="13">
        <f t="shared" si="10"/>
        <v>323.70892404184804</v>
      </c>
    </row>
    <row r="87" spans="1:29" x14ac:dyDescent="0.2">
      <c r="A87" s="22"/>
      <c r="B87" s="193" t="s">
        <v>9</v>
      </c>
      <c r="C87" s="405">
        <v>35.39</v>
      </c>
      <c r="D87" s="230">
        <f>ROUND(C87*$H$307,3)</f>
        <v>46.343000000000004</v>
      </c>
      <c r="E87" s="229">
        <v>22.707000000000001</v>
      </c>
      <c r="F87" s="231">
        <f>ROUND(E87*$H$307,3)</f>
        <v>29.734999999999999</v>
      </c>
      <c r="H87" s="176">
        <f>H84</f>
        <v>0.95336004762387205</v>
      </c>
      <c r="I87" s="269">
        <f>I84</f>
        <v>0.89953982005070054</v>
      </c>
      <c r="L87" s="139"/>
      <c r="N87" s="64"/>
      <c r="O87" s="65"/>
      <c r="P87" s="117" t="s">
        <v>150</v>
      </c>
      <c r="Q87" s="141">
        <f>Q86*(E113-E114)</f>
        <v>201829.87827479222</v>
      </c>
      <c r="R87" s="58"/>
      <c r="S87" s="117" t="s">
        <v>150</v>
      </c>
      <c r="T87" s="141">
        <f>T86*(H113-H114)</f>
        <v>146346.43208124547</v>
      </c>
      <c r="U87" s="59"/>
      <c r="AA87" s="55"/>
    </row>
    <row r="88" spans="1:29" x14ac:dyDescent="0.2">
      <c r="A88" s="22"/>
      <c r="B88" s="28" t="s">
        <v>10</v>
      </c>
      <c r="C88" s="69">
        <v>33.72</v>
      </c>
      <c r="D88" s="162">
        <f>ROUND(C88*$H$308,3)</f>
        <v>35.396999999999998</v>
      </c>
      <c r="E88" s="67">
        <v>23.591000000000001</v>
      </c>
      <c r="F88" s="162">
        <f>ROUND(E88*$H$308,3)</f>
        <v>24.763999999999999</v>
      </c>
      <c r="H88" s="177">
        <f>H79</f>
        <v>1.0424479436469261</v>
      </c>
      <c r="I88" s="177">
        <f>I79</f>
        <v>1.0344323436374043</v>
      </c>
      <c r="L88" s="139"/>
    </row>
    <row r="89" spans="1:29" x14ac:dyDescent="0.2">
      <c r="A89" s="22"/>
      <c r="B89" s="28" t="s">
        <v>11</v>
      </c>
      <c r="C89" s="69">
        <v>34.020000000000003</v>
      </c>
      <c r="D89" s="162">
        <f>ROUND(C89*$H$308,3)</f>
        <v>35.712000000000003</v>
      </c>
      <c r="E89" s="67">
        <v>23.800999999999998</v>
      </c>
      <c r="F89" s="162">
        <f>ROUND(E89*$H$308,3)</f>
        <v>24.984999999999999</v>
      </c>
      <c r="H89" s="177">
        <f>H79</f>
        <v>1.0424479436469261</v>
      </c>
      <c r="I89" s="177">
        <f>I79</f>
        <v>1.0344323436374043</v>
      </c>
      <c r="L89" s="139"/>
    </row>
    <row r="90" spans="1:29" x14ac:dyDescent="0.2">
      <c r="A90" s="22"/>
      <c r="B90" s="28" t="s">
        <v>12</v>
      </c>
      <c r="C90" s="69">
        <v>38</v>
      </c>
      <c r="D90" s="162">
        <f>ROUND(C90*$H$308,3)</f>
        <v>39.89</v>
      </c>
      <c r="E90" s="67">
        <v>26.585999999999999</v>
      </c>
      <c r="F90" s="162">
        <f>ROUND(E90*$H$308,3)</f>
        <v>27.908000000000001</v>
      </c>
      <c r="G90" s="70"/>
      <c r="H90" s="177">
        <f>H79</f>
        <v>1.0424479436469261</v>
      </c>
      <c r="I90" s="177">
        <f>I79</f>
        <v>1.0344323436374043</v>
      </c>
      <c r="L90" s="139"/>
    </row>
    <row r="91" spans="1:29" x14ac:dyDescent="0.2">
      <c r="A91" s="22"/>
      <c r="B91" s="28"/>
      <c r="C91" s="69"/>
      <c r="D91" s="69"/>
      <c r="G91" s="70"/>
      <c r="K91" s="70"/>
      <c r="X91" s="13" t="s">
        <v>210</v>
      </c>
    </row>
    <row r="92" spans="1:29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x14ac:dyDescent="0.2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x14ac:dyDescent="0.2">
      <c r="A94" s="22"/>
      <c r="B94" s="28" t="s">
        <v>23</v>
      </c>
      <c r="C94" s="72"/>
      <c r="D94" s="72"/>
      <c r="E94" s="154">
        <f>'BGS PTY17 Cost Alloc'!E94</f>
        <v>0.105545</v>
      </c>
      <c r="F94" s="154">
        <f>'BGS PTY17 Cost Alloc'!F94</f>
        <v>0.105545</v>
      </c>
      <c r="G94" s="154">
        <f>'BGS PTY17 Cost Alloc'!G94</f>
        <v>0.105545</v>
      </c>
      <c r="H94" s="154">
        <f>'BGS PTY17 Cost Alloc'!H94</f>
        <v>0.105545</v>
      </c>
      <c r="I94" s="154">
        <f>'BGS PTY17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x14ac:dyDescent="0.2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x14ac:dyDescent="0.2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21" x14ac:dyDescent="0.2">
      <c r="A97" s="22"/>
      <c r="B97" s="237" t="s">
        <v>267</v>
      </c>
      <c r="C97" s="242"/>
      <c r="D97" s="242"/>
      <c r="E97" s="246">
        <v>9.6174999999999997E-2</v>
      </c>
      <c r="F97" s="246">
        <v>9.6174999999999997E-2</v>
      </c>
      <c r="G97" s="246">
        <v>9.6174999999999997E-2</v>
      </c>
      <c r="H97" s="246">
        <v>9.6174999999999997E-2</v>
      </c>
      <c r="I97" s="246">
        <v>9.6174999999999997E-2</v>
      </c>
      <c r="J97" s="73"/>
      <c r="K97" s="73"/>
      <c r="L97" s="73"/>
      <c r="M97" s="73"/>
    </row>
    <row r="98" spans="1:21" x14ac:dyDescent="0.2">
      <c r="A98" s="22"/>
      <c r="B98" s="237" t="s">
        <v>266</v>
      </c>
      <c r="C98" s="242"/>
      <c r="D98" s="242"/>
      <c r="E98" s="242">
        <v>1.109719568319151</v>
      </c>
      <c r="F98" s="242">
        <v>1.109719568319151</v>
      </c>
      <c r="G98" s="242">
        <v>1.109719568319151</v>
      </c>
      <c r="H98" s="242">
        <v>1.109719568319151</v>
      </c>
      <c r="I98" s="242">
        <v>1.109719568319151</v>
      </c>
      <c r="J98" s="73"/>
      <c r="K98" s="73"/>
      <c r="L98" s="73"/>
      <c r="M98" s="47"/>
      <c r="N98" s="47"/>
      <c r="O98" s="47"/>
      <c r="P98" s="47"/>
      <c r="Q98" s="158"/>
      <c r="R98" s="158"/>
      <c r="S98" s="158"/>
      <c r="T98" s="53"/>
      <c r="U98" s="47"/>
    </row>
    <row r="99" spans="1:21" x14ac:dyDescent="0.2">
      <c r="A99" s="22"/>
      <c r="C99" s="73"/>
      <c r="D99" s="73"/>
      <c r="E99" s="73" t="s">
        <v>255</v>
      </c>
      <c r="F99" s="73"/>
      <c r="G99" s="73"/>
      <c r="H99" s="73"/>
      <c r="I99" s="73"/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53"/>
      <c r="U99" s="47"/>
    </row>
    <row r="100" spans="1:21" x14ac:dyDescent="0.2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 x14ac:dyDescent="0.2">
      <c r="A101" s="22"/>
      <c r="B101" s="36" t="s">
        <v>286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x14ac:dyDescent="0.2">
      <c r="A102" s="22"/>
      <c r="B102" s="36" t="str">
        <f>'BGS PTY17 Cost Alloc'!$B$102</f>
        <v xml:space="preserve"> </v>
      </c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ht="15.75" x14ac:dyDescent="0.25">
      <c r="A103" s="22"/>
      <c r="B103" s="435" t="str">
        <f>$B$1</f>
        <v xml:space="preserve">Jersey Central Power &amp; Light </v>
      </c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ht="15.75" x14ac:dyDescent="0.25">
      <c r="A104" s="22"/>
      <c r="B104" s="435" t="str">
        <f>$B$2</f>
        <v>Attachment 2</v>
      </c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x14ac:dyDescent="0.2">
      <c r="A105" s="22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 x14ac:dyDescent="0.2">
      <c r="A106" s="22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 x14ac:dyDescent="0.2">
      <c r="A107" s="18" t="s">
        <v>34</v>
      </c>
      <c r="B107" s="16" t="s">
        <v>51</v>
      </c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x14ac:dyDescent="0.2">
      <c r="A108" s="22"/>
      <c r="B108" s="17" t="s">
        <v>171</v>
      </c>
      <c r="M108" s="47"/>
      <c r="N108" s="47"/>
      <c r="O108" s="47"/>
      <c r="P108" s="47"/>
      <c r="Q108" s="47"/>
      <c r="R108" s="47"/>
      <c r="S108" s="415"/>
      <c r="T108" s="47"/>
      <c r="U108" s="47"/>
    </row>
    <row r="109" spans="1:21" x14ac:dyDescent="0.2">
      <c r="A109" s="22"/>
      <c r="B109" s="17" t="s">
        <v>21</v>
      </c>
      <c r="M109" s="47"/>
      <c r="N109" s="47"/>
      <c r="O109" s="47"/>
      <c r="P109" s="47"/>
      <c r="Q109" s="47"/>
      <c r="R109" s="47"/>
      <c r="S109" s="380"/>
      <c r="T109" s="47"/>
      <c r="U109" s="47"/>
    </row>
    <row r="110" spans="1:21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416"/>
      <c r="O110" s="47"/>
      <c r="P110" s="131"/>
      <c r="Q110" s="47"/>
      <c r="R110" s="47"/>
      <c r="S110" s="47"/>
      <c r="T110" s="47"/>
      <c r="U110" s="47"/>
    </row>
    <row r="111" spans="1:21" x14ac:dyDescent="0.2">
      <c r="A111" s="22"/>
      <c r="M111" s="47"/>
      <c r="N111" s="47"/>
      <c r="O111" s="47"/>
      <c r="P111" s="47"/>
      <c r="Q111" s="47"/>
      <c r="R111" s="114"/>
      <c r="S111" s="417"/>
      <c r="T111" s="47"/>
      <c r="U111" s="47"/>
    </row>
    <row r="112" spans="1:21" x14ac:dyDescent="0.2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45.463275403778837</v>
      </c>
      <c r="F112" s="75">
        <f>(SUMPRODUCT(F20:F23,F65:F68,$D84:$D87,$H84:$H87)*F95+SUMPRODUCT(R20:R23,F65:F68,$F84:$F87,$I84:$I87)*F95)/SUM(F65:F68)</f>
        <v>45.501759197405576</v>
      </c>
      <c r="G112" s="75">
        <f>(SUMPRODUCT(G20:G23,G65:G68,$D84:$D87,$H84:$H87)*G95+SUMPRODUCT(S20:S23,G65:G68,$F84:$F87,$I84:$I87)*G95)/SUM(G65:G68)</f>
        <v>46.846564050231621</v>
      </c>
      <c r="H112" s="75">
        <f>(SUMPRODUCT(H20:H23,H65:H68,$D84:$D87,$H84:$H87)*H95+SUMPRODUCT(T20:T23,H65:H68,$F84:$F87,$I84:$I87)*H95)/SUM(H65:H68)</f>
        <v>46.58250132081811</v>
      </c>
      <c r="I112" s="75">
        <f>(SUMPRODUCT(I20:I23,I65:I68,$D84:$D87,$H84:$H87)*I95+SUMPRODUCT(U20:U23,I65:I68,$F84:$F87,$I84:$I87)*I95)/SUM(I65:I68)</f>
        <v>39.410752083721988</v>
      </c>
      <c r="J112" s="76"/>
      <c r="K112" s="74"/>
      <c r="L112" s="74"/>
      <c r="M112" s="418"/>
      <c r="N112" s="47"/>
      <c r="O112" s="47"/>
      <c r="P112" s="47"/>
      <c r="Q112" s="47"/>
      <c r="R112" s="47"/>
      <c r="S112" s="47"/>
      <c r="T112" s="47"/>
      <c r="U112" s="47"/>
    </row>
    <row r="113" spans="1:21" x14ac:dyDescent="0.2">
      <c r="A113" s="22"/>
      <c r="B113" s="77" t="s">
        <v>41</v>
      </c>
      <c r="C113" s="74"/>
      <c r="D113" s="74"/>
      <c r="E113" s="75">
        <f>(SUMPRODUCT(E20:E23,E65:E68,$D84:$D87,$H84:$H87)*E95)/SUMPRODUCT(E20:E23,E65:E68)</f>
        <v>56.190512369883351</v>
      </c>
      <c r="F113" s="75">
        <f>(SUMPRODUCT(F20:F23,F65:F68,$D84:$D87,$H84:$H87)*F95)/SUMPRODUCT(F20:F23,F65:F68)</f>
        <v>56.321829578350318</v>
      </c>
      <c r="G113" s="75">
        <f>(SUMPRODUCT(G20:G23,G65:G68,$D84:$D87,$H84:$H87)*G95)/SUMPRODUCT(G20:G23,G65:G68)</f>
        <v>55.867436814496578</v>
      </c>
      <c r="H113" s="75">
        <f>(SUMPRODUCT(H20:H23,H65:H68,$D84:$D87,$H84:$H87)*H95)/SUMPRODUCT(H20:H23,H65:H68)</f>
        <v>55.771182300651851</v>
      </c>
      <c r="I113" s="75">
        <f>(SUMPRODUCT(I20:I23,I65:I68,$D84:$D87,$H84:$H87)*I95)/SUMPRODUCT(I20:I23,I65:I68)</f>
        <v>55.555403140244998</v>
      </c>
      <c r="J113" s="76"/>
      <c r="K113" s="74"/>
      <c r="L113" s="74"/>
      <c r="M113" s="418"/>
      <c r="N113" s="47"/>
      <c r="O113" s="47"/>
      <c r="P113" s="47"/>
      <c r="Q113" s="47"/>
      <c r="R113" s="47"/>
      <c r="S113" s="423"/>
      <c r="T113" s="47"/>
      <c r="U113" s="47"/>
    </row>
    <row r="114" spans="1:21" x14ac:dyDescent="0.2">
      <c r="A114" s="22"/>
      <c r="B114" s="77" t="s">
        <v>42</v>
      </c>
      <c r="C114" s="74"/>
      <c r="D114" s="74"/>
      <c r="E114" s="75">
        <f>(SUMPRODUCT(Q20:Q23,E65:E68,$F84:$F87,$I84:$I87)*E95)/SUMPRODUCT(Q20:Q23,E65:E68)</f>
        <v>34.002826034810589</v>
      </c>
      <c r="F114" s="75">
        <f>(SUMPRODUCT(R20:R23,F65:F68,$F84:$F87,$I84:$I87)*F95)/SUMPRODUCT(R20:R23,F65:F68)</f>
        <v>34.030415312686983</v>
      </c>
      <c r="G114" s="75">
        <f>(SUMPRODUCT(S20:S23,G65:G68,$F84:$F87,$I84:$I87)*G95)/SUMPRODUCT(S20:S23,G65:G68)</f>
        <v>33.941640518115577</v>
      </c>
      <c r="H114" s="75">
        <f>(SUMPRODUCT(T20:T23,H65:H68,$F84:$F87,$I84:$I87)*H95)/SUMPRODUCT(T20:T23,H65:H68)</f>
        <v>33.859368148921305</v>
      </c>
      <c r="I114" s="75">
        <f>(SUMPRODUCT(U20:U23,I65:I68,$F84:$F87,$I84:$I87)*I95)/SUMPRODUCT(U20:U23,I65:I68)</f>
        <v>33.820695319095414</v>
      </c>
      <c r="J114" s="76"/>
      <c r="K114" s="74"/>
      <c r="L114" s="74"/>
      <c r="M114" s="44"/>
      <c r="N114" s="416"/>
      <c r="O114" s="47"/>
      <c r="P114" s="131"/>
      <c r="Q114" s="47"/>
      <c r="R114" s="47"/>
      <c r="S114" s="47"/>
      <c r="T114" s="47"/>
      <c r="U114" s="47"/>
    </row>
    <row r="115" spans="1:21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  <c r="M115" s="47"/>
      <c r="N115" s="47"/>
      <c r="O115" s="47"/>
      <c r="P115" s="47"/>
      <c r="Q115" s="47"/>
      <c r="R115" s="114"/>
      <c r="S115" s="417"/>
      <c r="T115" s="47"/>
      <c r="U115" s="47"/>
    </row>
    <row r="116" spans="1:21" x14ac:dyDescent="0.2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42.480913756143117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41.331584280643838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42.314454076883628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42.312785397529609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37.958676024169833</v>
      </c>
      <c r="J116" s="76"/>
      <c r="K116" s="74"/>
      <c r="L116" s="74"/>
      <c r="M116" s="419"/>
      <c r="N116" s="47"/>
      <c r="O116" s="47"/>
      <c r="P116" s="47"/>
      <c r="Q116" s="47"/>
      <c r="R116" s="47"/>
      <c r="S116" s="47"/>
      <c r="T116" s="47"/>
      <c r="U116" s="47"/>
    </row>
    <row r="117" spans="1:21" x14ac:dyDescent="0.2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50.240612368439393</v>
      </c>
      <c r="F117" s="75">
        <f>(SUMPRODUCT(F15:F19,F60:F64,$D79:$D83,$H79:$H83)*F95+SUMPRODUCT(F24:F26,F69:F71,$D88:$D90,$H88:$H90)*F95)/(SUMPRODUCT(F15:F19,F60:F64)+SUMPRODUCT(F24:F26,F69:F71))</f>
        <v>49.287181639996057</v>
      </c>
      <c r="G117" s="75">
        <f>(SUMPRODUCT(G15:G19,G60:G64,$D79:$D83,$H79:$H83)*G95+SUMPRODUCT(G24:G26,G69:G71,$D88:$D90,$H88:$H90)*G95)/(SUMPRODUCT(G15:G19,G60:G64)+SUMPRODUCT(G24:G26,G69:G71))</f>
        <v>48.496593977432532</v>
      </c>
      <c r="H117" s="75">
        <f>(SUMPRODUCT(H15:H19,H60:H64,$D79:$D83,$H79:$H83)*H95+SUMPRODUCT(H24:H26,H69:H71,$D88:$D90,$H88:$H90)*H95)/(SUMPRODUCT(H15:H19,H60:H64)+SUMPRODUCT(H24:H26,H69:H71))</f>
        <v>48.860003854829245</v>
      </c>
      <c r="I117" s="75">
        <f>(SUMPRODUCT(I15:I19,I60:I64,$D79:$D83,$H79:$H83)*I95+SUMPRODUCT(I24:I26,I69:I71,$D88:$D90,$H88:$H90)*I95)/(SUMPRODUCT(I15:I19,I60:I64)+SUMPRODUCT(I24:I26,I69:I71))</f>
        <v>48.647815851714618</v>
      </c>
      <c r="J117" s="76"/>
      <c r="K117" s="74"/>
      <c r="L117" s="74"/>
      <c r="M117" s="418"/>
      <c r="N117" s="47"/>
      <c r="O117" s="47"/>
      <c r="P117" s="47"/>
      <c r="Q117" s="47"/>
      <c r="R117" s="47"/>
      <c r="S117" s="423"/>
      <c r="T117" s="47"/>
      <c r="U117" s="47"/>
    </row>
    <row r="118" spans="1:21" x14ac:dyDescent="0.2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34.85363529698931</v>
      </c>
      <c r="F118" s="75">
        <f>(SUMPRODUCT(R15:R19,F60:F64,$F79:$F83,$I79:$I83)*F95+SUMPRODUCT(R24:R26,F69:F71,$F88:$F90,$I88:$I90)*F95)/(SUMPRODUCT(R15:R19,F60:F64)+SUMPRODUCT(R24:R26,F69:F71))</f>
        <v>34.235048365816937</v>
      </c>
      <c r="G118" s="75">
        <f>(SUMPRODUCT(S15:S19,G60:G64,$F79:$F83,$I79:$I83)*G95+SUMPRODUCT(S24:S26,G69:G71,$F88:$F90,$I88:$I90)*G95)/(SUMPRODUCT(S15:S19,G60:G64)+SUMPRODUCT(S24:S26,G69:G71))</f>
        <v>33.89845109820795</v>
      </c>
      <c r="H118" s="75">
        <f>(SUMPRODUCT(T15:T19,H60:H64,$F79:$F83,$I79:$I83)*H95+SUMPRODUCT(T24:T26,H69:H71,$F88:$F90,$I88:$I90)*H95)/(SUMPRODUCT(T15:T19,H60:H64)+SUMPRODUCT(T24:T26,H69:H71))</f>
        <v>34.141296039397822</v>
      </c>
      <c r="I118" s="75">
        <f>(SUMPRODUCT(U15:U19,I60:I64,$F79:$F83,$I79:$I83)*I95+SUMPRODUCT(U24:U26,I69:I71,$F88:$F90,$I88:$I90)*I95)/(SUMPRODUCT(U15:U19,I60:I64)+SUMPRODUCT(U24:U26,I69:I71))</f>
        <v>33.435045948389103</v>
      </c>
      <c r="J118" s="76"/>
      <c r="K118" s="74"/>
      <c r="L118" s="74"/>
      <c r="M118" s="44"/>
      <c r="N118" s="416"/>
      <c r="O118" s="47"/>
      <c r="P118" s="131"/>
      <c r="Q118" s="47"/>
      <c r="R118" s="47"/>
      <c r="S118" s="47"/>
      <c r="T118" s="47"/>
      <c r="U118" s="47"/>
    </row>
    <row r="119" spans="1:21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  <c r="M119" s="47"/>
      <c r="N119" s="47"/>
      <c r="O119" s="47"/>
      <c r="P119" s="47"/>
      <c r="Q119" s="47"/>
      <c r="R119" s="114"/>
      <c r="S119" s="417"/>
      <c r="T119" s="47"/>
      <c r="U119" s="47"/>
    </row>
    <row r="120" spans="1:21" x14ac:dyDescent="0.2">
      <c r="A120" s="22"/>
      <c r="B120" s="13" t="s">
        <v>16</v>
      </c>
      <c r="C120" s="74"/>
      <c r="D120" s="78"/>
      <c r="E120" s="79">
        <f>(E112*SUM(E65:E68)+E116*SUM(E60:E64,E69:E71))/E72</f>
        <v>43.441422738254367</v>
      </c>
      <c r="F120" s="79">
        <f>(F112*SUM(F65:F68)+F116*SUM(F60:F64,F69:F71))/F72</f>
        <v>43.060674449294737</v>
      </c>
      <c r="G120" s="79">
        <f>(G112*SUM(G65:G68)+G116*SUM(G60:G64,G69:G71))/G72</f>
        <v>43.975738710538444</v>
      </c>
      <c r="H120" s="79">
        <f>(H112*SUM(H65:H68)+H116*SUM(H60:H64,H69:H71))/H72</f>
        <v>43.797893980928976</v>
      </c>
      <c r="I120" s="79">
        <f>(I112*SUM(I65:I68)+I116*SUM(I60:I64,I69:I71))/I72</f>
        <v>38.442441343477057</v>
      </c>
      <c r="J120" s="76"/>
      <c r="K120" s="78"/>
      <c r="L120" s="78"/>
      <c r="M120" s="418"/>
      <c r="N120" s="47"/>
      <c r="O120" s="47"/>
      <c r="P120" s="47"/>
      <c r="Q120" s="47"/>
      <c r="R120" s="47"/>
      <c r="S120" s="47"/>
      <c r="T120" s="47"/>
      <c r="U120" s="47"/>
    </row>
    <row r="121" spans="1:21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418"/>
      <c r="N121" s="47"/>
      <c r="O121" s="47"/>
      <c r="P121" s="47"/>
      <c r="Q121" s="47"/>
      <c r="R121" s="47"/>
      <c r="S121" s="423"/>
      <c r="T121" s="47"/>
      <c r="U121" s="47"/>
    </row>
    <row r="122" spans="1:21" x14ac:dyDescent="0.2">
      <c r="A122" s="22"/>
      <c r="B122" s="13" t="s">
        <v>44</v>
      </c>
      <c r="C122" s="80">
        <f>SUMPRODUCT(C120:I120,C72:I72)/SUM(C72:I72)</f>
        <v>43.394216891784964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416"/>
      <c r="O122" s="47"/>
      <c r="P122" s="131"/>
      <c r="Q122" s="47"/>
      <c r="R122" s="47"/>
      <c r="S122" s="47"/>
      <c r="T122" s="47"/>
      <c r="U122" s="47"/>
    </row>
    <row r="123" spans="1:21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417"/>
      <c r="T123" s="47"/>
      <c r="U123" s="47"/>
    </row>
    <row r="124" spans="1:21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418"/>
      <c r="N124" s="47"/>
      <c r="O124" s="47"/>
      <c r="P124" s="47"/>
      <c r="Q124" s="47"/>
      <c r="R124" s="47"/>
      <c r="S124" s="47"/>
      <c r="T124" s="47"/>
      <c r="U124" s="47"/>
    </row>
    <row r="125" spans="1:21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418"/>
      <c r="N125" s="47"/>
      <c r="O125" s="47"/>
      <c r="P125" s="47"/>
      <c r="Q125" s="47"/>
      <c r="R125" s="47"/>
      <c r="S125" s="423"/>
      <c r="T125" s="47"/>
      <c r="U125" s="47"/>
    </row>
    <row r="126" spans="1:21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416"/>
      <c r="O126" s="47"/>
      <c r="P126" s="131"/>
      <c r="Q126" s="47"/>
      <c r="R126" s="47"/>
      <c r="S126" s="47"/>
      <c r="T126" s="47"/>
      <c r="U126" s="47"/>
    </row>
    <row r="127" spans="1:21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417"/>
      <c r="T127" s="47"/>
      <c r="U127" s="47"/>
    </row>
    <row r="128" spans="1:21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</row>
    <row r="129" spans="1:21" x14ac:dyDescent="0.2">
      <c r="A129" s="22"/>
      <c r="C129" s="81"/>
      <c r="M129" s="420"/>
      <c r="N129" s="47"/>
      <c r="O129" s="47"/>
      <c r="P129" s="47"/>
      <c r="Q129" s="47"/>
      <c r="R129" s="47"/>
      <c r="S129" s="423"/>
      <c r="T129" s="47"/>
      <c r="U129" s="47"/>
    </row>
    <row r="130" spans="1:21" x14ac:dyDescent="0.2">
      <c r="A130" s="22"/>
      <c r="B130" s="28" t="s">
        <v>17</v>
      </c>
      <c r="C130" s="76"/>
      <c r="D130" s="76"/>
      <c r="E130" s="76">
        <f>SUM(E65:E68)*E112/1000</f>
        <v>3529.9050921756002</v>
      </c>
      <c r="F130" s="76">
        <f>SUM(F65:F68)*F112/1000</f>
        <v>170906.20010702725</v>
      </c>
      <c r="G130" s="76">
        <f>SUM(G65:G68)*G112/1000</f>
        <v>103497.13017833166</v>
      </c>
      <c r="H130" s="76">
        <f>SUM(H65:H68)*H112/1000</f>
        <v>2707.4215592672695</v>
      </c>
      <c r="I130" s="76">
        <f>SUM(I65:I68)*I112/1000</f>
        <v>1490.8299298230354</v>
      </c>
      <c r="J130" s="76">
        <f>SUM(E130:I130)</f>
        <v>282131.48686662485</v>
      </c>
      <c r="K130" s="76"/>
      <c r="L130" s="76"/>
      <c r="M130" s="44"/>
      <c r="N130" s="416"/>
      <c r="O130" s="47"/>
      <c r="P130" s="131"/>
      <c r="Q130" s="47"/>
      <c r="R130" s="47"/>
      <c r="S130" s="47"/>
      <c r="T130" s="47"/>
      <c r="U130" s="47"/>
    </row>
    <row r="131" spans="1:21" x14ac:dyDescent="0.2">
      <c r="A131" s="22"/>
      <c r="B131" s="77" t="s">
        <v>41</v>
      </c>
      <c r="C131" s="76"/>
      <c r="D131" s="76"/>
      <c r="E131" s="76">
        <f>SUMPRODUCT(E65:E68,E20:E23)*E113/1000</f>
        <v>2253.486334762651</v>
      </c>
      <c r="F131" s="76">
        <f>SUMPRODUCT(F65:F68,F20:F23)*F113/1000</f>
        <v>108863.69249568679</v>
      </c>
      <c r="G131" s="76">
        <f>SUMPRODUCT(G65:G68,G20:G23)*G113/1000</f>
        <v>72645.609434775048</v>
      </c>
      <c r="H131" s="76">
        <f>SUMPRODUCT(H65:H68,H20:H23)*H113/1000</f>
        <v>1882.1692177075731</v>
      </c>
      <c r="I131" s="76">
        <f>SUMPRODUCT(I65:I68,I20:I23)*I113/1000</f>
        <v>540.50796156997751</v>
      </c>
      <c r="J131" s="76">
        <f>SUM(E131:I131)</f>
        <v>186185.46544450201</v>
      </c>
      <c r="K131" s="76"/>
      <c r="L131" s="76"/>
      <c r="M131" s="47"/>
      <c r="N131" s="47"/>
      <c r="O131" s="47"/>
      <c r="P131" s="47"/>
      <c r="Q131" s="47"/>
      <c r="R131" s="114"/>
      <c r="S131" s="417"/>
      <c r="T131" s="47"/>
      <c r="U131" s="47"/>
    </row>
    <row r="132" spans="1:21" x14ac:dyDescent="0.2">
      <c r="A132" s="22"/>
      <c r="B132" s="77" t="s">
        <v>42</v>
      </c>
      <c r="C132" s="76"/>
      <c r="D132" s="76"/>
      <c r="E132" s="76">
        <f>SUMPRODUCT(E65:E68,Q20:Q23)*E114/1000</f>
        <v>1276.4187574129492</v>
      </c>
      <c r="F132" s="76">
        <f>SUMPRODUCT(F65:F68,R20:R23)*F114/1000</f>
        <v>62042.507611340494</v>
      </c>
      <c r="G132" s="76">
        <f>SUMPRODUCT(G65:G68,S20:S23)*G114/1000</f>
        <v>30851.520743556608</v>
      </c>
      <c r="H132" s="76">
        <f>SUMPRODUCT(H65:H68,T20:T23)*H114/1000</f>
        <v>825.25234155969633</v>
      </c>
      <c r="I132" s="76">
        <f>SUMPRODUCT(I65:I68,U20:U23)*I114/1000</f>
        <v>950.32196825305778</v>
      </c>
      <c r="J132" s="76">
        <f>SUM(E132:I132)</f>
        <v>95946.021422122809</v>
      </c>
      <c r="K132" s="76"/>
      <c r="L132" s="76"/>
      <c r="M132" s="421"/>
      <c r="N132" s="47"/>
      <c r="O132" s="47"/>
      <c r="P132" s="47"/>
      <c r="Q132" s="47"/>
      <c r="R132" s="47"/>
      <c r="S132" s="47"/>
      <c r="T132" s="47"/>
      <c r="U132" s="47"/>
    </row>
    <row r="133" spans="1:21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  <c r="M133" s="420"/>
      <c r="N133" s="47"/>
      <c r="O133" s="47"/>
      <c r="P133" s="47"/>
      <c r="Q133" s="47"/>
      <c r="R133" s="47"/>
      <c r="S133" s="423"/>
      <c r="T133" s="47"/>
      <c r="U133" s="47"/>
    </row>
    <row r="134" spans="1:21" x14ac:dyDescent="0.2">
      <c r="A134" s="22"/>
      <c r="B134" s="28" t="s">
        <v>18</v>
      </c>
      <c r="C134" s="82"/>
      <c r="D134" s="82"/>
      <c r="E134" s="82">
        <f>SUM(E60:E64,E69:E71)*E116/1000</f>
        <v>6942.9531015627626</v>
      </c>
      <c r="F134" s="82">
        <f>SUM(F60:F64,F69:F71)*F116/1000</f>
        <v>219167.87601219452</v>
      </c>
      <c r="G134" s="82">
        <f>SUM(G60:G64,G69:G71)*G116/1000</f>
        <v>161548.16508918037</v>
      </c>
      <c r="H134" s="82">
        <f>SUM(H60:H64,H69:H71)*H116/1000</f>
        <v>4611.1627270519821</v>
      </c>
      <c r="I134" s="82">
        <f>SUM(I60:I64,I69:I71)*I116/1000</f>
        <v>2874.1170725220672</v>
      </c>
      <c r="J134" s="76">
        <f>SUM(E134:I134)</f>
        <v>395144.27400251175</v>
      </c>
      <c r="K134" s="82"/>
      <c r="L134" s="82"/>
      <c r="M134" s="44"/>
      <c r="N134" s="416"/>
      <c r="O134" s="47"/>
      <c r="P134" s="131"/>
      <c r="Q134" s="47"/>
      <c r="R134" s="47"/>
      <c r="S134" s="47"/>
      <c r="T134" s="47"/>
      <c r="U134" s="47"/>
    </row>
    <row r="135" spans="1:21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4070.2548417308803</v>
      </c>
      <c r="F135" s="76">
        <f>(SUMPRODUCT(F60:F64,F15:F19)+SUMPRODUCT(F69:F71,F24:F26))*F117/1000</f>
        <v>123218.85850991579</v>
      </c>
      <c r="G135" s="76">
        <f>(SUMPRODUCT(G60:G64,G15:G19)+SUMPRODUCT(G69:G71,G24:G26))*G117/1000</f>
        <v>106741.37578847143</v>
      </c>
      <c r="H135" s="76">
        <f>(SUMPRODUCT(H60:H64,H15:H19)+SUMPRODUCT(H69:H71,H24:H26))*H117/1000</f>
        <v>2956.1322919932213</v>
      </c>
      <c r="I135" s="76">
        <f>(SUMPRODUCT(I60:I64,I15:I19)+SUMPRODUCT(I69:I71,I24:I26))*I117/1000</f>
        <v>1095.3061625399264</v>
      </c>
      <c r="J135" s="76">
        <f>SUM(E135:I135)</f>
        <v>238081.92759465126</v>
      </c>
      <c r="K135" s="76"/>
      <c r="L135" s="76"/>
      <c r="M135" s="47"/>
      <c r="N135" s="47"/>
      <c r="O135" s="47"/>
      <c r="P135" s="334"/>
      <c r="Q135" s="47"/>
      <c r="R135" s="114"/>
      <c r="S135" s="417"/>
      <c r="T135" s="47"/>
      <c r="U135" s="47"/>
    </row>
    <row r="136" spans="1:21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2872.6982598318823</v>
      </c>
      <c r="F136" s="76">
        <f>+(SUMPRODUCT(F60:F64,R15:R19)+SUMPRODUCT(F69:F71,R24:R26))*F118/1000</f>
        <v>95949.01750227873</v>
      </c>
      <c r="G136" s="76">
        <f>+(SUMPRODUCT(G60:G64,S15:S19)+SUMPRODUCT(G69:G71,S24:S26))*G118/1000</f>
        <v>54806.789300708966</v>
      </c>
      <c r="H136" s="76">
        <f>+(SUMPRODUCT(H60:H64,T15:T19)+SUMPRODUCT(H69:H71,T24:T26))*H118/1000</f>
        <v>1655.0304350587608</v>
      </c>
      <c r="I136" s="76">
        <f>+(SUMPRODUCT(I60:I64,U15:U19)+SUMPRODUCT(I69:I71,U24:U26))*I118/1000</f>
        <v>1778.8109099821411</v>
      </c>
      <c r="J136" s="76">
        <f>SUM(E136:I136)</f>
        <v>157062.34640786046</v>
      </c>
      <c r="K136" s="76"/>
      <c r="L136" s="76"/>
      <c r="M136" s="422"/>
      <c r="N136" s="47"/>
      <c r="O136" s="47"/>
      <c r="P136" s="47"/>
      <c r="Q136" s="47"/>
      <c r="R136" s="47"/>
      <c r="S136" s="47"/>
      <c r="T136" s="47"/>
      <c r="U136" s="47"/>
    </row>
    <row r="137" spans="1:21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  <c r="M137" s="420"/>
      <c r="N137" s="47"/>
      <c r="O137" s="47"/>
      <c r="P137" s="47"/>
      <c r="Q137" s="47"/>
      <c r="R137" s="47"/>
      <c r="S137" s="423"/>
      <c r="T137" s="47"/>
      <c r="U137" s="47"/>
    </row>
    <row r="138" spans="1:21" x14ac:dyDescent="0.2">
      <c r="A138" s="22"/>
      <c r="B138" s="13" t="s">
        <v>16</v>
      </c>
      <c r="C138" s="82"/>
      <c r="D138" s="82"/>
      <c r="E138" s="82">
        <f>+E130+E134</f>
        <v>10472.858193738362</v>
      </c>
      <c r="F138" s="82">
        <f>+F130+F134</f>
        <v>390074.07611922175</v>
      </c>
      <c r="G138" s="82">
        <f>+G130+G134</f>
        <v>265045.29526751203</v>
      </c>
      <c r="H138" s="82">
        <f>+H130+H134</f>
        <v>7318.584286319252</v>
      </c>
      <c r="I138" s="82">
        <f>+I130+I134</f>
        <v>4364.9470023451031</v>
      </c>
      <c r="J138" s="76">
        <f>SUM(E138:I138)</f>
        <v>677275.76086913655</v>
      </c>
      <c r="K138" s="82"/>
      <c r="L138" s="82"/>
      <c r="M138" s="44"/>
      <c r="N138" s="416"/>
      <c r="O138" s="47"/>
      <c r="P138" s="131"/>
      <c r="Q138" s="47"/>
      <c r="R138" s="47"/>
      <c r="S138" s="47"/>
      <c r="T138" s="47"/>
      <c r="U138" s="47"/>
    </row>
    <row r="139" spans="1:21" x14ac:dyDescent="0.2">
      <c r="A139" s="22"/>
      <c r="M139" s="47"/>
      <c r="N139" s="47"/>
      <c r="O139" s="47"/>
      <c r="P139" s="334"/>
      <c r="Q139" s="47"/>
      <c r="R139" s="114"/>
      <c r="S139" s="417"/>
      <c r="T139" s="47"/>
      <c r="U139" s="47"/>
    </row>
    <row r="140" spans="1:21" x14ac:dyDescent="0.2">
      <c r="A140" s="22"/>
      <c r="B140" s="13" t="s">
        <v>44</v>
      </c>
      <c r="C140" s="76">
        <f>SUM(C138:I138)</f>
        <v>677275.76086913655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1:21" x14ac:dyDescent="0.2">
      <c r="A141" s="22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1:21" x14ac:dyDescent="0.2">
      <c r="A142" s="22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1:21" ht="15.75" x14ac:dyDescent="0.25">
      <c r="A143" s="22"/>
      <c r="B143" s="435" t="str">
        <f>$B$1</f>
        <v xml:space="preserve">Jersey Central Power &amp; Light </v>
      </c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1:21" ht="15.75" x14ac:dyDescent="0.25">
      <c r="A144" s="22"/>
      <c r="B144" s="435" t="str">
        <f>$B$2</f>
        <v>Attachment 2</v>
      </c>
      <c r="C144" s="435"/>
      <c r="D144" s="435"/>
      <c r="E144" s="435"/>
      <c r="F144" s="435"/>
      <c r="G144" s="435"/>
      <c r="H144" s="435"/>
      <c r="I144" s="435"/>
      <c r="J144" s="435"/>
      <c r="K144" s="435"/>
      <c r="L144" s="435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45.463275403778837</v>
      </c>
      <c r="F152" s="75">
        <f>+F130/SUM(F65:F68)*1000</f>
        <v>45.501759197405576</v>
      </c>
      <c r="G152" s="75">
        <f>+G130/SUM(G65:G68)*1000</f>
        <v>46.846564050231621</v>
      </c>
      <c r="H152" s="75">
        <f>+H130/SUM(H65:H68)*1000</f>
        <v>46.58250132081811</v>
      </c>
      <c r="I152" s="75">
        <f>+I130/SUM(I65:I68)*1000</f>
        <v>39.410752083721988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59.121746463973061</v>
      </c>
      <c r="F153" s="75"/>
      <c r="G153" s="75"/>
      <c r="H153" s="75">
        <f>+(H131*1000-W153*AVERAGE(H$113,H$114))/Q153</f>
        <v>58.474375461950686</v>
      </c>
      <c r="I153" s="75"/>
      <c r="J153" s="76"/>
      <c r="K153" s="76"/>
      <c r="L153" s="80"/>
      <c r="M153" s="80"/>
      <c r="P153" s="13" t="s">
        <v>14</v>
      </c>
      <c r="Q153" s="55">
        <f>T65</f>
        <v>27069.1777</v>
      </c>
      <c r="R153" s="55"/>
      <c r="T153" s="55">
        <f>T76</f>
        <v>33748.0602</v>
      </c>
      <c r="U153" s="55"/>
      <c r="W153" s="55">
        <f>+T153-Q153</f>
        <v>6678.8824999999997</v>
      </c>
      <c r="X153" s="55"/>
      <c r="Z153" s="144">
        <f>+H153*Q153/1000</f>
        <v>1582.8532602760627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36.025521125514473</v>
      </c>
      <c r="F154" s="75"/>
      <c r="G154" s="75"/>
      <c r="H154" s="75">
        <f>+(H132*1000-W154*AVERAGE(H$113,H$114))/Q154</f>
        <v>36.215855163875744</v>
      </c>
      <c r="I154" s="75"/>
      <c r="J154" s="76"/>
      <c r="K154" s="76"/>
      <c r="L154" s="80"/>
      <c r="M154" s="80"/>
      <c r="P154" s="13" t="s">
        <v>15</v>
      </c>
      <c r="Q154" s="55">
        <f>T66</f>
        <v>31051.8223</v>
      </c>
      <c r="R154" s="55"/>
      <c r="T154" s="55">
        <f>T77</f>
        <v>24372.9398</v>
      </c>
      <c r="U154" s="55"/>
      <c r="W154" s="55">
        <f>+T154-Q154</f>
        <v>-6678.8824999999997</v>
      </c>
      <c r="X154" s="55"/>
      <c r="Z154" s="85">
        <f>+H154*Q154/1000</f>
        <v>1124.568298991207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2707.4215592672699</v>
      </c>
      <c r="AA155" s="144"/>
      <c r="AC155" s="81">
        <f>+H130</f>
        <v>2707.4215592672695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42.480913756143117</v>
      </c>
      <c r="F156" s="79">
        <f>+F134/SUM(F60:F64,F69:F71)*1000</f>
        <v>41.331584280643838</v>
      </c>
      <c r="G156" s="79">
        <f>+G134/SUM(G60:G64,G69:G71)*1000</f>
        <v>42.314454076883628</v>
      </c>
      <c r="H156" s="79">
        <f>+H134/SUM(H60:H64,H69:H71)*1000</f>
        <v>42.312785397529609</v>
      </c>
      <c r="I156" s="79">
        <f>+I134/SUM(I60:I64,I69:I71)*1000</f>
        <v>37.958676024169833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52.274223402431588</v>
      </c>
      <c r="F157" s="75"/>
      <c r="G157" s="75"/>
      <c r="H157" s="75">
        <f>+(H135*1000-W157*AVERAGE(H$117,H$118))/Q157</f>
        <v>50.799527592394242</v>
      </c>
      <c r="I157" s="75"/>
      <c r="J157" s="76"/>
      <c r="K157" s="76"/>
      <c r="L157" s="80"/>
      <c r="M157" s="80"/>
      <c r="P157" s="13" t="s">
        <v>14</v>
      </c>
      <c r="Q157" s="55">
        <f>T61</f>
        <v>47882.7984</v>
      </c>
      <c r="R157" s="55"/>
      <c r="T157" s="55">
        <f>T72</f>
        <v>60502.088799999998</v>
      </c>
      <c r="U157" s="55"/>
      <c r="W157" s="55">
        <f>+T157-Q157</f>
        <v>12619.290399999998</v>
      </c>
      <c r="X157" s="55"/>
      <c r="Z157" s="144">
        <f>+H157*Q157/1000</f>
        <v>2432.4235385218508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37.087256424370914</v>
      </c>
      <c r="F158" s="75"/>
      <c r="G158" s="75"/>
      <c r="H158" s="75">
        <f>+(H136*1000-W158*AVERAGE(H$117,H$118))/Q158</f>
        <v>35.661379805155285</v>
      </c>
      <c r="I158" s="75"/>
      <c r="J158" s="76"/>
      <c r="K158" s="76"/>
      <c r="L158" s="80"/>
      <c r="M158" s="80"/>
      <c r="P158" s="13" t="s">
        <v>15</v>
      </c>
      <c r="Q158" s="55">
        <f>T62</f>
        <v>61095.2016</v>
      </c>
      <c r="R158" s="55"/>
      <c r="T158" s="55">
        <f>T73</f>
        <v>48475.911200000002</v>
      </c>
      <c r="U158" s="55"/>
      <c r="W158" s="55">
        <f>+T158-Q158</f>
        <v>-12619.290399999998</v>
      </c>
      <c r="X158" s="55"/>
      <c r="Z158" s="85">
        <f>+H158*Q158/1000</f>
        <v>2178.7391885301308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4611.1627270519821</v>
      </c>
      <c r="AA159" s="144"/>
      <c r="AC159" s="81">
        <f>+H134</f>
        <v>4611.1627270519821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43.441422738254367</v>
      </c>
      <c r="F160" s="75">
        <f>(F152*SUM(F65:F68)+F156*SUM(F60:F64,F69:F71))/F72</f>
        <v>43.060674449294737</v>
      </c>
      <c r="G160" s="75">
        <f>(G152*SUM(G65:G68)+G156*SUM(G60:G64,G69:G71))/G72</f>
        <v>43.975738710538444</v>
      </c>
      <c r="H160" s="75">
        <f>(H152*SUM(H65:H68)+H156*SUM(H60:H64,H69:H71))/H72</f>
        <v>43.797893980928976</v>
      </c>
      <c r="I160" s="75">
        <f>(I152*SUM(I65:I68)+I156*SUM(I60:I64,I69:I71))/I72</f>
        <v>38.442441343477057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43.394216891784964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tr">
        <f>'BGS PTY17 Cost Alloc'!$B$165</f>
        <v>obligations - annual average forecasted for 2018; costs are market estimates</v>
      </c>
      <c r="J165" s="26" t="s">
        <v>290</v>
      </c>
      <c r="P165" s="13" t="s">
        <v>14</v>
      </c>
      <c r="Q165" s="55">
        <f>SUMPRODUCT(E38:E41,M65:M68)</f>
        <v>31007.910499999998</v>
      </c>
      <c r="R165" s="55">
        <f>SUMPRODUCT(E38:E41,E65:E68)</f>
        <v>31727.347899999997</v>
      </c>
      <c r="T165" s="55">
        <f>Q76</f>
        <v>40104.392</v>
      </c>
      <c r="U165" s="55">
        <f>T165-($Q$167*$Q165/($Q$165+$Q$166))</f>
        <v>39383.476210846908</v>
      </c>
      <c r="W165" s="55">
        <f>+T165-Q165</f>
        <v>9096.4815000000017</v>
      </c>
      <c r="X165" s="55">
        <f>-Q165+U165</f>
        <v>8375.5657108469095</v>
      </c>
      <c r="Z165" s="144">
        <f>+E153*Q165/1000</f>
        <v>1833.241822958568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44871.089500000002</v>
      </c>
      <c r="R166" s="55">
        <f>SUMPRODUCT(Q38:Q41,E65:E68)</f>
        <v>45915.652100000007</v>
      </c>
      <c r="T166" s="55">
        <f>Q77</f>
        <v>37538.608</v>
      </c>
      <c r="U166" s="55">
        <f>T166-($Q$167*$Q166/($Q$165+$Q$166))</f>
        <v>36495.381404739688</v>
      </c>
      <c r="W166" s="55">
        <f>+T166-Q166</f>
        <v>-7332.4815000000017</v>
      </c>
      <c r="X166" s="55">
        <f>-Q166+U166</f>
        <v>-8375.7080952603137</v>
      </c>
      <c r="Z166" s="144">
        <f>+E154*Q166/1000</f>
        <v>1616.5043827071008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55">
        <f>SUM(W65:W68)/1000</f>
        <v>1764.1423844134001</v>
      </c>
      <c r="R167" s="55"/>
      <c r="T167" s="55">
        <v>0</v>
      </c>
      <c r="U167" s="55">
        <v>0</v>
      </c>
      <c r="W167" s="55">
        <f>+T167-Q167</f>
        <v>-1764.1423844134001</v>
      </c>
      <c r="X167" s="55"/>
      <c r="Z167" s="85">
        <f>+E152*Q167/1000</f>
        <v>80.203691074065489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87">
        <f>'BGS PTY17 Cost Alloc'!E168</f>
        <v>89.59</v>
      </c>
      <c r="F168" s="87">
        <f>'BGS PTY17 Cost Alloc'!F168</f>
        <v>2933.9</v>
      </c>
      <c r="G168" s="87">
        <f>'BGS PTY17 Cost Alloc'!G168</f>
        <v>1449.23</v>
      </c>
      <c r="H168" s="87">
        <f>'BGS PTY17 Cost Alloc'!H168</f>
        <v>46.07</v>
      </c>
      <c r="I168" s="87">
        <f>'BGS PTY17 Cost Alloc'!I168</f>
        <v>0.18</v>
      </c>
      <c r="J168" s="87">
        <f>SUM(E168:I168)</f>
        <v>4518.97</v>
      </c>
      <c r="K168" s="87"/>
      <c r="L168" s="87"/>
      <c r="M168" s="87"/>
      <c r="Z168" s="144">
        <f>SUM(Z165:Z167)</f>
        <v>3529.949896739734</v>
      </c>
      <c r="AA168" s="144"/>
      <c r="AC168" s="81">
        <f>+E130</f>
        <v>3529.9050921756002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56758.725399999996</v>
      </c>
      <c r="R170" s="55">
        <f>SUMPRODUCT(E33:E37,E60:E64)+SUMPRODUCT(E42:E44,E69:E71)</f>
        <v>58043.413</v>
      </c>
      <c r="T170" s="55">
        <f>Q72</f>
        <v>81015.231499999994</v>
      </c>
      <c r="U170" s="55">
        <f>T170-($Q$172*$Q170/($Q$170+$Q$171))</f>
        <v>79733.382328218489</v>
      </c>
      <c r="W170" s="55">
        <f>+T170-Q170</f>
        <v>24256.506099999999</v>
      </c>
      <c r="X170" s="55">
        <f>-Q170+U170</f>
        <v>22974.656928218494</v>
      </c>
      <c r="Z170" s="144">
        <f>+E157*Q170/1000</f>
        <v>2967.018291596868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103068.2746</v>
      </c>
      <c r="R171" s="55">
        <f>SUMPRODUCT(Q33:Q37,E60:E64)+SUMPRODUCT(Q42:Q44,E69:E71)</f>
        <v>105393.587</v>
      </c>
      <c r="T171" s="55">
        <f>Q73</f>
        <v>82421.768500000006</v>
      </c>
      <c r="U171" s="55">
        <f>T171-($Q$172*$Q171/($Q$170+$Q$171))</f>
        <v>80094.056214322802</v>
      </c>
      <c r="W171" s="55">
        <f>+T171-Q171</f>
        <v>-20646.506099999999</v>
      </c>
      <c r="X171" s="55">
        <f>-Q171+U171</f>
        <v>-22974.218385677203</v>
      </c>
      <c r="Z171" s="144">
        <f>+E158*Q171/1000</f>
        <v>3822.5195293076754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3609.5614574587003</v>
      </c>
      <c r="T172" s="13">
        <v>0</v>
      </c>
      <c r="U172" s="55">
        <v>0</v>
      </c>
      <c r="W172" s="55">
        <f>+T172-Q172</f>
        <v>-3609.5614574587003</v>
      </c>
      <c r="X172" s="55"/>
      <c r="Z172" s="85">
        <f>+E156*Q172/1000</f>
        <v>153.33746897180131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6942.8752898763441</v>
      </c>
      <c r="AA173" s="144"/>
      <c r="AC173" s="81">
        <f>+E134</f>
        <v>6942.9531015627626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v>244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10472.858193738362</v>
      </c>
    </row>
    <row r="176" spans="1:51" x14ac:dyDescent="0.2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21"/>
      <c r="C177" s="92"/>
      <c r="D177" s="93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151.38</v>
      </c>
      <c r="E179" s="162">
        <f>ROUND(D179*$H$308,3)</f>
        <v>158.90899999999999</v>
      </c>
      <c r="F179" s="93" t="s">
        <v>88</v>
      </c>
      <c r="G179" s="89" t="s">
        <v>162</v>
      </c>
      <c r="H179" s="81">
        <f>ROUND(E179*E173*J$168,0)</f>
        <v>87608810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11">
        <v>151.38</v>
      </c>
      <c r="E180" s="162">
        <f>ROUND(D180*$H$308,3)</f>
        <v>158.90899999999999</v>
      </c>
      <c r="F180" s="93" t="s">
        <v>88</v>
      </c>
      <c r="G180" s="121" t="s">
        <v>163</v>
      </c>
      <c r="H180" s="122">
        <f>ROUND(E180*E174*J$168,0)</f>
        <v>175217621</v>
      </c>
      <c r="I180" s="89"/>
      <c r="J180" s="89"/>
      <c r="K180" s="142"/>
      <c r="Z180" s="144"/>
      <c r="AA180" s="144"/>
      <c r="AC180" s="81"/>
    </row>
    <row r="181" spans="1:50" x14ac:dyDescent="0.2">
      <c r="A181" s="22"/>
      <c r="B181" s="21"/>
      <c r="D181" s="11"/>
      <c r="E181" s="93"/>
      <c r="G181" s="89" t="s">
        <v>164</v>
      </c>
      <c r="H181" s="81">
        <f>SUM(H179:H180)</f>
        <v>262826431</v>
      </c>
      <c r="I181" s="89"/>
      <c r="J181" s="89"/>
      <c r="K181" s="142"/>
    </row>
    <row r="182" spans="1:50" x14ac:dyDescent="0.2">
      <c r="A182" s="22"/>
      <c r="B182" s="13" t="s">
        <v>153</v>
      </c>
      <c r="I182" s="89"/>
      <c r="J182" s="89"/>
      <c r="K182" s="142"/>
    </row>
    <row r="183" spans="1:50" x14ac:dyDescent="0.2">
      <c r="A183" s="22"/>
      <c r="B183" s="17" t="s">
        <v>154</v>
      </c>
      <c r="I183" s="89"/>
      <c r="J183" s="89"/>
      <c r="K183" s="142"/>
    </row>
    <row r="184" spans="1:50" x14ac:dyDescent="0.2">
      <c r="A184" s="22"/>
      <c r="B184" s="17"/>
      <c r="C184" s="105" t="str">
        <f>" ---------- Rate "&amp;C30&amp;" ----------"</f>
        <v xml:space="preserve"> ---------- Rate  ----------</v>
      </c>
      <c r="D184" s="106"/>
      <c r="E184" s="106"/>
      <c r="I184" s="89"/>
      <c r="J184" s="89"/>
      <c r="K184" s="142"/>
    </row>
    <row r="185" spans="1:50" x14ac:dyDescent="0.2">
      <c r="A185" s="22"/>
      <c r="C185" s="38" t="s">
        <v>140</v>
      </c>
      <c r="E185" s="38" t="s">
        <v>141</v>
      </c>
      <c r="I185" s="89"/>
      <c r="J185" s="89"/>
      <c r="K185" s="142"/>
    </row>
    <row r="186" spans="1:50" x14ac:dyDescent="0.2">
      <c r="A186" s="22"/>
      <c r="B186" s="89" t="s">
        <v>142</v>
      </c>
      <c r="C186" s="107"/>
      <c r="E186" s="118">
        <f>SUM(R65/(R65+R66))</f>
        <v>0.52348651723520678</v>
      </c>
      <c r="F186" s="112"/>
      <c r="I186" s="89"/>
      <c r="J186" s="89"/>
      <c r="K186" s="142"/>
      <c r="AX186" s="118"/>
    </row>
    <row r="187" spans="1:50" x14ac:dyDescent="0.2">
      <c r="A187" s="22"/>
      <c r="B187" s="89" t="s">
        <v>144</v>
      </c>
      <c r="C187" s="108"/>
      <c r="E187" s="109">
        <f>1-E186</f>
        <v>0.47651348276479322</v>
      </c>
      <c r="G187" s="53"/>
      <c r="I187" s="89"/>
      <c r="J187" s="89"/>
      <c r="K187" s="142"/>
    </row>
    <row r="188" spans="1:50" x14ac:dyDescent="0.2">
      <c r="A188" s="22"/>
      <c r="B188" s="110" t="s">
        <v>155</v>
      </c>
      <c r="C188" s="111">
        <v>0.86519999999999997</v>
      </c>
      <c r="D188" s="13" t="s">
        <v>143</v>
      </c>
      <c r="J188" s="89"/>
      <c r="K188" s="142"/>
    </row>
    <row r="189" spans="1:50" x14ac:dyDescent="0.2">
      <c r="A189" s="13"/>
      <c r="J189" s="89"/>
      <c r="K189" s="142"/>
    </row>
    <row r="190" spans="1:50" x14ac:dyDescent="0.2">
      <c r="A190" s="18" t="s">
        <v>89</v>
      </c>
      <c r="B190" s="16" t="s">
        <v>90</v>
      </c>
      <c r="D190" s="38" t="s">
        <v>222</v>
      </c>
      <c r="E190" s="38" t="s">
        <v>218</v>
      </c>
    </row>
    <row r="191" spans="1:50" x14ac:dyDescent="0.2">
      <c r="A191" s="18"/>
      <c r="B191" s="17" t="s">
        <v>296</v>
      </c>
      <c r="D191" s="407">
        <v>2</v>
      </c>
      <c r="F191" s="13" t="s">
        <v>92</v>
      </c>
    </row>
    <row r="192" spans="1:50" x14ac:dyDescent="0.2">
      <c r="A192" s="18"/>
      <c r="B192" s="17" t="s">
        <v>298</v>
      </c>
      <c r="D192" s="408">
        <v>8.57</v>
      </c>
      <c r="F192" s="13" t="s">
        <v>92</v>
      </c>
    </row>
    <row r="193" spans="1:13" x14ac:dyDescent="0.2">
      <c r="A193" s="22"/>
      <c r="B193" s="17" t="s">
        <v>91</v>
      </c>
      <c r="D193" s="409">
        <f>D191+D192</f>
        <v>10.57</v>
      </c>
      <c r="E193" s="406">
        <f>ROUND(D193*$H$308,3)</f>
        <v>11.096</v>
      </c>
      <c r="F193" s="13" t="s">
        <v>92</v>
      </c>
    </row>
    <row r="194" spans="1:13" x14ac:dyDescent="0.2">
      <c r="A194" s="22"/>
      <c r="B194" s="17"/>
      <c r="F194" s="93"/>
    </row>
    <row r="195" spans="1:13" x14ac:dyDescent="0.2">
      <c r="A195" s="22"/>
      <c r="B195" s="16"/>
      <c r="E195" s="92"/>
      <c r="F195" s="93"/>
    </row>
    <row r="196" spans="1:13" x14ac:dyDescent="0.2">
      <c r="A196" s="18" t="s">
        <v>93</v>
      </c>
      <c r="B196" s="16" t="s">
        <v>167</v>
      </c>
    </row>
    <row r="197" spans="1:13" x14ac:dyDescent="0.2">
      <c r="A197" s="18"/>
      <c r="B197" s="16"/>
    </row>
    <row r="198" spans="1:13" x14ac:dyDescent="0.2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x14ac:dyDescent="0.2">
      <c r="A199" s="18"/>
      <c r="B199" s="16"/>
    </row>
    <row r="200" spans="1:13" x14ac:dyDescent="0.2">
      <c r="A200" s="22"/>
      <c r="B200" s="89" t="s">
        <v>94</v>
      </c>
      <c r="C200" s="145"/>
      <c r="D200" s="145"/>
      <c r="E200" s="146">
        <v>3.8420000000000001</v>
      </c>
      <c r="F200" s="146">
        <v>4.6269999999999998</v>
      </c>
      <c r="G200" s="146">
        <v>4.6150000000000002</v>
      </c>
      <c r="H200" s="146">
        <v>3.69</v>
      </c>
      <c r="I200" s="146">
        <v>3.508</v>
      </c>
      <c r="J200" s="145"/>
      <c r="K200" s="145"/>
      <c r="L200" s="145"/>
      <c r="M200" s="145"/>
    </row>
    <row r="201" spans="1:13" x14ac:dyDescent="0.2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</row>
    <row r="202" spans="1:13" x14ac:dyDescent="0.2">
      <c r="A202" s="22"/>
      <c r="B202" s="89" t="s">
        <v>131</v>
      </c>
      <c r="C202" s="145"/>
      <c r="D202" s="145"/>
      <c r="E202" s="146">
        <f>$H$181*(E$168/$J$168)/E$72</f>
        <v>21.613640983159911</v>
      </c>
      <c r="F202" s="146">
        <f>$H$181*(F$168/$J$168)/F$72</f>
        <v>18.836865024185592</v>
      </c>
      <c r="G202" s="146">
        <f>$H$181*(G$168/$J$168)/G$72</f>
        <v>13.984918476029366</v>
      </c>
      <c r="H202" s="146">
        <f>$H$181*(H$168/$J$168)/H$72</f>
        <v>16.035183746503943</v>
      </c>
      <c r="I202" s="146">
        <f>$H$181*(I$168/$J$168)/I$72</f>
        <v>9.2200668505474634E-2</v>
      </c>
      <c r="J202" s="145"/>
      <c r="K202" s="145"/>
      <c r="L202" s="145"/>
      <c r="M202" s="145"/>
    </row>
    <row r="203" spans="1:13" x14ac:dyDescent="0.2">
      <c r="A203" s="22"/>
      <c r="B203" s="89" t="s">
        <v>198</v>
      </c>
      <c r="C203" s="145"/>
      <c r="D203" s="145"/>
      <c r="E203" s="146">
        <f>$H$179*(E$168/$J$168)/SUM(E65:E68)</f>
        <v>22.369977754572758</v>
      </c>
      <c r="F203" s="146">
        <f>$H$179*(F$168/$J$168)/SUM(F65:F68)</f>
        <v>15.14342112007914</v>
      </c>
      <c r="G203" s="146">
        <f>$H$179*(G$168/$J$168)/SUM(G65:G68)</f>
        <v>12.717304624088957</v>
      </c>
      <c r="H203" s="146"/>
      <c r="I203" s="146">
        <f>$H$179*(I$168/$J$168)/SUM(I65:I68)</f>
        <v>9.225022792307315E-2</v>
      </c>
      <c r="J203" s="145"/>
      <c r="K203" s="145"/>
      <c r="L203" s="145"/>
      <c r="M203" s="145"/>
    </row>
    <row r="204" spans="1:13" x14ac:dyDescent="0.2">
      <c r="A204" s="22"/>
      <c r="B204" s="89" t="s">
        <v>199</v>
      </c>
      <c r="C204" s="145"/>
      <c r="D204" s="145"/>
      <c r="E204" s="146">
        <f>$H$179*(E$168/$J$168)/R165</f>
        <v>54.743692673987823</v>
      </c>
      <c r="F204" s="146"/>
      <c r="G204" s="146"/>
      <c r="H204" s="146">
        <f>$H$179*(H$168/$J$168)/Q153</f>
        <v>32.995253720646041</v>
      </c>
      <c r="I204" s="146"/>
      <c r="J204" s="145"/>
      <c r="K204" s="145"/>
      <c r="L204" s="145"/>
      <c r="M204" s="145"/>
    </row>
    <row r="205" spans="1:13" x14ac:dyDescent="0.2">
      <c r="A205" s="22"/>
      <c r="B205" s="89" t="s">
        <v>201</v>
      </c>
      <c r="C205" s="145"/>
      <c r="D205" s="145"/>
      <c r="E205" s="146">
        <f>$H$180*(E$168/$J$168)/(E72-SUM(E65:E68))</f>
        <v>21.254332773006723</v>
      </c>
      <c r="F205" s="146">
        <f>$H$180*(F$168/$J$168)/(F72-SUM(F65:F68))</f>
        <v>21.453037014116045</v>
      </c>
      <c r="G205" s="146">
        <f>$H$180*(G$168/$J$168)/(G72-SUM(G65:G68))</f>
        <v>14.718459240254912</v>
      </c>
      <c r="H205" s="146"/>
      <c r="I205" s="146">
        <f>$H$180*(I$168/$J$168)/(I72-SUM(I65:I68))</f>
        <v>9.2175908759989267E-2</v>
      </c>
      <c r="J205" s="145"/>
      <c r="K205" s="145"/>
      <c r="L205" s="145"/>
      <c r="M205" s="145"/>
    </row>
    <row r="206" spans="1:13" x14ac:dyDescent="0.2">
      <c r="A206" s="22"/>
      <c r="B206" s="89" t="s">
        <v>200</v>
      </c>
      <c r="C206" s="145"/>
      <c r="D206" s="145"/>
      <c r="E206" s="146">
        <f>$H$180*(E$168/$J$168)/R170</f>
        <v>59.847348835636176</v>
      </c>
      <c r="F206" s="147"/>
      <c r="G206" s="147"/>
      <c r="H206" s="146">
        <f>$H$180*(H$168/$J$168)/Q157</f>
        <v>37.305856013551384</v>
      </c>
      <c r="I206" s="146"/>
      <c r="J206" s="145"/>
      <c r="K206" s="145"/>
      <c r="L206" s="145"/>
      <c r="M206" s="145"/>
    </row>
    <row r="207" spans="1:13" x14ac:dyDescent="0.2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75" x14ac:dyDescent="0.25">
      <c r="A208" s="22"/>
      <c r="B208" s="435" t="str">
        <f>$B$1</f>
        <v xml:space="preserve">Jersey Central Power &amp; Light </v>
      </c>
      <c r="C208" s="435"/>
      <c r="D208" s="435"/>
      <c r="E208" s="435"/>
      <c r="F208" s="435"/>
      <c r="G208" s="435"/>
      <c r="H208" s="435"/>
      <c r="I208" s="435"/>
      <c r="J208" s="435"/>
      <c r="K208" s="435"/>
      <c r="L208" s="435"/>
      <c r="M208" s="145"/>
    </row>
    <row r="209" spans="1:18" ht="15.75" x14ac:dyDescent="0.25">
      <c r="A209" s="22"/>
      <c r="B209" s="435" t="str">
        <f>$B$2</f>
        <v>Attachment 2</v>
      </c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145"/>
      <c r="N209" s="145"/>
      <c r="O209" s="145"/>
      <c r="P209" s="145"/>
      <c r="Q209" s="145"/>
      <c r="R209" s="145"/>
    </row>
    <row r="210" spans="1:18" x14ac:dyDescent="0.2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">
      <c r="A211" s="22"/>
      <c r="M211" s="145"/>
      <c r="N211" s="145"/>
      <c r="O211" s="145"/>
      <c r="P211" s="145"/>
      <c r="Q211" s="145"/>
      <c r="R211" s="145"/>
    </row>
    <row r="212" spans="1:18" x14ac:dyDescent="0.2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x14ac:dyDescent="0.2">
      <c r="A213" s="22"/>
      <c r="B213" s="16"/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B219" s="28" t="s">
        <v>17</v>
      </c>
      <c r="C219" s="74"/>
      <c r="D219" s="74"/>
      <c r="E219" s="74">
        <f>+E152+(E$95*$E$193)+E$200+E203</f>
        <v>84.080572598681186</v>
      </c>
      <c r="F219" s="74">
        <f>+F152+(F$95*$E$193)+F$200+F203</f>
        <v>77.677499757814303</v>
      </c>
      <c r="G219" s="74">
        <f>+G152+(G$95*$E$193)+G$200+G203</f>
        <v>76.584188114650161</v>
      </c>
      <c r="H219" s="74"/>
      <c r="I219" s="74">
        <f>+I152+(I$95*$E$193)+I$200+I203</f>
        <v>55.41632175197465</v>
      </c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77" t="s">
        <v>72</v>
      </c>
      <c r="C220" s="74"/>
      <c r="D220" s="74"/>
      <c r="E220" s="74">
        <f>+E153+(E$95*$E$193)+E$200+E$204</f>
        <v>130.11275857829048</v>
      </c>
      <c r="F220" s="74"/>
      <c r="G220" s="74"/>
      <c r="H220" s="74">
        <f>+H153+(H$95*$E$193)+H$200+H$204</f>
        <v>107.56494862292632</v>
      </c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73</v>
      </c>
      <c r="C221" s="74"/>
      <c r="D221" s="74"/>
      <c r="E221" s="74">
        <f>+E154+(E$95*$E$193)+E$200</f>
        <v>52.272840565844056</v>
      </c>
      <c r="F221" s="74"/>
      <c r="G221" s="74"/>
      <c r="H221" s="74">
        <f>+H154+(H$95*$E$193)+H$200</f>
        <v>52.311174604205327</v>
      </c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89" t="s">
        <v>142</v>
      </c>
      <c r="C222" s="74"/>
      <c r="D222" s="74"/>
      <c r="E222" s="74"/>
      <c r="F222" s="74">
        <f>(F219*SUM(F65:F68)-C188*10*E187*SUM(F65:F68))/SUM(F65:F68)</f>
        <v>73.554705104933305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144</v>
      </c>
      <c r="C223" s="74"/>
      <c r="D223" s="74"/>
      <c r="E223" s="74"/>
      <c r="F223" s="74">
        <f>+F222+C188*10</f>
        <v>82.206705104933306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B225" s="28" t="s">
        <v>18</v>
      </c>
      <c r="C225" s="74"/>
      <c r="D225" s="74"/>
      <c r="E225" s="74">
        <f>+E156+(E$95*$E$193)+E$200+E205</f>
        <v>79.982565969479424</v>
      </c>
      <c r="F225" s="74">
        <f>+F156+(F$95*$E$193)+F$200+F205</f>
        <v>79.816940735089474</v>
      </c>
      <c r="G225" s="74">
        <f>+G156+(G$95*$E$193)+G$200+G205</f>
        <v>74.053232757468123</v>
      </c>
      <c r="H225" s="74"/>
      <c r="I225" s="74">
        <f>+I156+(I$95*$E$193)+I$200+I205</f>
        <v>53.964171373259411</v>
      </c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77" t="s">
        <v>72</v>
      </c>
      <c r="C226" s="74"/>
      <c r="D226" s="74"/>
      <c r="E226" s="74">
        <f>+E157+(E$95*$E$193)+E$200+E$206</f>
        <v>128.36889167839735</v>
      </c>
      <c r="F226" s="74"/>
      <c r="G226" s="74"/>
      <c r="H226" s="74">
        <f>+H157+(H$95*$E$193)+H$200+H$206</f>
        <v>104.20070304627521</v>
      </c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73</v>
      </c>
      <c r="C227" s="74"/>
      <c r="D227" s="74"/>
      <c r="E227" s="74">
        <f>+E158+(E$95*$E$193)+E$200</f>
        <v>53.334575864700497</v>
      </c>
      <c r="F227" s="74"/>
      <c r="G227" s="74"/>
      <c r="H227" s="74">
        <f>+H158+(H$95*$E$193)+H$200</f>
        <v>51.756699245484867</v>
      </c>
      <c r="I227" s="74"/>
      <c r="J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B229" s="13" t="s">
        <v>98</v>
      </c>
      <c r="C229" s="74"/>
      <c r="D229" s="74"/>
      <c r="E229" s="74">
        <f>+E160+(E$95*$E$193)+E$200+E202</f>
        <v>81.302383161743862</v>
      </c>
      <c r="F229" s="74">
        <f>+F160+(F$95*$E$193)+F$200+F202</f>
        <v>78.929858913809909</v>
      </c>
      <c r="G229" s="74">
        <f>+G160+(G$95*$E$193)+G$200+G202</f>
        <v>74.980976626897402</v>
      </c>
      <c r="H229" s="74">
        <f>((H220*SUMPRODUCT(H38:H41,H65:H68)+H221*SUMPRODUCT(T38:T41,H65:H68))+(H226*(SUMPRODUCT(H33:H37,H60:H64)+SUMPRODUCT(H42:H44,H69:H71))+H227*(SUMPRODUCT(T33:T37,H60:H64)+SUMPRODUCT(T42:T44,H69:H71))))/H72</f>
        <v>75.928397167762498</v>
      </c>
      <c r="I229" s="74">
        <f>+I160+(I$95*$E$193)+I$200+I202</f>
        <v>54.447961452312121</v>
      </c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77"/>
      <c r="C234" s="74"/>
      <c r="D234" s="74"/>
      <c r="I234" s="89"/>
      <c r="J234" s="80"/>
      <c r="K234" s="93"/>
    </row>
    <row r="235" spans="1:18" x14ac:dyDescent="0.2">
      <c r="A235" s="22"/>
      <c r="C235" s="74"/>
      <c r="D235" s="74"/>
    </row>
    <row r="236" spans="1:18" x14ac:dyDescent="0.2">
      <c r="A236" s="22"/>
      <c r="B236" s="37" t="s">
        <v>101</v>
      </c>
      <c r="C236" s="74"/>
      <c r="D236" s="74"/>
      <c r="I236" s="96"/>
      <c r="K236" s="93"/>
    </row>
    <row r="237" spans="1:18" x14ac:dyDescent="0.2">
      <c r="A237" s="22"/>
      <c r="B237" s="77"/>
      <c r="C237" s="74"/>
      <c r="D237" s="74"/>
      <c r="I237" s="89"/>
      <c r="J237" s="97"/>
      <c r="K237" s="93"/>
    </row>
    <row r="238" spans="1:18" ht="15.75" x14ac:dyDescent="0.25">
      <c r="A238" s="22"/>
      <c r="B238" s="435" t="str">
        <f>$B$1</f>
        <v xml:space="preserve">Jersey Central Power &amp; Light </v>
      </c>
      <c r="C238" s="435"/>
      <c r="D238" s="435"/>
      <c r="E238" s="435"/>
      <c r="F238" s="435"/>
      <c r="G238" s="435"/>
      <c r="H238" s="435"/>
      <c r="I238" s="435"/>
      <c r="J238" s="435"/>
      <c r="K238" s="435"/>
      <c r="L238" s="435"/>
    </row>
    <row r="239" spans="1:18" ht="15.75" x14ac:dyDescent="0.25">
      <c r="A239" s="22"/>
      <c r="B239" s="435" t="str">
        <f>$B$2</f>
        <v>Attachment 2</v>
      </c>
      <c r="C239" s="435"/>
      <c r="D239" s="435"/>
      <c r="E239" s="435"/>
      <c r="F239" s="435"/>
      <c r="G239" s="435"/>
      <c r="H239" s="435"/>
      <c r="I239" s="435"/>
      <c r="J239" s="435"/>
      <c r="K239" s="435"/>
      <c r="L239" s="435"/>
    </row>
    <row r="240" spans="1:18" ht="15.75" x14ac:dyDescent="0.25">
      <c r="A240" s="22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1:12" ht="15.75" x14ac:dyDescent="0.25">
      <c r="A241" s="18" t="s">
        <v>106</v>
      </c>
      <c r="B241" s="163" t="s">
        <v>240</v>
      </c>
      <c r="C241" s="20"/>
      <c r="E241" s="165"/>
      <c r="F241" s="38"/>
      <c r="K241" s="166"/>
      <c r="L241" s="166"/>
    </row>
    <row r="242" spans="1:12" ht="15.75" x14ac:dyDescent="0.25">
      <c r="B242" s="13" t="s">
        <v>241</v>
      </c>
      <c r="K242" s="166"/>
      <c r="L242" s="166"/>
    </row>
    <row r="243" spans="1:12" ht="15.75" x14ac:dyDescent="0.25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6"/>
      <c r="L243" s="166"/>
    </row>
    <row r="244" spans="1:12" ht="15.75" x14ac:dyDescent="0.25">
      <c r="K244" s="166"/>
      <c r="L244" s="166"/>
    </row>
    <row r="245" spans="1:12" ht="15.75" x14ac:dyDescent="0.25">
      <c r="B245" s="28" t="s">
        <v>17</v>
      </c>
      <c r="E245" s="55">
        <f>'Composite Cost Allocation'!E108</f>
        <v>1764142.3844134002</v>
      </c>
      <c r="G245" s="55">
        <f>'Composite Cost Allocation'!G108</f>
        <v>2209279000</v>
      </c>
      <c r="I245" s="55">
        <f>'Composite Cost Allocation'!I108</f>
        <v>37828000</v>
      </c>
      <c r="K245" s="166"/>
      <c r="L245" s="166"/>
    </row>
    <row r="246" spans="1:12" ht="15.75" x14ac:dyDescent="0.25">
      <c r="B246" s="77" t="s">
        <v>72</v>
      </c>
      <c r="E246" s="55">
        <f>'Composite Cost Allocation'!E109</f>
        <v>31007842</v>
      </c>
      <c r="H246" s="55">
        <f>'Composite Cost Allocation'!H109</f>
        <v>27069177.699999999</v>
      </c>
      <c r="K246" s="166"/>
      <c r="L246" s="166"/>
    </row>
    <row r="247" spans="1:12" ht="15.75" x14ac:dyDescent="0.25">
      <c r="B247" s="77" t="s">
        <v>73</v>
      </c>
      <c r="E247" s="55">
        <f>'Composite Cost Allocation'!E110</f>
        <v>44871015.615586594</v>
      </c>
      <c r="H247" s="55">
        <f>'Composite Cost Allocation'!H110</f>
        <v>31051822.300000001</v>
      </c>
      <c r="K247" s="166"/>
      <c r="L247" s="166"/>
    </row>
    <row r="248" spans="1:12" ht="15.75" x14ac:dyDescent="0.25">
      <c r="B248" s="89" t="s">
        <v>142</v>
      </c>
      <c r="F248" s="55">
        <f>'Composite Cost Allocation'!F111</f>
        <v>1966234000</v>
      </c>
      <c r="K248" s="166"/>
      <c r="L248" s="166"/>
    </row>
    <row r="249" spans="1:12" ht="15.75" x14ac:dyDescent="0.25">
      <c r="B249" s="89" t="s">
        <v>144</v>
      </c>
      <c r="F249" s="55">
        <f>'Composite Cost Allocation'!F112</f>
        <v>1789801000</v>
      </c>
      <c r="K249" s="166"/>
      <c r="L249" s="166"/>
    </row>
    <row r="250" spans="1:12" ht="15.75" x14ac:dyDescent="0.25">
      <c r="K250" s="166"/>
      <c r="L250" s="166"/>
    </row>
    <row r="251" spans="1:12" ht="15.75" x14ac:dyDescent="0.25">
      <c r="B251" s="28" t="s">
        <v>18</v>
      </c>
      <c r="E251" s="55">
        <f>'Composite Cost Allocation'!E114</f>
        <v>3609561.4574586996</v>
      </c>
      <c r="F251" s="55">
        <f>'Composite Cost Allocation'!F114</f>
        <v>5302673000</v>
      </c>
      <c r="G251" s="55">
        <f>'Composite Cost Allocation'!G114</f>
        <v>3817801000</v>
      </c>
      <c r="I251" s="55">
        <f>'Composite Cost Allocation'!I114</f>
        <v>75717000</v>
      </c>
      <c r="K251" s="166"/>
      <c r="L251" s="166"/>
    </row>
    <row r="252" spans="1:12" ht="15.75" x14ac:dyDescent="0.25">
      <c r="B252" s="77" t="s">
        <v>72</v>
      </c>
      <c r="E252" s="55">
        <f>'Composite Cost Allocation'!E115</f>
        <v>56758896.659629665</v>
      </c>
      <c r="H252" s="55">
        <f>'Composite Cost Allocation'!H115</f>
        <v>47882798.399999991</v>
      </c>
      <c r="K252" s="166"/>
      <c r="L252" s="166"/>
    </row>
    <row r="253" spans="1:12" ht="15.75" x14ac:dyDescent="0.25">
      <c r="B253" s="77" t="s">
        <v>73</v>
      </c>
      <c r="E253" s="55">
        <f>'Composite Cost Allocation'!E116</f>
        <v>103068541.88291162</v>
      </c>
      <c r="H253" s="55">
        <f>'Composite Cost Allocation'!H116</f>
        <v>61095201.600000024</v>
      </c>
      <c r="K253" s="166"/>
      <c r="L253" s="166"/>
    </row>
    <row r="254" spans="1:12" ht="15.75" x14ac:dyDescent="0.25">
      <c r="J254" s="26" t="s">
        <v>13</v>
      </c>
      <c r="K254" s="166"/>
      <c r="L254" s="166"/>
    </row>
    <row r="255" spans="1:12" ht="15.75" x14ac:dyDescent="0.25">
      <c r="B255" s="89" t="s">
        <v>162</v>
      </c>
      <c r="E255" s="55">
        <f>SUM(E245:E249)</f>
        <v>77643000</v>
      </c>
      <c r="F255" s="55">
        <f>SUM(F245:F249)</f>
        <v>3756035000</v>
      </c>
      <c r="G255" s="55">
        <f>SUM(G245:G249)</f>
        <v>2209279000</v>
      </c>
      <c r="H255" s="55">
        <f>SUM(H245:H249)</f>
        <v>58121000</v>
      </c>
      <c r="I255" s="55">
        <f>SUM(I245:I249)</f>
        <v>37828000</v>
      </c>
      <c r="J255" s="55">
        <f>SUM(E255:I255)</f>
        <v>6138906000</v>
      </c>
      <c r="K255" s="166"/>
      <c r="L255" s="166"/>
    </row>
    <row r="256" spans="1:12" ht="15.75" x14ac:dyDescent="0.25">
      <c r="B256" s="89" t="s">
        <v>163</v>
      </c>
      <c r="E256" s="138">
        <f>SUM(E251:E253)</f>
        <v>163437000</v>
      </c>
      <c r="F256" s="138">
        <f>SUM(F251:F253)</f>
        <v>5302673000</v>
      </c>
      <c r="G256" s="281">
        <f>SUM(G251:G253)</f>
        <v>3817801000</v>
      </c>
      <c r="H256" s="281">
        <f>SUM(H251:H253)</f>
        <v>108978000.00000001</v>
      </c>
      <c r="I256" s="281">
        <f>SUM(I251:I253)</f>
        <v>75717000</v>
      </c>
      <c r="J256" s="138">
        <f>SUM(E256:I256)</f>
        <v>9468606000</v>
      </c>
      <c r="K256" s="166"/>
      <c r="L256" s="166"/>
    </row>
    <row r="257" spans="1:15" ht="15.75" x14ac:dyDescent="0.25">
      <c r="B257" s="89" t="s">
        <v>164</v>
      </c>
      <c r="E257" s="55">
        <f>SUM(E255:E256)</f>
        <v>241080000</v>
      </c>
      <c r="F257" s="55">
        <f>SUM(F255:F256)</f>
        <v>9058708000</v>
      </c>
      <c r="G257" s="55">
        <f>SUM(G255:G256)</f>
        <v>6027080000</v>
      </c>
      <c r="H257" s="55">
        <f>SUM(H255:H256)</f>
        <v>167099000</v>
      </c>
      <c r="I257" s="55">
        <f>SUM(I255:I256)</f>
        <v>113545000</v>
      </c>
      <c r="J257" s="55">
        <f>SUM(E257:I257)</f>
        <v>15607512000</v>
      </c>
      <c r="K257" s="166"/>
      <c r="L257" s="166"/>
    </row>
    <row r="258" spans="1:15" ht="15.75" x14ac:dyDescent="0.25">
      <c r="A258" s="22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</row>
    <row r="261" spans="1:15" x14ac:dyDescent="0.2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x14ac:dyDescent="0.2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x14ac:dyDescent="0.2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x14ac:dyDescent="0.2">
      <c r="A265" s="7"/>
      <c r="B265" s="28" t="s">
        <v>17</v>
      </c>
      <c r="C265" s="149"/>
      <c r="D265" s="149"/>
      <c r="E265" s="149">
        <f>+E219*E245/1000000</f>
        <v>148.33010182708145</v>
      </c>
      <c r="F265" s="149"/>
      <c r="G265" s="149">
        <f>+G219*G245/1000000</f>
        <v>169195.8385337462</v>
      </c>
      <c r="H265" s="144"/>
      <c r="I265" s="149">
        <f>+I219*I245/1000000</f>
        <v>2096.2886192336969</v>
      </c>
      <c r="J265" s="149"/>
      <c r="K265" s="149"/>
      <c r="L265" s="149"/>
    </row>
    <row r="266" spans="1:15" x14ac:dyDescent="0.2">
      <c r="A266" s="7"/>
      <c r="B266" s="77" t="s">
        <v>72</v>
      </c>
      <c r="C266" s="149"/>
      <c r="D266" s="149"/>
      <c r="E266" s="149">
        <f>+E220*E246/1000000</f>
        <v>4034.5158601797757</v>
      </c>
      <c r="F266" s="149"/>
      <c r="G266" s="149"/>
      <c r="H266" s="149">
        <f>+H220*H246/1000000</f>
        <v>2911.6947085653628</v>
      </c>
      <c r="I266" s="149"/>
      <c r="J266" s="149"/>
      <c r="K266" s="149"/>
      <c r="L266" s="149"/>
    </row>
    <row r="267" spans="1:15" x14ac:dyDescent="0.2">
      <c r="A267" s="7"/>
      <c r="B267" s="77" t="s">
        <v>73</v>
      </c>
      <c r="C267" s="149"/>
      <c r="D267" s="149"/>
      <c r="E267" s="149">
        <f>+E221*E247/1000000</f>
        <v>2345.5354453010568</v>
      </c>
      <c r="F267" s="149"/>
      <c r="G267" s="149"/>
      <c r="H267" s="149">
        <f>+H221*H247/1000000</f>
        <v>1624.3572981140567</v>
      </c>
      <c r="I267" s="149"/>
      <c r="J267" s="149"/>
      <c r="K267" s="81"/>
      <c r="L267" s="81"/>
      <c r="M267" s="81"/>
      <c r="N267" s="81"/>
      <c r="O267" s="81"/>
    </row>
    <row r="268" spans="1:15" x14ac:dyDescent="0.2">
      <c r="A268" s="7"/>
      <c r="B268" s="89" t="s">
        <v>142</v>
      </c>
      <c r="C268" s="149"/>
      <c r="D268" s="149"/>
      <c r="E268" s="149"/>
      <c r="F268" s="149">
        <f>+F222*F248/1000000</f>
        <v>144625.76203729343</v>
      </c>
      <c r="G268" s="149"/>
      <c r="H268" s="144"/>
      <c r="I268" s="149"/>
      <c r="J268" s="149"/>
      <c r="K268" s="149"/>
      <c r="L268" s="149"/>
    </row>
    <row r="269" spans="1:15" x14ac:dyDescent="0.2">
      <c r="A269" s="7"/>
      <c r="B269" s="89" t="s">
        <v>144</v>
      </c>
      <c r="C269" s="149"/>
      <c r="D269" s="149"/>
      <c r="E269" s="149"/>
      <c r="F269" s="149">
        <f>+F223*F249/1000000</f>
        <v>147133.64300351474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x14ac:dyDescent="0.2">
      <c r="A271" s="7"/>
      <c r="B271" s="28" t="s">
        <v>18</v>
      </c>
      <c r="C271" s="149"/>
      <c r="D271" s="149"/>
      <c r="E271" s="149">
        <f>+E225*E251/1000000</f>
        <v>288.7019873920807</v>
      </c>
      <c r="F271" s="149">
        <f>+F225*F251/1000000</f>
        <v>423243.13657855906</v>
      </c>
      <c r="G271" s="149">
        <f>+G225*G251/1000000</f>
        <v>282720.50607469457</v>
      </c>
      <c r="I271" s="149">
        <f>+I225*I251/1000000</f>
        <v>4086.0051638690829</v>
      </c>
      <c r="J271" s="149"/>
      <c r="K271" s="149"/>
      <c r="L271" s="149"/>
    </row>
    <row r="272" spans="1:15" x14ac:dyDescent="0.2">
      <c r="A272" s="7"/>
      <c r="B272" s="77" t="s">
        <v>72</v>
      </c>
      <c r="C272" s="149"/>
      <c r="D272" s="149"/>
      <c r="E272" s="149">
        <f>+E226*E252/1000000</f>
        <v>7286.0766570853493</v>
      </c>
      <c r="F272" s="3"/>
      <c r="G272" s="3"/>
      <c r="H272" s="149">
        <f>+H226*H252/1000000</f>
        <v>4989.4212571030603</v>
      </c>
      <c r="I272" s="3"/>
      <c r="J272" s="149"/>
      <c r="K272" s="149"/>
      <c r="L272" s="149"/>
    </row>
    <row r="273" spans="1:12" x14ac:dyDescent="0.2">
      <c r="A273" s="7"/>
      <c r="B273" s="77" t="s">
        <v>73</v>
      </c>
      <c r="C273" s="3"/>
      <c r="D273" s="3"/>
      <c r="E273" s="149">
        <f>+E227*E253/1000000</f>
        <v>5497.1169663182109</v>
      </c>
      <c r="H273" s="149">
        <f>+H227*H253/1000000</f>
        <v>3162.0859745534672</v>
      </c>
      <c r="J273" s="149"/>
      <c r="K273" s="149"/>
      <c r="L273" s="149"/>
    </row>
    <row r="274" spans="1:12" x14ac:dyDescent="0.2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s="5" t="s">
        <v>25</v>
      </c>
      <c r="D276"/>
      <c r="E276" s="3">
        <f>SUM(E265:E269)</f>
        <v>6528.3814073079138</v>
      </c>
      <c r="F276" s="3">
        <f>SUM(F265:F269)</f>
        <v>291759.40504080814</v>
      </c>
      <c r="G276" s="3">
        <f>SUM(G265:G269)</f>
        <v>169195.8385337462</v>
      </c>
      <c r="H276" s="3">
        <f>SUM(H265:H269)</f>
        <v>4536.0520066794197</v>
      </c>
      <c r="I276" s="3">
        <f>SUM(I265:I269)</f>
        <v>2096.2886192336969</v>
      </c>
      <c r="J276" s="151">
        <f>SUM(E276:I276)</f>
        <v>474115.96560777538</v>
      </c>
      <c r="K276"/>
      <c r="L276"/>
    </row>
    <row r="277" spans="1:12" x14ac:dyDescent="0.2">
      <c r="A277" s="7"/>
      <c r="B277" s="5" t="s">
        <v>26</v>
      </c>
      <c r="D277"/>
      <c r="E277" s="3">
        <f>SUM(E271:E273)</f>
        <v>13071.89561079564</v>
      </c>
      <c r="F277" s="3">
        <f>SUM(F271:F273)</f>
        <v>423243.13657855906</v>
      </c>
      <c r="G277" s="3">
        <f>SUM(G271:G273)</f>
        <v>282720.50607469457</v>
      </c>
      <c r="H277" s="3">
        <f>SUM(H271:H273)</f>
        <v>8151.5072316565274</v>
      </c>
      <c r="I277" s="3">
        <f>SUM(I271:I273)</f>
        <v>4086.0051638690829</v>
      </c>
      <c r="J277" s="151">
        <f>SUM(E277:I277)</f>
        <v>731273.05065957492</v>
      </c>
      <c r="K277"/>
      <c r="L277"/>
    </row>
    <row r="278" spans="1:12" x14ac:dyDescent="0.2">
      <c r="A278" s="7"/>
      <c r="B278" s="5" t="s">
        <v>13</v>
      </c>
      <c r="D278"/>
      <c r="E278" s="3">
        <f>SUM(E276:E277)</f>
        <v>19600.277018103552</v>
      </c>
      <c r="F278" s="3">
        <f>SUM(F276:F277)</f>
        <v>715002.5416193672</v>
      </c>
      <c r="G278" s="3">
        <f>SUM(G276:G277)</f>
        <v>451916.34460844076</v>
      </c>
      <c r="H278" s="3">
        <f>SUM(H276:H277)</f>
        <v>12687.559238335947</v>
      </c>
      <c r="I278" s="3">
        <f>SUM(I276:I277)</f>
        <v>6182.2937831027793</v>
      </c>
      <c r="J278" s="3">
        <f>SUM(E278:I278)</f>
        <v>1205389.0162673504</v>
      </c>
      <c r="L278"/>
    </row>
    <row r="279" spans="1:12" x14ac:dyDescent="0.2">
      <c r="A279" s="7"/>
      <c r="B279"/>
      <c r="C279"/>
      <c r="D279"/>
      <c r="E279"/>
      <c r="F279"/>
      <c r="G279"/>
      <c r="H279"/>
      <c r="J279"/>
      <c r="L279"/>
    </row>
    <row r="280" spans="1:12" x14ac:dyDescent="0.2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x14ac:dyDescent="0.2">
      <c r="A281" s="7"/>
      <c r="B281" s="5" t="s">
        <v>25</v>
      </c>
      <c r="C281"/>
      <c r="D281"/>
      <c r="E281" s="150">
        <f t="shared" ref="E281:J281" si="11">+E276/E278</f>
        <v>0.33307597649145754</v>
      </c>
      <c r="F281" s="150">
        <f t="shared" si="11"/>
        <v>0.40805366143177535</v>
      </c>
      <c r="G281" s="150">
        <f t="shared" si="11"/>
        <v>0.37439636904556872</v>
      </c>
      <c r="H281" s="150">
        <f t="shared" si="11"/>
        <v>0.35751967115736211</v>
      </c>
      <c r="I281" s="150">
        <f t="shared" si="11"/>
        <v>0.33907942468913344</v>
      </c>
      <c r="J281" s="150">
        <f t="shared" si="11"/>
        <v>0.39333025206745237</v>
      </c>
      <c r="L281"/>
    </row>
    <row r="282" spans="1:12" x14ac:dyDescent="0.2">
      <c r="A282" s="7"/>
      <c r="B282" s="5" t="s">
        <v>26</v>
      </c>
      <c r="C282"/>
      <c r="D282"/>
      <c r="E282" s="150">
        <f t="shared" ref="E282:J282" si="12">+E277/E278</f>
        <v>0.66692402350854252</v>
      </c>
      <c r="F282" s="150">
        <f t="shared" si="12"/>
        <v>0.59194633856822465</v>
      </c>
      <c r="G282" s="150">
        <f t="shared" si="12"/>
        <v>0.62560363095443128</v>
      </c>
      <c r="H282" s="150">
        <f t="shared" si="12"/>
        <v>0.64248032884263784</v>
      </c>
      <c r="I282" s="150">
        <f t="shared" si="12"/>
        <v>0.66092057531086656</v>
      </c>
      <c r="J282" s="150">
        <f t="shared" si="12"/>
        <v>0.60666974793254758</v>
      </c>
      <c r="L282"/>
    </row>
    <row r="283" spans="1:12" x14ac:dyDescent="0.2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75" x14ac:dyDescent="0.25">
      <c r="A285" s="22"/>
      <c r="B285" s="435" t="str">
        <f>$B$1</f>
        <v xml:space="preserve">Jersey Central Power &amp; Light </v>
      </c>
      <c r="C285" s="435"/>
      <c r="D285" s="435"/>
      <c r="E285" s="435"/>
      <c r="F285" s="435"/>
      <c r="G285" s="435"/>
      <c r="H285" s="435"/>
      <c r="I285" s="435"/>
      <c r="J285" s="435"/>
      <c r="K285" s="435"/>
      <c r="L285" s="435"/>
    </row>
    <row r="286" spans="1:12" ht="15.75" x14ac:dyDescent="0.25">
      <c r="A286" s="22"/>
      <c r="B286" s="435" t="str">
        <f>$B$2</f>
        <v>Attachment 2</v>
      </c>
      <c r="C286" s="435"/>
      <c r="D286" s="435"/>
      <c r="E286" s="435"/>
      <c r="F286" s="435"/>
      <c r="G286" s="435"/>
      <c r="H286" s="435"/>
      <c r="I286" s="435"/>
      <c r="J286" s="435"/>
      <c r="K286" s="435"/>
      <c r="L286" s="435"/>
    </row>
    <row r="287" spans="1:12" x14ac:dyDescent="0.2">
      <c r="A287" s="7"/>
      <c r="B287" s="5"/>
      <c r="C287"/>
      <c r="D287"/>
      <c r="E287" s="150"/>
      <c r="F287" s="150"/>
      <c r="G287" s="150"/>
      <c r="H287" s="150"/>
      <c r="I287" s="150"/>
      <c r="J287" s="150"/>
      <c r="L287"/>
    </row>
    <row r="288" spans="1:12" x14ac:dyDescent="0.2">
      <c r="A288" s="6" t="s">
        <v>138</v>
      </c>
      <c r="B288" s="1" t="s">
        <v>247</v>
      </c>
      <c r="C288"/>
      <c r="D288"/>
      <c r="E288"/>
      <c r="G288" s="81"/>
      <c r="J288"/>
      <c r="L288"/>
    </row>
    <row r="289" spans="1:12" x14ac:dyDescent="0.2">
      <c r="A289" s="7"/>
      <c r="C289" s="74"/>
      <c r="D289" s="74"/>
      <c r="J289"/>
      <c r="L289"/>
    </row>
    <row r="290" spans="1:12" x14ac:dyDescent="0.2">
      <c r="A290" s="7"/>
      <c r="B290" s="16" t="s">
        <v>232</v>
      </c>
      <c r="C290" s="74"/>
      <c r="D290" s="74"/>
      <c r="J290"/>
      <c r="L290"/>
    </row>
    <row r="291" spans="1:12" x14ac:dyDescent="0.2">
      <c r="A291" s="7"/>
      <c r="B291" s="89" t="s">
        <v>103</v>
      </c>
      <c r="C291" s="144">
        <f>J278</f>
        <v>1205389.0162673504</v>
      </c>
      <c r="J291"/>
      <c r="L291"/>
    </row>
    <row r="292" spans="1:12" x14ac:dyDescent="0.2">
      <c r="A292" s="7"/>
      <c r="B292" s="16"/>
      <c r="C292" s="144"/>
      <c r="J292"/>
      <c r="L292"/>
    </row>
    <row r="293" spans="1:12" x14ac:dyDescent="0.2">
      <c r="A293" s="7"/>
      <c r="B293" s="16" t="s">
        <v>230</v>
      </c>
      <c r="C293" s="144"/>
      <c r="E293" s="26" t="str">
        <f>+E$13</f>
        <v>RT{1}</v>
      </c>
      <c r="F293" s="26" t="str">
        <f>+F$13</f>
        <v>RS{2}</v>
      </c>
      <c r="G293" s="26" t="str">
        <f>+G$13</f>
        <v>GS{3}</v>
      </c>
      <c r="H293" s="155" t="str">
        <f>+H$58</f>
        <v>GST {4}</v>
      </c>
      <c r="I293" s="26" t="str">
        <f>+I$13</f>
        <v>OL/SL</v>
      </c>
      <c r="J293" s="2" t="s">
        <v>13</v>
      </c>
      <c r="L293"/>
    </row>
    <row r="294" spans="1:12" x14ac:dyDescent="0.2">
      <c r="A294" s="7"/>
      <c r="B294" s="21" t="s">
        <v>25</v>
      </c>
      <c r="C294" s="144"/>
      <c r="E294" s="161">
        <f>ROUND(SUM(E65:E68)*E95,0)</f>
        <v>86805</v>
      </c>
      <c r="F294" s="161">
        <f>ROUND(SUM(F65:F68)*F95,0)</f>
        <v>4199244</v>
      </c>
      <c r="G294" s="161">
        <f>ROUND(SUM(G65:G68)*G95,0)</f>
        <v>2469972</v>
      </c>
      <c r="H294" s="161">
        <f>ROUND(SUM(H65:H68)*H95,0)</f>
        <v>64979</v>
      </c>
      <c r="I294" s="161">
        <f>ROUND(SUM(I65:I68)*I95,0)</f>
        <v>42292</v>
      </c>
      <c r="J294" s="161">
        <f>SUM(E294:I294)</f>
        <v>6863292</v>
      </c>
      <c r="L294"/>
    </row>
    <row r="295" spans="1:12" x14ac:dyDescent="0.2">
      <c r="A295" s="7"/>
      <c r="B295" s="12" t="s">
        <v>26</v>
      </c>
      <c r="C295" s="144"/>
      <c r="E295" s="161">
        <f>ROUND((E72-SUM(E65:E68))*E95,0)</f>
        <v>182722</v>
      </c>
      <c r="F295" s="161">
        <f>ROUND((F72-SUM(F65:F68))*F95,0)</f>
        <v>5928384</v>
      </c>
      <c r="G295" s="161">
        <f>ROUND((G72-SUM(G65:G68))*G95,0)</f>
        <v>4268299</v>
      </c>
      <c r="H295" s="161">
        <f>ROUND((H72-SUM(H65:H68))*H95,0)</f>
        <v>121837</v>
      </c>
      <c r="I295" s="161">
        <f>ROUND((I72-SUM(I65:I68))*I95,0)</f>
        <v>84652</v>
      </c>
      <c r="J295" s="161">
        <f>SUM(E295:I295)</f>
        <v>10585894</v>
      </c>
      <c r="L295"/>
    </row>
    <row r="296" spans="1:12" x14ac:dyDescent="0.2">
      <c r="A296" s="7"/>
      <c r="C296" s="89"/>
      <c r="D296" s="145"/>
      <c r="J296" s="4"/>
      <c r="L296"/>
    </row>
    <row r="297" spans="1:12" x14ac:dyDescent="0.2">
      <c r="A297" s="7"/>
      <c r="B297" s="16" t="s">
        <v>233</v>
      </c>
      <c r="C297" s="89"/>
      <c r="D297" s="160" t="s">
        <v>221</v>
      </c>
      <c r="E297" s="133" t="s">
        <v>227</v>
      </c>
      <c r="J297"/>
      <c r="L297"/>
    </row>
    <row r="298" spans="1:12" x14ac:dyDescent="0.2">
      <c r="A298" s="7"/>
      <c r="B298" s="280" t="s">
        <v>306</v>
      </c>
      <c r="D298" s="38" t="s">
        <v>224</v>
      </c>
      <c r="E298" s="126">
        <v>69.08</v>
      </c>
      <c r="F298" s="38" t="s">
        <v>229</v>
      </c>
      <c r="G298" s="38" t="s">
        <v>231</v>
      </c>
      <c r="J298"/>
      <c r="L298"/>
    </row>
    <row r="299" spans="1:12" x14ac:dyDescent="0.2">
      <c r="A299" s="7"/>
      <c r="B299" s="13" t="s">
        <v>226</v>
      </c>
      <c r="C299" s="89"/>
      <c r="D299" s="167">
        <v>1</v>
      </c>
      <c r="E299" s="302">
        <f>ROUND($E$298*D299,3)</f>
        <v>69.08</v>
      </c>
      <c r="F299" s="55">
        <f>J294</f>
        <v>6863292</v>
      </c>
      <c r="G299" s="144">
        <f>ROUND(F299*E299/1000,0)</f>
        <v>474116</v>
      </c>
      <c r="J299"/>
      <c r="L299"/>
    </row>
    <row r="300" spans="1:12" ht="15" x14ac:dyDescent="0.35">
      <c r="A300" s="7"/>
      <c r="B300" s="13" t="s">
        <v>228</v>
      </c>
      <c r="C300" s="89"/>
      <c r="D300" s="167">
        <v>1</v>
      </c>
      <c r="E300" s="302">
        <f>ROUND($E$298*D300,3)</f>
        <v>69.08</v>
      </c>
      <c r="F300" s="55">
        <f>J295</f>
        <v>10585894</v>
      </c>
      <c r="G300" s="85">
        <f>ROUND(F300*E300/1000,0)</f>
        <v>731274</v>
      </c>
      <c r="J300"/>
      <c r="L300"/>
    </row>
    <row r="301" spans="1:12" x14ac:dyDescent="0.2">
      <c r="A301" s="7"/>
      <c r="B301" s="13" t="s">
        <v>234</v>
      </c>
      <c r="C301" s="89"/>
      <c r="D301" s="145"/>
      <c r="G301" s="81">
        <f>SUM(G299:G300)</f>
        <v>1205390</v>
      </c>
      <c r="J301"/>
      <c r="L301"/>
    </row>
    <row r="302" spans="1:12" x14ac:dyDescent="0.2">
      <c r="A302" s="7"/>
      <c r="C302" s="89"/>
      <c r="D302" s="145"/>
      <c r="J302"/>
      <c r="L302"/>
    </row>
    <row r="303" spans="1:12" x14ac:dyDescent="0.2">
      <c r="A303" s="7"/>
      <c r="C303" s="89"/>
      <c r="D303" s="145"/>
      <c r="J303"/>
      <c r="L303"/>
    </row>
    <row r="304" spans="1:12" x14ac:dyDescent="0.2">
      <c r="A304" s="6" t="s">
        <v>242</v>
      </c>
      <c r="B304" s="1" t="s">
        <v>235</v>
      </c>
      <c r="C304" s="89"/>
      <c r="D304" s="145"/>
      <c r="F304" s="5" t="s">
        <v>221</v>
      </c>
      <c r="G304" s="5" t="s">
        <v>223</v>
      </c>
      <c r="H304" s="71"/>
      <c r="I304"/>
    </row>
    <row r="305" spans="1:15" x14ac:dyDescent="0.2">
      <c r="A305" s="7"/>
      <c r="B305"/>
      <c r="C305"/>
      <c r="D305"/>
      <c r="E305"/>
      <c r="F305" s="5" t="s">
        <v>237</v>
      </c>
      <c r="G305" s="5" t="s">
        <v>224</v>
      </c>
      <c r="H305" s="5" t="s">
        <v>223</v>
      </c>
      <c r="I305"/>
    </row>
    <row r="306" spans="1:15" x14ac:dyDescent="0.2">
      <c r="A306" s="7"/>
      <c r="B306" t="s">
        <v>236</v>
      </c>
      <c r="C306"/>
      <c r="D306"/>
      <c r="E306"/>
      <c r="F306" s="8" t="s">
        <v>231</v>
      </c>
      <c r="G306" s="8" t="s">
        <v>225</v>
      </c>
      <c r="H306" s="8" t="s">
        <v>224</v>
      </c>
      <c r="I306" s="10"/>
    </row>
    <row r="307" spans="1:15" x14ac:dyDescent="0.2">
      <c r="A307" s="7"/>
      <c r="B307" s="5" t="s">
        <v>25</v>
      </c>
      <c r="C307" s="303">
        <f>J276*1000/J294</f>
        <v>69.079964193243626</v>
      </c>
      <c r="D307" t="s">
        <v>137</v>
      </c>
      <c r="E307"/>
      <c r="F307" s="275">
        <f>E299</f>
        <v>69.08</v>
      </c>
      <c r="G307" s="159">
        <f>E299/C307</f>
        <v>1.0000005183377958</v>
      </c>
      <c r="H307" s="298">
        <v>1.309507</v>
      </c>
      <c r="M307" s="174"/>
    </row>
    <row r="308" spans="1:15" x14ac:dyDescent="0.2">
      <c r="A308" s="7"/>
      <c r="B308" s="5" t="s">
        <v>26</v>
      </c>
      <c r="C308" s="303">
        <f>J277*1000/J295</f>
        <v>69.079952119261236</v>
      </c>
      <c r="D308" t="s">
        <v>137</v>
      </c>
      <c r="E308"/>
      <c r="F308" s="275">
        <f>E300</f>
        <v>69.08</v>
      </c>
      <c r="G308" s="159">
        <f>E300/C308</f>
        <v>1.0000006931206131</v>
      </c>
      <c r="H308" s="298">
        <v>1.049733</v>
      </c>
      <c r="M308" s="174"/>
    </row>
    <row r="309" spans="1:15" x14ac:dyDescent="0.2">
      <c r="A309" s="7"/>
      <c r="B309" s="5"/>
      <c r="C309" s="152"/>
      <c r="D309"/>
      <c r="E309"/>
      <c r="F309"/>
      <c r="G309"/>
      <c r="H309" s="2"/>
      <c r="I309" s="104"/>
      <c r="M309" s="16"/>
      <c r="N309" s="104"/>
      <c r="O309" s="104"/>
    </row>
    <row r="310" spans="1:15" x14ac:dyDescent="0.2">
      <c r="A310" s="7"/>
      <c r="B310"/>
      <c r="C310"/>
      <c r="D310"/>
      <c r="E310" s="137"/>
      <c r="F310" s="4"/>
      <c r="G310"/>
      <c r="H310"/>
      <c r="I310"/>
      <c r="J310"/>
      <c r="K310"/>
      <c r="L310"/>
    </row>
    <row r="311" spans="1:15" x14ac:dyDescent="0.2">
      <c r="A311" s="16" t="s">
        <v>108</v>
      </c>
      <c r="E311" s="98"/>
      <c r="F311" s="101"/>
      <c r="I311"/>
      <c r="J311"/>
      <c r="K311"/>
      <c r="L311"/>
    </row>
    <row r="312" spans="1:15" x14ac:dyDescent="0.2">
      <c r="A312" s="22"/>
      <c r="B312" s="89" t="s">
        <v>132</v>
      </c>
      <c r="C312" s="102">
        <f>E179</f>
        <v>158.90899999999999</v>
      </c>
      <c r="D312" s="93" t="s">
        <v>160</v>
      </c>
      <c r="E312" s="98"/>
      <c r="F312" s="101"/>
      <c r="I312"/>
      <c r="J312"/>
      <c r="K312"/>
      <c r="L312"/>
    </row>
    <row r="313" spans="1:15" x14ac:dyDescent="0.2">
      <c r="A313" s="22"/>
      <c r="B313" s="89"/>
      <c r="C313" s="102">
        <f>E180</f>
        <v>158.90899999999999</v>
      </c>
      <c r="D313" s="93" t="s">
        <v>161</v>
      </c>
      <c r="E313" s="98"/>
      <c r="F313" s="101"/>
      <c r="I313"/>
      <c r="J313"/>
      <c r="K313"/>
      <c r="L313"/>
    </row>
    <row r="314" spans="1:15" x14ac:dyDescent="0.2">
      <c r="A314" s="22"/>
      <c r="B314" s="89" t="s">
        <v>159</v>
      </c>
      <c r="C314" s="81" t="s">
        <v>158</v>
      </c>
      <c r="D314" s="93"/>
      <c r="E314" s="98"/>
      <c r="F314" s="101"/>
      <c r="I314"/>
      <c r="J314"/>
      <c r="K314"/>
      <c r="L314"/>
    </row>
    <row r="315" spans="1:15" x14ac:dyDescent="0.2">
      <c r="A315" s="22"/>
      <c r="B315" s="89" t="s">
        <v>109</v>
      </c>
      <c r="C315" s="148">
        <f>+H173</f>
        <v>4</v>
      </c>
      <c r="D315" s="13" t="s">
        <v>110</v>
      </c>
      <c r="E315" s="98"/>
      <c r="F315" s="101"/>
      <c r="I315"/>
      <c r="J315"/>
      <c r="K315"/>
      <c r="L315"/>
    </row>
    <row r="316" spans="1:15" x14ac:dyDescent="0.2">
      <c r="A316" s="22"/>
      <c r="B316" s="89"/>
      <c r="C316" s="148">
        <f>+H174</f>
        <v>8</v>
      </c>
      <c r="D316" s="13" t="s">
        <v>111</v>
      </c>
      <c r="E316" s="98"/>
      <c r="F316" s="101"/>
      <c r="I316"/>
      <c r="J316"/>
      <c r="K316"/>
      <c r="L316"/>
    </row>
    <row r="317" spans="1:15" x14ac:dyDescent="0.2">
      <c r="A317" s="22"/>
      <c r="B317" s="89" t="s">
        <v>112</v>
      </c>
      <c r="C317" s="102">
        <f>+E193</f>
        <v>11.096</v>
      </c>
      <c r="D317" s="13" t="s">
        <v>113</v>
      </c>
      <c r="E317" s="98"/>
      <c r="F317" s="101"/>
      <c r="I317"/>
      <c r="J317"/>
      <c r="K317"/>
      <c r="L317"/>
    </row>
    <row r="318" spans="1:15" x14ac:dyDescent="0.2">
      <c r="A318" s="22"/>
      <c r="B318" s="89" t="s">
        <v>114</v>
      </c>
      <c r="C318" s="21" t="s">
        <v>250</v>
      </c>
      <c r="E318" s="98"/>
      <c r="F318" s="101"/>
      <c r="I318"/>
      <c r="J318"/>
      <c r="K318"/>
      <c r="L318"/>
    </row>
    <row r="319" spans="1:15" x14ac:dyDescent="0.2">
      <c r="A319" s="22"/>
      <c r="B319" s="89"/>
      <c r="C319" s="321" t="s">
        <v>305</v>
      </c>
      <c r="E319" s="98"/>
      <c r="F319" s="101"/>
      <c r="I319"/>
      <c r="J319"/>
      <c r="K319"/>
      <c r="L319"/>
    </row>
    <row r="320" spans="1:15" x14ac:dyDescent="0.2">
      <c r="A320" s="22"/>
      <c r="B320" s="89" t="s">
        <v>115</v>
      </c>
      <c r="C320" s="12" t="str">
        <f>'BGS PTY17 Cost Alloc'!C$316</f>
        <v xml:space="preserve"> forecasted 2018 energy use by class based upon PJM on/off % from 2015 through 2017 class load profiles</v>
      </c>
      <c r="E320" s="98"/>
      <c r="F320" s="101"/>
      <c r="I320"/>
      <c r="J320"/>
      <c r="K320"/>
      <c r="L320"/>
    </row>
    <row r="321" spans="1:12" x14ac:dyDescent="0.2">
      <c r="A321" s="22"/>
      <c r="B321" s="89"/>
      <c r="C321" s="12" t="str">
        <f>'BGS PTY17 Cost Alloc'!C$317</f>
        <v xml:space="preserve">   JCP&amp;L billing on/off % from 2018 forecasted billing determinants</v>
      </c>
      <c r="E321" s="98"/>
      <c r="F321" s="101"/>
      <c r="I321"/>
      <c r="J321"/>
      <c r="K321"/>
      <c r="L321"/>
    </row>
    <row r="322" spans="1:12" x14ac:dyDescent="0.2">
      <c r="A322" s="22"/>
      <c r="B322" s="89" t="s">
        <v>116</v>
      </c>
      <c r="C322" s="12" t="str">
        <f>'BGS PTY17 Cost Alloc'!C$318</f>
        <v xml:space="preserve"> class totals for 2018 excluding accounts required to take service under BGS-CIEP as of June 1, 2019</v>
      </c>
      <c r="E322" s="98"/>
      <c r="F322" s="101"/>
      <c r="I322"/>
      <c r="J322"/>
      <c r="K322"/>
      <c r="L322"/>
    </row>
    <row r="323" spans="1:12" x14ac:dyDescent="0.2">
      <c r="A323" s="22"/>
      <c r="B323" s="89" t="s">
        <v>117</v>
      </c>
      <c r="C323" s="13" t="s">
        <v>166</v>
      </c>
      <c r="E323" s="98"/>
      <c r="F323" s="101"/>
      <c r="I323"/>
      <c r="J323"/>
      <c r="K323"/>
      <c r="L323"/>
    </row>
    <row r="324" spans="1:12" x14ac:dyDescent="0.2">
      <c r="A324" s="22"/>
      <c r="B324" s="89" t="s">
        <v>118</v>
      </c>
      <c r="C324" s="13" t="s">
        <v>214</v>
      </c>
      <c r="E324" s="100"/>
      <c r="F324" s="101"/>
      <c r="I324"/>
      <c r="J324"/>
      <c r="K324"/>
      <c r="L324"/>
    </row>
    <row r="325" spans="1:12" x14ac:dyDescent="0.2">
      <c r="C325" s="13" t="s">
        <v>119</v>
      </c>
      <c r="E325" s="98"/>
      <c r="F325" s="101"/>
      <c r="I325"/>
      <c r="J325"/>
      <c r="K325"/>
      <c r="L325"/>
    </row>
    <row r="326" spans="1:12" x14ac:dyDescent="0.2">
      <c r="B326" s="89" t="s">
        <v>120</v>
      </c>
      <c r="C326" s="103" t="s">
        <v>189</v>
      </c>
      <c r="E326" s="98"/>
      <c r="F326" s="101"/>
      <c r="I326"/>
      <c r="J326"/>
      <c r="K326"/>
      <c r="L326"/>
    </row>
    <row r="327" spans="1:12" x14ac:dyDescent="0.2">
      <c r="A327" s="22"/>
      <c r="C327" s="103" t="s">
        <v>121</v>
      </c>
      <c r="E327" s="99"/>
      <c r="I327"/>
      <c r="J327"/>
      <c r="K327"/>
      <c r="L327"/>
    </row>
    <row r="328" spans="1:12" x14ac:dyDescent="0.2">
      <c r="C328" s="103" t="s">
        <v>188</v>
      </c>
      <c r="I328"/>
      <c r="J328"/>
      <c r="K328"/>
      <c r="L328"/>
    </row>
    <row r="329" spans="1:12" x14ac:dyDescent="0.2">
      <c r="A329" s="7"/>
      <c r="B329" s="391" t="s">
        <v>299</v>
      </c>
      <c r="C329" s="392" t="s">
        <v>300</v>
      </c>
      <c r="D329"/>
      <c r="E329" s="137"/>
      <c r="F329" s="4"/>
      <c r="G329"/>
      <c r="H329"/>
      <c r="I329"/>
      <c r="J329"/>
      <c r="K329"/>
      <c r="L329"/>
    </row>
    <row r="330" spans="1:12" x14ac:dyDescent="0.2">
      <c r="A330" s="7"/>
      <c r="B330" t="str">
        <f>'BGS PTY17 Cost Alloc'!B327</f>
        <v xml:space="preserve"> </v>
      </c>
      <c r="C330" s="9"/>
      <c r="D330"/>
      <c r="E330" s="137"/>
      <c r="F330" s="137"/>
      <c r="G330"/>
      <c r="H330"/>
      <c r="I330"/>
      <c r="J330"/>
      <c r="K330"/>
      <c r="L330"/>
    </row>
    <row r="335" spans="1:12" x14ac:dyDescent="0.2">
      <c r="L335" s="144"/>
    </row>
    <row r="344" spans="12:12" x14ac:dyDescent="0.2">
      <c r="L344" s="144"/>
    </row>
    <row r="345" spans="12:12" x14ac:dyDescent="0.2">
      <c r="L345" s="144"/>
    </row>
    <row r="346" spans="12:12" x14ac:dyDescent="0.2">
      <c r="L346" s="144"/>
    </row>
    <row r="347" spans="12:12" x14ac:dyDescent="0.2">
      <c r="L347" s="139"/>
    </row>
    <row r="348" spans="12:12" x14ac:dyDescent="0.2">
      <c r="L348" s="139"/>
    </row>
    <row r="349" spans="12:12" x14ac:dyDescent="0.2">
      <c r="L349" s="139"/>
    </row>
  </sheetData>
  <sheetProtection password="D6B5" sheet="1" objects="1" scenarios="1"/>
  <mergeCells count="16">
    <mergeCell ref="B144:L144"/>
    <mergeCell ref="B285:L285"/>
    <mergeCell ref="B286:L286"/>
    <mergeCell ref="B238:L238"/>
    <mergeCell ref="B239:L239"/>
    <mergeCell ref="B208:L208"/>
    <mergeCell ref="B209:L209"/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</mergeCells>
  <phoneticPr fontId="33" type="noConversion"/>
  <pageMargins left="0.97" right="0.79" top="0.69" bottom="0.69" header="0.33" footer="0.5"/>
  <pageSetup scale="60" orientation="landscape" r:id="rId1"/>
  <headerFooter alignWithMargins="0">
    <oddFooter>&amp;L&amp;F    &amp;A&amp;CPage &amp;P of &amp;N&amp;R&amp;D</oddFooter>
  </headerFooter>
  <rowBreaks count="6" manualBreakCount="6">
    <brk id="51" max="11" man="1"/>
    <brk id="102" max="11" man="1"/>
    <brk id="142" max="11" man="1"/>
    <brk id="207" max="11" man="1"/>
    <brk id="237" max="11" man="1"/>
    <brk id="28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Y349"/>
  <sheetViews>
    <sheetView view="pageBreakPreview" zoomScaleNormal="60" zoomScaleSheetLayoutView="10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6.5703125" style="13" customWidth="1"/>
    <col min="6" max="6" width="16" style="13" customWidth="1"/>
    <col min="7" max="7" width="16.5703125" style="13" customWidth="1"/>
    <col min="8" max="8" width="15.42578125" style="13" customWidth="1"/>
    <col min="9" max="9" width="14.140625" style="13" customWidth="1"/>
    <col min="10" max="10" width="16.42578125" style="13" customWidth="1"/>
    <col min="11" max="11" width="12.5703125" style="13" customWidth="1"/>
    <col min="12" max="12" width="16.5703125" style="13" customWidth="1"/>
    <col min="13" max="13" width="17" style="13" hidden="1" customWidth="1"/>
    <col min="14" max="14" width="15.140625" style="13" hidden="1" customWidth="1"/>
    <col min="15" max="16" width="12.42578125" style="13" hidden="1" customWidth="1"/>
    <col min="17" max="17" width="13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0.5703125" style="13" hidden="1" customWidth="1"/>
    <col min="26" max="26" width="11.5703125" style="13" hidden="1" customWidth="1"/>
    <col min="27" max="27" width="12.5703125" style="13" hidden="1" customWidth="1"/>
    <col min="28" max="28" width="13.42578125" style="13" hidden="1" customWidth="1"/>
    <col min="29" max="29" width="11" style="13" hidden="1" customWidth="1"/>
    <col min="30" max="30" width="14.140625" style="13" hidden="1" customWidth="1"/>
    <col min="31" max="31" width="9.85546875" style="13" hidden="1" customWidth="1"/>
    <col min="32" max="32" width="9.140625" style="13" hidden="1" customWidth="1"/>
    <col min="33" max="33" width="12" style="13" hidden="1" customWidth="1"/>
    <col min="34" max="34" width="9.140625" style="13" hidden="1" customWidth="1"/>
    <col min="35" max="37" width="9.140625" style="13" customWidth="1"/>
    <col min="38" max="38" width="9.42578125" style="13" customWidth="1"/>
    <col min="39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435" t="s">
        <v>69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26" ht="15.75" x14ac:dyDescent="0.25">
      <c r="B2" s="435" t="s">
        <v>187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1:26" ht="15.75" x14ac:dyDescent="0.25">
      <c r="B3" s="435" t="str">
        <f>'BGS PTY17 Cost Alloc'!$B$3</f>
        <v>2019 BGS Auction Cost and Bid Factor Tables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436" t="s">
        <v>301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</row>
    <row r="6" spans="1:26" x14ac:dyDescent="0.2">
      <c r="L6" s="120" t="s">
        <v>255</v>
      </c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tr">
        <f>'BGS PTY17 Cost Alloc'!$E$10</f>
        <v>Based on an average of 2015 through 2017 Load Profile Information</v>
      </c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153">
        <f>'BGS PTY17 Cost Alloc'!E15</f>
        <v>0.4788</v>
      </c>
      <c r="F15" s="153">
        <f>'BGS PTY17 Cost Alloc'!F15</f>
        <v>0.45710000000000001</v>
      </c>
      <c r="G15" s="153">
        <f>'BGS PTY17 Cost Alloc'!G15</f>
        <v>0.54459999999999997</v>
      </c>
      <c r="H15" s="153">
        <f>'BGS PTY17 Cost Alloc'!H15</f>
        <v>0.52739999999999998</v>
      </c>
      <c r="I15" s="153">
        <f>'BGS PTY17 Cost Alloc'!I15</f>
        <v>0.3125</v>
      </c>
      <c r="J15" s="29"/>
      <c r="K15" s="30"/>
      <c r="L15" s="30"/>
      <c r="M15" s="30"/>
      <c r="N15" s="31"/>
      <c r="O15" s="32"/>
      <c r="P15" s="32"/>
      <c r="Q15" s="32">
        <f t="shared" ref="Q15:Q26" si="0">1-E15</f>
        <v>0.5212</v>
      </c>
      <c r="R15" s="32">
        <f t="shared" ref="R15:R26" si="1">1-F15</f>
        <v>0.54289999999999994</v>
      </c>
      <c r="S15" s="32">
        <f t="shared" ref="S15:S26" si="2">1-G15</f>
        <v>0.45540000000000003</v>
      </c>
      <c r="T15" s="32">
        <f t="shared" ref="T15:T26" si="3">1-H15</f>
        <v>0.47260000000000002</v>
      </c>
      <c r="U15" s="32">
        <f t="shared" ref="U15:U26" si="4">1-I15</f>
        <v>0.6875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153">
        <f>'BGS PTY17 Cost Alloc'!E16</f>
        <v>0.51229999999999998</v>
      </c>
      <c r="F16" s="153">
        <f>'BGS PTY17 Cost Alloc'!F16</f>
        <v>0.48399999999999999</v>
      </c>
      <c r="G16" s="153">
        <f>'BGS PTY17 Cost Alloc'!G16</f>
        <v>0.57720000000000005</v>
      </c>
      <c r="H16" s="153">
        <f>'BGS PTY17 Cost Alloc'!H16</f>
        <v>0.55740000000000001</v>
      </c>
      <c r="I16" s="153">
        <f>'BGS PTY17 Cost Alloc'!I16</f>
        <v>0.31359999999999999</v>
      </c>
      <c r="J16" s="29"/>
      <c r="K16" s="30"/>
      <c r="L16" s="30"/>
      <c r="M16" s="30"/>
      <c r="N16" s="31"/>
      <c r="O16" s="32"/>
      <c r="P16" s="32"/>
      <c r="Q16" s="32">
        <f t="shared" si="0"/>
        <v>0.48770000000000002</v>
      </c>
      <c r="R16" s="32">
        <f t="shared" si="1"/>
        <v>0.51600000000000001</v>
      </c>
      <c r="S16" s="32">
        <f t="shared" si="2"/>
        <v>0.42279999999999995</v>
      </c>
      <c r="T16" s="32">
        <f t="shared" si="3"/>
        <v>0.44259999999999999</v>
      </c>
      <c r="U16" s="32">
        <f t="shared" si="4"/>
        <v>0.68640000000000001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153">
        <f>'BGS PTY17 Cost Alloc'!E17</f>
        <v>0.51680000000000004</v>
      </c>
      <c r="F17" s="153">
        <f>'BGS PTY17 Cost Alloc'!F17</f>
        <v>0.48730000000000001</v>
      </c>
      <c r="G17" s="153">
        <f>'BGS PTY17 Cost Alloc'!G17</f>
        <v>0.60429999999999995</v>
      </c>
      <c r="H17" s="153">
        <f>'BGS PTY17 Cost Alloc'!H17</f>
        <v>0.5706</v>
      </c>
      <c r="I17" s="153">
        <f>'BGS PTY17 Cost Alloc'!I17</f>
        <v>0.29680000000000001</v>
      </c>
      <c r="J17" s="29"/>
      <c r="K17" s="30"/>
      <c r="L17" s="30"/>
      <c r="M17" s="30"/>
      <c r="N17" s="31"/>
      <c r="O17" s="32"/>
      <c r="P17" s="32"/>
      <c r="Q17" s="32">
        <f t="shared" si="0"/>
        <v>0.48319999999999996</v>
      </c>
      <c r="R17" s="32">
        <f t="shared" si="1"/>
        <v>0.51269999999999993</v>
      </c>
      <c r="S17" s="32">
        <f t="shared" si="2"/>
        <v>0.39570000000000005</v>
      </c>
      <c r="T17" s="32">
        <f t="shared" si="3"/>
        <v>0.4294</v>
      </c>
      <c r="U17" s="32">
        <f t="shared" si="4"/>
        <v>0.70320000000000005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153">
        <f>'BGS PTY17 Cost Alloc'!E18</f>
        <v>0.49469999999999997</v>
      </c>
      <c r="F18" s="153">
        <f>'BGS PTY17 Cost Alloc'!F18</f>
        <v>0.47610000000000002</v>
      </c>
      <c r="G18" s="153">
        <f>'BGS PTY17 Cost Alloc'!G18</f>
        <v>0.59019999999999995</v>
      </c>
      <c r="H18" s="153">
        <f>'BGS PTY17 Cost Alloc'!H18</f>
        <v>0.56710000000000005</v>
      </c>
      <c r="I18" s="153">
        <f>'BGS PTY17 Cost Alloc'!I18</f>
        <v>0.26450000000000001</v>
      </c>
      <c r="J18" s="29"/>
      <c r="K18" s="30"/>
      <c r="L18" s="30"/>
      <c r="M18" s="30"/>
      <c r="N18" s="31"/>
      <c r="O18" s="32"/>
      <c r="P18" s="32"/>
      <c r="Q18" s="32">
        <f t="shared" si="0"/>
        <v>0.50530000000000008</v>
      </c>
      <c r="R18" s="32">
        <f t="shared" si="1"/>
        <v>0.52390000000000003</v>
      </c>
      <c r="S18" s="32">
        <f t="shared" si="2"/>
        <v>0.40980000000000005</v>
      </c>
      <c r="T18" s="32">
        <f t="shared" si="3"/>
        <v>0.43289999999999995</v>
      </c>
      <c r="U18" s="32">
        <f t="shared" si="4"/>
        <v>0.73550000000000004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153">
        <f>'BGS PTY17 Cost Alloc'!E19</f>
        <v>0.48330000000000001</v>
      </c>
      <c r="F19" s="153">
        <f>'BGS PTY17 Cost Alloc'!F19</f>
        <v>0.47310000000000002</v>
      </c>
      <c r="G19" s="153">
        <f>'BGS PTY17 Cost Alloc'!G19</f>
        <v>0.58009999999999995</v>
      </c>
      <c r="H19" s="153">
        <f>'BGS PTY17 Cost Alloc'!H19</f>
        <v>0.56159999999999999</v>
      </c>
      <c r="I19" s="153">
        <f>'BGS PTY17 Cost Alloc'!I19</f>
        <v>0.2487</v>
      </c>
      <c r="J19" s="29"/>
      <c r="K19" s="30"/>
      <c r="L19" s="30"/>
      <c r="M19" s="30"/>
      <c r="N19" s="31"/>
      <c r="O19" s="32"/>
      <c r="P19" s="32"/>
      <c r="Q19" s="32">
        <f t="shared" si="0"/>
        <v>0.51669999999999994</v>
      </c>
      <c r="R19" s="32">
        <f t="shared" si="1"/>
        <v>0.52689999999999992</v>
      </c>
      <c r="S19" s="32">
        <f t="shared" si="2"/>
        <v>0.41990000000000005</v>
      </c>
      <c r="T19" s="32">
        <f t="shared" si="3"/>
        <v>0.43840000000000001</v>
      </c>
      <c r="U19" s="32">
        <f t="shared" si="4"/>
        <v>0.75129999999999997</v>
      </c>
      <c r="V19" s="32"/>
      <c r="W19" s="32"/>
      <c r="X19" s="32"/>
      <c r="Y19" s="32"/>
      <c r="Z19" s="32"/>
    </row>
    <row r="20" spans="1:26" x14ac:dyDescent="0.2">
      <c r="A20" s="22"/>
      <c r="B20" s="28" t="s">
        <v>6</v>
      </c>
      <c r="C20" s="29"/>
      <c r="D20" s="29"/>
      <c r="E20" s="153">
        <f>'BGS PTY17 Cost Alloc'!E20</f>
        <v>0.54179999999999995</v>
      </c>
      <c r="F20" s="153">
        <f>'BGS PTY17 Cost Alloc'!F20</f>
        <v>0.53710000000000002</v>
      </c>
      <c r="G20" s="153">
        <f>'BGS PTY17 Cost Alloc'!G20</f>
        <v>0.60329999999999995</v>
      </c>
      <c r="H20" s="153">
        <f>'BGS PTY17 Cost Alloc'!H20</f>
        <v>0.59840000000000004</v>
      </c>
      <c r="I20" s="153">
        <f>'BGS PTY17 Cost Alloc'!I20</f>
        <v>0.2576</v>
      </c>
      <c r="J20" s="29"/>
      <c r="K20" s="30"/>
      <c r="L20" s="30"/>
      <c r="M20" s="30"/>
      <c r="N20" s="31"/>
      <c r="O20" s="32"/>
      <c r="P20" s="32"/>
      <c r="Q20" s="32">
        <f t="shared" si="0"/>
        <v>0.45820000000000005</v>
      </c>
      <c r="R20" s="32">
        <f t="shared" si="1"/>
        <v>0.46289999999999998</v>
      </c>
      <c r="S20" s="32">
        <f t="shared" si="2"/>
        <v>0.39670000000000005</v>
      </c>
      <c r="T20" s="32">
        <f t="shared" si="3"/>
        <v>0.40159999999999996</v>
      </c>
      <c r="U20" s="32">
        <f t="shared" si="4"/>
        <v>0.74239999999999995</v>
      </c>
      <c r="V20" s="32"/>
      <c r="W20" s="32"/>
      <c r="X20" s="32"/>
      <c r="Y20" s="32"/>
      <c r="Z20" s="32"/>
    </row>
    <row r="21" spans="1:26" x14ac:dyDescent="0.2">
      <c r="A21" s="22"/>
      <c r="B21" s="28" t="s">
        <v>7</v>
      </c>
      <c r="C21" s="29"/>
      <c r="D21" s="29"/>
      <c r="E21" s="153">
        <f>'BGS PTY17 Cost Alloc'!E21</f>
        <v>0.50590000000000002</v>
      </c>
      <c r="F21" s="153">
        <f>'BGS PTY17 Cost Alloc'!F21</f>
        <v>0.50790000000000002</v>
      </c>
      <c r="G21" s="153">
        <f>'BGS PTY17 Cost Alloc'!G21</f>
        <v>0.56889999999999996</v>
      </c>
      <c r="H21" s="153">
        <f>'BGS PTY17 Cost Alloc'!H21</f>
        <v>0.56259999999999999</v>
      </c>
      <c r="I21" s="153">
        <f>'BGS PTY17 Cost Alloc'!I21</f>
        <v>0.23569999999999999</v>
      </c>
      <c r="J21" s="29"/>
      <c r="K21" s="30"/>
      <c r="L21" s="30"/>
      <c r="M21" s="30"/>
      <c r="N21" s="31"/>
      <c r="O21" s="32"/>
      <c r="P21" s="32"/>
      <c r="Q21" s="32">
        <f t="shared" si="0"/>
        <v>0.49409999999999998</v>
      </c>
      <c r="R21" s="32">
        <f t="shared" si="1"/>
        <v>0.49209999999999998</v>
      </c>
      <c r="S21" s="32">
        <f t="shared" si="2"/>
        <v>0.43110000000000004</v>
      </c>
      <c r="T21" s="32">
        <f t="shared" si="3"/>
        <v>0.43740000000000001</v>
      </c>
      <c r="U21" s="32">
        <f t="shared" si="4"/>
        <v>0.76429999999999998</v>
      </c>
      <c r="V21" s="32"/>
      <c r="W21" s="32"/>
      <c r="X21" s="32"/>
      <c r="Y21" s="32"/>
      <c r="Z21" s="32"/>
    </row>
    <row r="22" spans="1:26" x14ac:dyDescent="0.2">
      <c r="A22" s="22"/>
      <c r="B22" s="28" t="s">
        <v>8</v>
      </c>
      <c r="C22" s="29"/>
      <c r="D22" s="29"/>
      <c r="E22" s="153">
        <f>'BGS PTY17 Cost Alloc'!E22</f>
        <v>0.52929999999999999</v>
      </c>
      <c r="F22" s="153">
        <f>'BGS PTY17 Cost Alloc'!F22</f>
        <v>0.53069999999999995</v>
      </c>
      <c r="G22" s="153">
        <f>'BGS PTY17 Cost Alloc'!G22</f>
        <v>0.59470000000000001</v>
      </c>
      <c r="H22" s="153">
        <f>'BGS PTY17 Cost Alloc'!H22</f>
        <v>0.58599999999999997</v>
      </c>
      <c r="I22" s="153">
        <f>'BGS PTY17 Cost Alloc'!I22</f>
        <v>0.26490000000000002</v>
      </c>
      <c r="J22" s="29"/>
      <c r="K22" s="30"/>
      <c r="L22" s="30"/>
      <c r="M22" s="30"/>
      <c r="N22" s="31"/>
      <c r="O22" s="32"/>
      <c r="P22" s="32"/>
      <c r="Q22" s="32">
        <f t="shared" si="0"/>
        <v>0.47070000000000001</v>
      </c>
      <c r="R22" s="32">
        <f t="shared" si="1"/>
        <v>0.46930000000000005</v>
      </c>
      <c r="S22" s="32">
        <f t="shared" si="2"/>
        <v>0.40529999999999999</v>
      </c>
      <c r="T22" s="32">
        <f t="shared" si="3"/>
        <v>0.41400000000000003</v>
      </c>
      <c r="U22" s="32">
        <f t="shared" si="4"/>
        <v>0.73509999999999998</v>
      </c>
      <c r="V22" s="32"/>
      <c r="W22" s="32"/>
      <c r="X22" s="32"/>
      <c r="Y22" s="32"/>
      <c r="Z22" s="32"/>
    </row>
    <row r="23" spans="1:26" x14ac:dyDescent="0.2">
      <c r="A23" s="22"/>
      <c r="B23" s="28" t="s">
        <v>9</v>
      </c>
      <c r="C23" s="29"/>
      <c r="D23" s="29"/>
      <c r="E23" s="153">
        <f>'BGS PTY17 Cost Alloc'!E23</f>
        <v>0.49070000000000003</v>
      </c>
      <c r="F23" s="153">
        <f>'BGS PTY17 Cost Alloc'!F23</f>
        <v>0.48509999999999998</v>
      </c>
      <c r="G23" s="153">
        <f>'BGS PTY17 Cost Alloc'!G23</f>
        <v>0.58860000000000001</v>
      </c>
      <c r="H23" s="153">
        <f>'BGS PTY17 Cost Alloc'!H23</f>
        <v>0.57589999999999997</v>
      </c>
      <c r="I23" s="153">
        <f>'BGS PTY17 Cost Alloc'!I23</f>
        <v>0.27060000000000001</v>
      </c>
      <c r="J23" s="29"/>
      <c r="K23" s="30"/>
      <c r="L23" s="30"/>
      <c r="M23" s="30"/>
      <c r="N23" s="31"/>
      <c r="O23" s="32"/>
      <c r="P23" s="32"/>
      <c r="Q23" s="32">
        <f t="shared" si="0"/>
        <v>0.50929999999999997</v>
      </c>
      <c r="R23" s="32">
        <f t="shared" si="1"/>
        <v>0.51490000000000002</v>
      </c>
      <c r="S23" s="32">
        <f t="shared" si="2"/>
        <v>0.41139999999999999</v>
      </c>
      <c r="T23" s="32">
        <f t="shared" si="3"/>
        <v>0.42410000000000003</v>
      </c>
      <c r="U23" s="32">
        <f t="shared" si="4"/>
        <v>0.72940000000000005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153">
        <f>'BGS PTY17 Cost Alloc'!E24</f>
        <v>0.49790000000000001</v>
      </c>
      <c r="F24" s="153">
        <f>'BGS PTY17 Cost Alloc'!F24</f>
        <v>0.47910000000000003</v>
      </c>
      <c r="G24" s="153">
        <f>'BGS PTY17 Cost Alloc'!G24</f>
        <v>0.58520000000000005</v>
      </c>
      <c r="H24" s="153">
        <f>'BGS PTY17 Cost Alloc'!H24</f>
        <v>0.57269999999999999</v>
      </c>
      <c r="I24" s="153">
        <f>'BGS PTY17 Cost Alloc'!I24</f>
        <v>0.29659999999999997</v>
      </c>
      <c r="J24" s="29"/>
      <c r="K24" s="30"/>
      <c r="L24" s="30"/>
      <c r="M24" s="30"/>
      <c r="N24" s="31"/>
      <c r="O24" s="32"/>
      <c r="P24" s="32"/>
      <c r="Q24" s="32">
        <f t="shared" si="0"/>
        <v>0.50209999999999999</v>
      </c>
      <c r="R24" s="32">
        <f t="shared" si="1"/>
        <v>0.52089999999999992</v>
      </c>
      <c r="S24" s="32">
        <f t="shared" si="2"/>
        <v>0.41479999999999995</v>
      </c>
      <c r="T24" s="32">
        <f t="shared" si="3"/>
        <v>0.42730000000000001</v>
      </c>
      <c r="U24" s="32">
        <f t="shared" si="4"/>
        <v>0.70340000000000003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153">
        <f>'BGS PTY17 Cost Alloc'!E25</f>
        <v>0.48970000000000002</v>
      </c>
      <c r="F25" s="153">
        <f>'BGS PTY17 Cost Alloc'!F25</f>
        <v>0.45469999999999999</v>
      </c>
      <c r="G25" s="153">
        <f>'BGS PTY17 Cost Alloc'!G25</f>
        <v>0.57679999999999998</v>
      </c>
      <c r="H25" s="153">
        <f>'BGS PTY17 Cost Alloc'!H25</f>
        <v>0.55279999999999996</v>
      </c>
      <c r="I25" s="153">
        <f>'BGS PTY17 Cost Alloc'!I25</f>
        <v>0.32319999999999999</v>
      </c>
      <c r="J25" s="29"/>
      <c r="K25" s="30"/>
      <c r="L25" s="30"/>
      <c r="M25" s="30"/>
      <c r="N25" s="31"/>
      <c r="O25" s="32"/>
      <c r="P25" s="32"/>
      <c r="Q25" s="32">
        <f t="shared" si="0"/>
        <v>0.51029999999999998</v>
      </c>
      <c r="R25" s="32">
        <f t="shared" si="1"/>
        <v>0.54530000000000001</v>
      </c>
      <c r="S25" s="32">
        <f t="shared" si="2"/>
        <v>0.42320000000000002</v>
      </c>
      <c r="T25" s="32">
        <f t="shared" si="3"/>
        <v>0.44720000000000004</v>
      </c>
      <c r="U25" s="32">
        <f t="shared" si="4"/>
        <v>0.67680000000000007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153">
        <f>'BGS PTY17 Cost Alloc'!E26</f>
        <v>0.48209999999999997</v>
      </c>
      <c r="F26" s="153">
        <f>'BGS PTY17 Cost Alloc'!F26</f>
        <v>0.45960000000000001</v>
      </c>
      <c r="G26" s="153">
        <f>'BGS PTY17 Cost Alloc'!G26</f>
        <v>0.55449999999999999</v>
      </c>
      <c r="H26" s="153">
        <f>'BGS PTY17 Cost Alloc'!H26</f>
        <v>0.53349999999999997</v>
      </c>
      <c r="I26" s="153">
        <f>'BGS PTY17 Cost Alloc'!I26</f>
        <v>0.3231</v>
      </c>
      <c r="J26" s="29"/>
      <c r="K26" s="30"/>
      <c r="L26" s="30"/>
      <c r="M26" s="30"/>
      <c r="N26" s="31"/>
      <c r="O26" s="32"/>
      <c r="P26" s="32"/>
      <c r="Q26" s="32">
        <f t="shared" si="0"/>
        <v>0.51790000000000003</v>
      </c>
      <c r="R26" s="32">
        <f t="shared" si="1"/>
        <v>0.54039999999999999</v>
      </c>
      <c r="S26" s="32">
        <f t="shared" si="2"/>
        <v>0.44550000000000001</v>
      </c>
      <c r="T26" s="32">
        <f t="shared" si="3"/>
        <v>0.46650000000000003</v>
      </c>
      <c r="U26" s="32">
        <f t="shared" si="4"/>
        <v>0.67690000000000006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23" t="str">
        <f>'BGS PTY17 Cost Alloc'!$E$30</f>
        <v>2018 Forecasted Calendar Month Sales</v>
      </c>
      <c r="F30" s="23" t="s">
        <v>39</v>
      </c>
      <c r="G30" s="23" t="s">
        <v>39</v>
      </c>
      <c r="H30" s="23" t="str">
        <f>'BGS PTY17 Cost Alloc'!$E$30</f>
        <v>2018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PTY17 Cost Alloc'!Q30</f>
        <v>2018 Forecasted Calendar Month Sales</v>
      </c>
      <c r="R30" s="23" t="s">
        <v>39</v>
      </c>
      <c r="S30" s="23" t="s">
        <v>39</v>
      </c>
      <c r="T30" s="23" t="str">
        <f>'BGS PTY17 Cost Alloc'!T30</f>
        <v>2018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153">
        <f>'BGS PTY17 Cost Alloc'!E33</f>
        <v>0.3584</v>
      </c>
      <c r="F33" s="156" t="s">
        <v>40</v>
      </c>
      <c r="G33" s="156" t="s">
        <v>40</v>
      </c>
      <c r="H33" s="153">
        <f>'BGS PTY17 Cost Alloc'!H33</f>
        <v>0.42420000000000002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5">1-E33</f>
        <v>0.64159999999999995</v>
      </c>
      <c r="R33" s="32"/>
      <c r="S33" s="32"/>
      <c r="T33" s="32">
        <f t="shared" ref="T33:T44" si="6">1-H33</f>
        <v>0.57579999999999998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153">
        <f>'BGS PTY17 Cost Alloc'!E34</f>
        <v>0.35410000000000003</v>
      </c>
      <c r="F34" s="156" t="s">
        <v>40</v>
      </c>
      <c r="G34" s="156" t="s">
        <v>40</v>
      </c>
      <c r="H34" s="153">
        <f>'BGS PTY17 Cost Alloc'!H34</f>
        <v>0.42830000000000001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5"/>
        <v>0.64589999999999992</v>
      </c>
      <c r="R34" s="32"/>
      <c r="S34" s="32"/>
      <c r="T34" s="32">
        <f t="shared" si="6"/>
        <v>0.57169999999999999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153">
        <f>'BGS PTY17 Cost Alloc'!E35</f>
        <v>0.3473</v>
      </c>
      <c r="F35" s="156" t="s">
        <v>40</v>
      </c>
      <c r="G35" s="156" t="s">
        <v>40</v>
      </c>
      <c r="H35" s="153">
        <f>'BGS PTY17 Cost Alloc'!H35</f>
        <v>0.42820000000000003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5"/>
        <v>0.65270000000000006</v>
      </c>
      <c r="R35" s="32"/>
      <c r="S35" s="32"/>
      <c r="T35" s="32">
        <f t="shared" si="6"/>
        <v>0.57179999999999997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153">
        <f>'BGS PTY17 Cost Alloc'!E36</f>
        <v>0.3468</v>
      </c>
      <c r="F36" s="156" t="s">
        <v>40</v>
      </c>
      <c r="G36" s="156" t="s">
        <v>40</v>
      </c>
      <c r="H36" s="153">
        <f>'BGS PTY17 Cost Alloc'!H36</f>
        <v>0.44040000000000001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5"/>
        <v>0.6532</v>
      </c>
      <c r="R36" s="32"/>
      <c r="S36" s="32"/>
      <c r="T36" s="32">
        <f t="shared" si="6"/>
        <v>0.55959999999999999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153">
        <f>'BGS PTY17 Cost Alloc'!E37</f>
        <v>0.36659999999999998</v>
      </c>
      <c r="F37" s="156" t="s">
        <v>40</v>
      </c>
      <c r="G37" s="156" t="s">
        <v>40</v>
      </c>
      <c r="H37" s="153">
        <f>'BGS PTY17 Cost Alloc'!H37</f>
        <v>0.4551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5"/>
        <v>0.63339999999999996</v>
      </c>
      <c r="R37" s="32"/>
      <c r="S37" s="32"/>
      <c r="T37" s="32">
        <f t="shared" si="6"/>
        <v>0.54489999999999994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28" t="s">
        <v>6</v>
      </c>
      <c r="C38" s="35"/>
      <c r="D38" s="135"/>
      <c r="E38" s="153">
        <f>'BGS PTY17 Cost Alloc'!E38</f>
        <v>0.39929999999999999</v>
      </c>
      <c r="F38" s="156" t="s">
        <v>40</v>
      </c>
      <c r="G38" s="156" t="s">
        <v>40</v>
      </c>
      <c r="H38" s="153">
        <f>'BGS PTY17 Cost Alloc'!H38</f>
        <v>0.46329999999999999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5"/>
        <v>0.60070000000000001</v>
      </c>
      <c r="R38" s="32"/>
      <c r="S38" s="32"/>
      <c r="T38" s="32">
        <f t="shared" si="6"/>
        <v>0.53669999999999995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28" t="s">
        <v>7</v>
      </c>
      <c r="C39" s="35"/>
      <c r="D39" s="135"/>
      <c r="E39" s="153">
        <f>'BGS PTY17 Cost Alloc'!E39</f>
        <v>0.41589999999999999</v>
      </c>
      <c r="F39" s="156" t="s">
        <v>40</v>
      </c>
      <c r="G39" s="156" t="s">
        <v>40</v>
      </c>
      <c r="H39" s="153">
        <f>'BGS PTY17 Cost Alloc'!H39</f>
        <v>0.4718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5"/>
        <v>0.58410000000000006</v>
      </c>
      <c r="R39" s="32"/>
      <c r="S39" s="32"/>
      <c r="T39" s="32">
        <f t="shared" si="6"/>
        <v>0.5282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28" t="s">
        <v>8</v>
      </c>
      <c r="C40" s="35"/>
      <c r="D40" s="135"/>
      <c r="E40" s="153">
        <f>'BGS PTY17 Cost Alloc'!E40</f>
        <v>0.41589999999999999</v>
      </c>
      <c r="F40" s="156" t="s">
        <v>40</v>
      </c>
      <c r="G40" s="156" t="s">
        <v>40</v>
      </c>
      <c r="H40" s="153">
        <f>'BGS PTY17 Cost Alloc'!H40</f>
        <v>0.46650000000000003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5"/>
        <v>0.58410000000000006</v>
      </c>
      <c r="R40" s="32"/>
      <c r="S40" s="32"/>
      <c r="T40" s="32">
        <f t="shared" si="6"/>
        <v>0.53349999999999997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28" t="s">
        <v>9</v>
      </c>
      <c r="C41" s="35"/>
      <c r="D41" s="135"/>
      <c r="E41" s="153">
        <f>'BGS PTY17 Cost Alloc'!E41</f>
        <v>0.40029999999999999</v>
      </c>
      <c r="F41" s="156" t="s">
        <v>40</v>
      </c>
      <c r="G41" s="156" t="s">
        <v>40</v>
      </c>
      <c r="H41" s="153">
        <f>'BGS PTY17 Cost Alloc'!H41</f>
        <v>0.46129999999999999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5"/>
        <v>0.59970000000000001</v>
      </c>
      <c r="R41" s="32"/>
      <c r="S41" s="32"/>
      <c r="T41" s="32">
        <f t="shared" si="6"/>
        <v>0.53869999999999996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153">
        <f>'BGS PTY17 Cost Alloc'!E42</f>
        <v>0.36680000000000001</v>
      </c>
      <c r="F42" s="156" t="s">
        <v>40</v>
      </c>
      <c r="G42" s="156" t="s">
        <v>40</v>
      </c>
      <c r="H42" s="153">
        <f>'BGS PTY17 Cost Alloc'!H42</f>
        <v>0.4607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5"/>
        <v>0.63319999999999999</v>
      </c>
      <c r="R42" s="32"/>
      <c r="S42" s="32"/>
      <c r="T42" s="32">
        <f t="shared" si="6"/>
        <v>0.5393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153">
        <f>'BGS PTY17 Cost Alloc'!E43</f>
        <v>0.3518</v>
      </c>
      <c r="F43" s="156" t="s">
        <v>40</v>
      </c>
      <c r="G43" s="156" t="s">
        <v>40</v>
      </c>
      <c r="H43" s="153">
        <f>'BGS PTY17 Cost Alloc'!H43</f>
        <v>0.4546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5"/>
        <v>0.6482</v>
      </c>
      <c r="R43" s="32"/>
      <c r="S43" s="32"/>
      <c r="T43" s="32">
        <f t="shared" si="6"/>
        <v>0.5454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153">
        <f>'BGS PTY17 Cost Alloc'!E44</f>
        <v>0.35589999999999999</v>
      </c>
      <c r="F44" s="156" t="s">
        <v>40</v>
      </c>
      <c r="G44" s="156" t="s">
        <v>40</v>
      </c>
      <c r="H44" s="153">
        <f>'BGS PTY17 Cost Alloc'!H44</f>
        <v>0.43390000000000001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5"/>
        <v>0.64410000000000001</v>
      </c>
      <c r="R44" s="32"/>
      <c r="S44" s="32"/>
      <c r="T44" s="32">
        <f t="shared" si="6"/>
        <v>0.56610000000000005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75" x14ac:dyDescent="0.25">
      <c r="A52" s="22"/>
      <c r="B52" s="435" t="str">
        <f>$B$1</f>
        <v xml:space="preserve">Jersey Central Power &amp; Light </v>
      </c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75" x14ac:dyDescent="0.25">
      <c r="A53" s="22"/>
      <c r="B53" s="435" t="str">
        <f>$B$2</f>
        <v>Attachment 2</v>
      </c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70" t="str">
        <f>'BGS PTY17 Cost Alloc'!Y55</f>
        <v>Forecast 2018 Delivery MWh</v>
      </c>
      <c r="X55" s="171"/>
      <c r="Y55" s="171"/>
      <c r="Z55" s="31"/>
    </row>
    <row r="56" spans="1:33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8" t="s">
        <v>251</v>
      </c>
    </row>
    <row r="57" spans="1:33" x14ac:dyDescent="0.2">
      <c r="A57" s="22"/>
      <c r="B57" s="39" t="str">
        <f>'BGS PTY17 Cost Alloc'!$B$57</f>
        <v>calendar month sales forecasted for 2018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2">
      <c r="A60" s="22"/>
      <c r="B60" s="28" t="s">
        <v>1</v>
      </c>
      <c r="C60" s="49"/>
      <c r="D60" s="49"/>
      <c r="E60" s="50">
        <f>'BGS PTY17 Cost Alloc'!E60</f>
        <v>26592</v>
      </c>
      <c r="F60" s="50">
        <f>'BGS PTY17 Cost Alloc'!F60</f>
        <v>799279</v>
      </c>
      <c r="G60" s="50">
        <f>'BGS PTY17 Cost Alloc'!G60</f>
        <v>510394</v>
      </c>
      <c r="H60" s="50">
        <f>'BGS PTY17 Cost Alloc'!H60</f>
        <v>15108</v>
      </c>
      <c r="I60" s="50">
        <f>'BGS PTY17 Cost Alloc'!I60</f>
        <v>9490</v>
      </c>
      <c r="J60" s="50">
        <f t="shared" ref="J60:J72" si="7">SUM(E60:I60)</f>
        <v>1360863</v>
      </c>
      <c r="K60" s="49"/>
      <c r="L60" s="49"/>
      <c r="M60" s="50">
        <f t="shared" ref="M60:M71" si="8">E60-ROUND(SUM($W60/1000),0)</f>
        <v>26108</v>
      </c>
      <c r="N60" s="51" t="s">
        <v>28</v>
      </c>
      <c r="O60" s="52"/>
      <c r="P60" s="53"/>
      <c r="Q60" s="53">
        <f>SUM(E60:E64,E69:E71)</f>
        <v>163437</v>
      </c>
      <c r="R60" s="53">
        <f>SUM(F60:F64,F69:F71)</f>
        <v>5302673</v>
      </c>
      <c r="S60" s="53">
        <f>SUM(G60:G64,G69:G71)</f>
        <v>3817801</v>
      </c>
      <c r="T60" s="53">
        <f>SUM(H60:H64,H69:H71)</f>
        <v>108978</v>
      </c>
      <c r="U60" s="54">
        <f>SUM(I60:I64,I69:I71)</f>
        <v>75717</v>
      </c>
      <c r="V60" s="169">
        <f>'BGS PTY17 Cost Alloc'!V60</f>
        <v>43101</v>
      </c>
      <c r="W60" s="50">
        <f>'BGS PTY17 Cost Alloc'!W60</f>
        <v>484084.67893729993</v>
      </c>
      <c r="X60" s="50">
        <f>'BGS PTY17 Cost Alloc'!X60</f>
        <v>4604.7825406000002</v>
      </c>
      <c r="Y60" s="55">
        <f t="shared" ref="Y60:Y71" si="9">W60-X60</f>
        <v>479479.89639669994</v>
      </c>
      <c r="Z60" s="50">
        <f>'BGS PTY17 Cost Alloc'!Z60</f>
        <v>1918907.2774936</v>
      </c>
      <c r="AA60" s="50">
        <f>'BGS PTY17 Cost Alloc'!AA60</f>
        <v>26107.613694167299</v>
      </c>
      <c r="AB60" s="50">
        <f>'BGS PTY17 Cost Alloc'!AB60</f>
        <v>797359.65613194206</v>
      </c>
      <c r="AC60" s="50">
        <f>'BGS PTY17 Cost Alloc'!AC60</f>
        <v>510399.101220018</v>
      </c>
      <c r="AD60" s="50">
        <f>'BGS PTY17 Cost Alloc'!AD60</f>
        <v>561197.93522001803</v>
      </c>
      <c r="AG60" s="50">
        <f>'BGS PTY17 Cost Alloc'!AG60</f>
        <v>15108.375460639902</v>
      </c>
    </row>
    <row r="61" spans="1:33" x14ac:dyDescent="0.2">
      <c r="A61" s="22"/>
      <c r="B61" s="28" t="s">
        <v>2</v>
      </c>
      <c r="C61" s="49"/>
      <c r="D61" s="49"/>
      <c r="E61" s="50">
        <f>'BGS PTY17 Cost Alloc'!E61</f>
        <v>27398</v>
      </c>
      <c r="F61" s="50">
        <f>'BGS PTY17 Cost Alloc'!F61</f>
        <v>760155</v>
      </c>
      <c r="G61" s="50">
        <f>'BGS PTY17 Cost Alloc'!G61</f>
        <v>493890</v>
      </c>
      <c r="H61" s="50">
        <f>'BGS PTY17 Cost Alloc'!H61</f>
        <v>15108</v>
      </c>
      <c r="I61" s="50">
        <f>'BGS PTY17 Cost Alloc'!I61</f>
        <v>9485</v>
      </c>
      <c r="J61" s="50">
        <f t="shared" si="7"/>
        <v>1306036</v>
      </c>
      <c r="K61" s="49"/>
      <c r="L61" s="49"/>
      <c r="M61" s="50">
        <f t="shared" si="8"/>
        <v>26921</v>
      </c>
      <c r="N61" s="51"/>
      <c r="O61" s="52"/>
      <c r="P61" s="114" t="s">
        <v>193</v>
      </c>
      <c r="Q61" s="53">
        <f>SUMPRODUCT(E33:E37,M60:M64)+SUMPRODUCT(E42:E44,M69:M71)</f>
        <v>56758.725399999996</v>
      </c>
      <c r="R61" s="47"/>
      <c r="S61" s="131" t="s">
        <v>177</v>
      </c>
      <c r="T61" s="53">
        <f>SUMPRODUCT(H33:H37,H60:H64)+SUMPRODUCT(H42:H44,H69:H71)</f>
        <v>47882.7984</v>
      </c>
      <c r="U61" s="48">
        <f>T61/T60</f>
        <v>0.43938041072510048</v>
      </c>
      <c r="V61" s="169">
        <f>'BGS PTY17 Cost Alloc'!V61</f>
        <v>43132</v>
      </c>
      <c r="W61" s="50">
        <f>'BGS PTY17 Cost Alloc'!W61</f>
        <v>477463.23484459997</v>
      </c>
      <c r="X61" s="50">
        <f>'BGS PTY17 Cost Alloc'!X61</f>
        <v>4552.8303741999998</v>
      </c>
      <c r="Y61" s="55">
        <f t="shared" si="9"/>
        <v>472910.40447039995</v>
      </c>
      <c r="Z61" s="50">
        <f>'BGS PTY17 Cost Alloc'!Z61</f>
        <v>1892620.5957742</v>
      </c>
      <c r="AA61" s="50">
        <f>'BGS PTY17 Cost Alloc'!AA61</f>
        <v>26921.4641347504</v>
      </c>
      <c r="AB61" s="50">
        <f>'BGS PTY17 Cost Alloc'!AB61</f>
        <v>758262.28886500502</v>
      </c>
      <c r="AC61" s="50">
        <f>'BGS PTY17 Cost Alloc'!AC61</f>
        <v>493894.641684503</v>
      </c>
      <c r="AD61" s="50">
        <f>'BGS PTY17 Cost Alloc'!AD61</f>
        <v>542656.76268450299</v>
      </c>
      <c r="AG61" s="50">
        <f>'BGS PTY17 Cost Alloc'!AG61</f>
        <v>15108.042151111998</v>
      </c>
    </row>
    <row r="62" spans="1:33" x14ac:dyDescent="0.2">
      <c r="A62" s="22"/>
      <c r="B62" s="28" t="s">
        <v>3</v>
      </c>
      <c r="C62" s="49"/>
      <c r="D62" s="49"/>
      <c r="E62" s="50">
        <f>'BGS PTY17 Cost Alloc'!E62</f>
        <v>25342</v>
      </c>
      <c r="F62" s="50">
        <f>'BGS PTY17 Cost Alloc'!F62</f>
        <v>690812</v>
      </c>
      <c r="G62" s="50">
        <f>'BGS PTY17 Cost Alloc'!G62</f>
        <v>508325</v>
      </c>
      <c r="H62" s="50">
        <f>'BGS PTY17 Cost Alloc'!H62</f>
        <v>15667</v>
      </c>
      <c r="I62" s="50">
        <f>'BGS PTY17 Cost Alloc'!I62</f>
        <v>9480</v>
      </c>
      <c r="J62" s="50">
        <f t="shared" si="7"/>
        <v>1249626</v>
      </c>
      <c r="K62" s="49"/>
      <c r="L62" s="49"/>
      <c r="M62" s="50">
        <f t="shared" si="8"/>
        <v>24871</v>
      </c>
      <c r="N62" s="51"/>
      <c r="O62" s="52"/>
      <c r="P62" s="114" t="s">
        <v>194</v>
      </c>
      <c r="Q62" s="53">
        <f>SUMPRODUCT(Q33:Q37,M60:M64)+SUMPRODUCT(Q42:Q44,M69:M71)</f>
        <v>103068.2746</v>
      </c>
      <c r="R62" s="47"/>
      <c r="S62" s="131" t="s">
        <v>178</v>
      </c>
      <c r="T62" s="53">
        <f>+T60-T61</f>
        <v>61095.2016</v>
      </c>
      <c r="U62" s="48"/>
      <c r="V62" s="169">
        <f>'BGS PTY17 Cost Alloc'!V62</f>
        <v>43160</v>
      </c>
      <c r="W62" s="50">
        <f>'BGS PTY17 Cost Alloc'!W62</f>
        <v>471398.92719170003</v>
      </c>
      <c r="X62" s="50">
        <f>'BGS PTY17 Cost Alloc'!X62</f>
        <v>4503.0900005000003</v>
      </c>
      <c r="Y62" s="55">
        <f t="shared" si="9"/>
        <v>466895.8371912</v>
      </c>
      <c r="Z62" s="50">
        <f>'BGS PTY17 Cost Alloc'!Z62</f>
        <v>1703760.4013359</v>
      </c>
      <c r="AA62" s="50">
        <f>'BGS PTY17 Cost Alloc'!AA62</f>
        <v>24871.170958628998</v>
      </c>
      <c r="AB62" s="50">
        <f>'BGS PTY17 Cost Alloc'!AB62</f>
        <v>689107.636802844</v>
      </c>
      <c r="AC62" s="50">
        <f>'BGS PTY17 Cost Alloc'!AC62</f>
        <v>508330.18124383496</v>
      </c>
      <c r="AD62" s="50">
        <f>'BGS PTY17 Cost Alloc'!AD62</f>
        <v>555486.82424383494</v>
      </c>
      <c r="AG62" s="50">
        <f>'BGS PTY17 Cost Alloc'!AG62</f>
        <v>15666.663593153104</v>
      </c>
    </row>
    <row r="63" spans="1:33" x14ac:dyDescent="0.2">
      <c r="A63" s="22"/>
      <c r="B63" s="28" t="s">
        <v>4</v>
      </c>
      <c r="C63" s="49"/>
      <c r="D63" s="49"/>
      <c r="E63" s="50">
        <f>'BGS PTY17 Cost Alloc'!E63</f>
        <v>19847</v>
      </c>
      <c r="F63" s="50">
        <f>'BGS PTY17 Cost Alloc'!F63</f>
        <v>589629</v>
      </c>
      <c r="G63" s="50">
        <f>'BGS PTY17 Cost Alloc'!G63</f>
        <v>465966</v>
      </c>
      <c r="H63" s="50">
        <f>'BGS PTY17 Cost Alloc'!H63</f>
        <v>14129</v>
      </c>
      <c r="I63" s="50">
        <f>'BGS PTY17 Cost Alloc'!I63</f>
        <v>9475</v>
      </c>
      <c r="J63" s="50">
        <f t="shared" si="7"/>
        <v>1099046</v>
      </c>
      <c r="K63" s="49"/>
      <c r="L63" s="49"/>
      <c r="M63" s="50">
        <f t="shared" si="8"/>
        <v>19382</v>
      </c>
      <c r="N63" s="46"/>
      <c r="O63" s="47"/>
      <c r="P63" s="114" t="s">
        <v>195</v>
      </c>
      <c r="Q63" s="53">
        <f>SUM(W60:W64,W69:W71)/1000</f>
        <v>3609.5614574587003</v>
      </c>
      <c r="R63" s="47"/>
      <c r="S63" s="47"/>
      <c r="T63" s="47"/>
      <c r="U63" s="48"/>
      <c r="V63" s="169">
        <f>'BGS PTY17 Cost Alloc'!V63</f>
        <v>43191</v>
      </c>
      <c r="W63" s="50">
        <f>'BGS PTY17 Cost Alloc'!W63</f>
        <v>464569.87553070002</v>
      </c>
      <c r="X63" s="50">
        <f>'BGS PTY17 Cost Alloc'!X63</f>
        <v>4471.4730952</v>
      </c>
      <c r="Y63" s="55">
        <f t="shared" si="9"/>
        <v>460098.4024355</v>
      </c>
      <c r="Z63" s="50">
        <f>'BGS PTY17 Cost Alloc'!Z63</f>
        <v>1293214.2449352001</v>
      </c>
      <c r="AA63" s="50">
        <f>'BGS PTY17 Cost Alloc'!AA63</f>
        <v>19381.885010979702</v>
      </c>
      <c r="AB63" s="50">
        <f>'BGS PTY17 Cost Alloc'!AB63</f>
        <v>588335.98634165002</v>
      </c>
      <c r="AC63" s="50">
        <f>'BGS PTY17 Cost Alloc'!AC63</f>
        <v>465969.785230259</v>
      </c>
      <c r="AD63" s="50">
        <f>'BGS PTY17 Cost Alloc'!AD63</f>
        <v>515135.85223025898</v>
      </c>
      <c r="AG63" s="50">
        <f>'BGS PTY17 Cost Alloc'!AG63</f>
        <v>14129.337734551698</v>
      </c>
    </row>
    <row r="64" spans="1:33" x14ac:dyDescent="0.2">
      <c r="A64" s="22"/>
      <c r="B64" s="28" t="s">
        <v>5</v>
      </c>
      <c r="C64" s="49"/>
      <c r="D64" s="49"/>
      <c r="E64" s="50">
        <f>'BGS PTY17 Cost Alloc'!E64</f>
        <v>15385</v>
      </c>
      <c r="F64" s="50">
        <f>'BGS PTY17 Cost Alloc'!F64</f>
        <v>552906</v>
      </c>
      <c r="G64" s="50">
        <f>'BGS PTY17 Cost Alloc'!G64</f>
        <v>436268</v>
      </c>
      <c r="H64" s="50">
        <f>'BGS PTY17 Cost Alloc'!H64</f>
        <v>10341</v>
      </c>
      <c r="I64" s="50">
        <f>'BGS PTY17 Cost Alloc'!I64</f>
        <v>9470</v>
      </c>
      <c r="J64" s="50">
        <f t="shared" si="7"/>
        <v>1024370</v>
      </c>
      <c r="K64" s="49"/>
      <c r="L64" s="49"/>
      <c r="M64" s="50">
        <f t="shared" si="8"/>
        <v>14927</v>
      </c>
      <c r="N64" s="51" t="s">
        <v>29</v>
      </c>
      <c r="O64" s="52"/>
      <c r="P64" s="53"/>
      <c r="Q64" s="53">
        <f>+SUM(E65:E68)</f>
        <v>77643</v>
      </c>
      <c r="R64" s="53">
        <f>+SUM(F65:F68)</f>
        <v>3756035</v>
      </c>
      <c r="S64" s="53">
        <f>+SUM(G65:G68)</f>
        <v>2209279</v>
      </c>
      <c r="T64" s="53">
        <f>+SUM(H65:H68)</f>
        <v>58121</v>
      </c>
      <c r="U64" s="54">
        <f>+SUM(I65:I68)</f>
        <v>37828</v>
      </c>
      <c r="V64" s="169">
        <f>'BGS PTY17 Cost Alloc'!V64</f>
        <v>43221</v>
      </c>
      <c r="W64" s="50">
        <f>'BGS PTY17 Cost Alloc'!W64</f>
        <v>457893.06750289997</v>
      </c>
      <c r="X64" s="50">
        <f>'BGS PTY17 Cost Alloc'!X64</f>
        <v>4455.3368780999999</v>
      </c>
      <c r="Y64" s="55">
        <f t="shared" si="9"/>
        <v>453437.73062479997</v>
      </c>
      <c r="Z64" s="50">
        <f>'BGS PTY17 Cost Alloc'!Z64</f>
        <v>961078.93891040003</v>
      </c>
      <c r="AA64" s="50">
        <f>'BGS PTY17 Cost Alloc'!AA64</f>
        <v>14926.9446093193</v>
      </c>
      <c r="AB64" s="50">
        <f>'BGS PTY17 Cost Alloc'!AB64</f>
        <v>551945.35872114601</v>
      </c>
      <c r="AC64" s="50">
        <f>'BGS PTY17 Cost Alloc'!AC64</f>
        <v>436271.96970793803</v>
      </c>
      <c r="AD64" s="50">
        <f>'BGS PTY17 Cost Alloc'!AD64</f>
        <v>489100.955707938</v>
      </c>
      <c r="AG64" s="50">
        <f>'BGS PTY17 Cost Alloc'!AG64</f>
        <v>10341.098849502399</v>
      </c>
    </row>
    <row r="65" spans="1:34" x14ac:dyDescent="0.2">
      <c r="A65" s="22"/>
      <c r="B65" s="28" t="s">
        <v>6</v>
      </c>
      <c r="C65" s="49"/>
      <c r="D65" s="49"/>
      <c r="E65" s="50">
        <f>'BGS PTY17 Cost Alloc'!E65</f>
        <v>16535</v>
      </c>
      <c r="F65" s="50">
        <f>'BGS PTY17 Cost Alloc'!F65</f>
        <v>715966</v>
      </c>
      <c r="G65" s="50">
        <f>'BGS PTY17 Cost Alloc'!G65</f>
        <v>508549</v>
      </c>
      <c r="H65" s="50">
        <f>'BGS PTY17 Cost Alloc'!H65</f>
        <v>13565</v>
      </c>
      <c r="I65" s="50">
        <f>'BGS PTY17 Cost Alloc'!I65</f>
        <v>9465</v>
      </c>
      <c r="J65" s="50">
        <f t="shared" si="7"/>
        <v>1264080</v>
      </c>
      <c r="K65" s="49"/>
      <c r="L65" s="50"/>
      <c r="M65" s="50">
        <f t="shared" si="8"/>
        <v>16084</v>
      </c>
      <c r="N65" s="51"/>
      <c r="O65" s="52"/>
      <c r="P65" s="157" t="s">
        <v>151</v>
      </c>
      <c r="Q65" s="158">
        <f>SUMPRODUCT(E38:E41,M65:M68)</f>
        <v>31007.910499999998</v>
      </c>
      <c r="R65" s="158">
        <f>'BGS PTY17 Cost Alloc'!R65</f>
        <v>1966233.6807635399</v>
      </c>
      <c r="S65" s="131" t="s">
        <v>177</v>
      </c>
      <c r="T65" s="53">
        <f>+SUMPRODUCT(H38:H41,H65:H68)</f>
        <v>27069.1777</v>
      </c>
      <c r="U65" s="56">
        <f>T65/T64</f>
        <v>0.46573833382082208</v>
      </c>
      <c r="V65" s="169">
        <f>'BGS PTY17 Cost Alloc'!V65</f>
        <v>43252</v>
      </c>
      <c r="W65" s="50">
        <f>'BGS PTY17 Cost Alloc'!W65</f>
        <v>451008.21692110004</v>
      </c>
      <c r="X65" s="50">
        <f>'BGS PTY17 Cost Alloc'!X65</f>
        <v>4412.0570854999996</v>
      </c>
      <c r="Y65" s="55">
        <f t="shared" si="9"/>
        <v>446596.15983560006</v>
      </c>
      <c r="Z65" s="50">
        <f>'BGS PTY17 Cost Alloc'!Z65</f>
        <v>1026029.6711441</v>
      </c>
      <c r="AA65" s="50">
        <f>'BGS PTY17 Cost Alloc'!AA65</f>
        <v>15057.990146324801</v>
      </c>
      <c r="AB65" s="50">
        <f>'BGS PTY17 Cost Alloc'!AB65</f>
        <v>715966.23302269494</v>
      </c>
      <c r="AC65" s="50">
        <f>'BGS PTY17 Cost Alloc'!AC65</f>
        <v>508553.34947173204</v>
      </c>
      <c r="AD65" s="50">
        <f>'BGS PTY17 Cost Alloc'!AD65</f>
        <v>561369.66347173206</v>
      </c>
      <c r="AG65" s="50">
        <f>'BGS PTY17 Cost Alloc'!AG65</f>
        <v>13565.393794336402</v>
      </c>
    </row>
    <row r="66" spans="1:34" x14ac:dyDescent="0.2">
      <c r="A66" s="22"/>
      <c r="B66" s="28" t="s">
        <v>7</v>
      </c>
      <c r="C66" s="49"/>
      <c r="D66" s="49"/>
      <c r="E66" s="50">
        <f>'BGS PTY17 Cost Alloc'!E66</f>
        <v>20574</v>
      </c>
      <c r="F66" s="50">
        <f>'BGS PTY17 Cost Alloc'!F66</f>
        <v>1004787</v>
      </c>
      <c r="G66" s="50">
        <f>'BGS PTY17 Cost Alloc'!G66</f>
        <v>564605</v>
      </c>
      <c r="H66" s="50">
        <f>'BGS PTY17 Cost Alloc'!H66</f>
        <v>14168</v>
      </c>
      <c r="I66" s="50">
        <f>'BGS PTY17 Cost Alloc'!I66</f>
        <v>9460</v>
      </c>
      <c r="J66" s="50">
        <f t="shared" si="7"/>
        <v>1613594</v>
      </c>
      <c r="K66" s="49"/>
      <c r="L66" s="50"/>
      <c r="M66" s="50">
        <f t="shared" si="8"/>
        <v>20130</v>
      </c>
      <c r="N66" s="51"/>
      <c r="O66" s="52"/>
      <c r="P66" s="157" t="s">
        <v>152</v>
      </c>
      <c r="Q66" s="158">
        <f>SUMPRODUCT(Q38:Q41,M65:M68)</f>
        <v>44871.089500000002</v>
      </c>
      <c r="R66" s="158">
        <f>'BGS PTY17 Cost Alloc'!R66</f>
        <v>1789801.3192364601</v>
      </c>
      <c r="S66" s="131" t="s">
        <v>178</v>
      </c>
      <c r="T66" s="53">
        <f>+T64-T65</f>
        <v>31051.8223</v>
      </c>
      <c r="U66" s="48"/>
      <c r="V66" s="169">
        <f>'BGS PTY17 Cost Alloc'!V66</f>
        <v>43282</v>
      </c>
      <c r="W66" s="50">
        <f>'BGS PTY17 Cost Alloc'!W66</f>
        <v>444429.60457440006</v>
      </c>
      <c r="X66" s="50">
        <f>'BGS PTY17 Cost Alloc'!X66</f>
        <v>4348.6047331</v>
      </c>
      <c r="Y66" s="55">
        <f t="shared" si="9"/>
        <v>440080.99984130007</v>
      </c>
      <c r="Z66" s="50">
        <f>'BGS PTY17 Cost Alloc'!Z66</f>
        <v>1248292.6233738</v>
      </c>
      <c r="AA66" s="50">
        <f>'BGS PTY17 Cost Alloc'!AA66</f>
        <v>18881.452187436498</v>
      </c>
      <c r="AB66" s="50">
        <f>'BGS PTY17 Cost Alloc'!AB66</f>
        <v>1004786.97118935</v>
      </c>
      <c r="AC66" s="50">
        <f>'BGS PTY17 Cost Alloc'!AC66</f>
        <v>564609.29122548294</v>
      </c>
      <c r="AD66" s="50">
        <f>'BGS PTY17 Cost Alloc'!AD66</f>
        <v>625032.84622548299</v>
      </c>
      <c r="AG66" s="50">
        <f>'BGS PTY17 Cost Alloc'!AG66</f>
        <v>14167.925159521594</v>
      </c>
    </row>
    <row r="67" spans="1:34" x14ac:dyDescent="0.2">
      <c r="A67" s="22"/>
      <c r="B67" s="28" t="s">
        <v>8</v>
      </c>
      <c r="C67" s="49"/>
      <c r="D67" s="49"/>
      <c r="E67" s="50">
        <f>'BGS PTY17 Cost Alloc'!E67</f>
        <v>21951</v>
      </c>
      <c r="F67" s="50">
        <f>'BGS PTY17 Cost Alloc'!F67</f>
        <v>1111718</v>
      </c>
      <c r="G67" s="50">
        <f>'BGS PTY17 Cost Alloc'!G67</f>
        <v>587963</v>
      </c>
      <c r="H67" s="50">
        <f>'BGS PTY17 Cost Alloc'!H67</f>
        <v>15782</v>
      </c>
      <c r="I67" s="50">
        <f>'BGS PTY17 Cost Alloc'!I67</f>
        <v>9454</v>
      </c>
      <c r="J67" s="50">
        <f t="shared" si="7"/>
        <v>1746868</v>
      </c>
      <c r="K67" s="49"/>
      <c r="L67" s="49"/>
      <c r="M67" s="50">
        <f t="shared" si="8"/>
        <v>21513</v>
      </c>
      <c r="N67" s="57"/>
      <c r="O67" s="58"/>
      <c r="P67" s="114" t="s">
        <v>195</v>
      </c>
      <c r="Q67" s="53">
        <f>SUM(W65:W68)/1000</f>
        <v>1764.1423844134001</v>
      </c>
      <c r="R67" s="66"/>
      <c r="S67" s="58"/>
      <c r="T67" s="58"/>
      <c r="U67" s="59"/>
      <c r="V67" s="169">
        <f>'BGS PTY17 Cost Alloc'!V67</f>
        <v>43313</v>
      </c>
      <c r="W67" s="50">
        <f>'BGS PTY17 Cost Alloc'!W67</f>
        <v>437703.82789889997</v>
      </c>
      <c r="X67" s="50">
        <f>'BGS PTY17 Cost Alloc'!X67</f>
        <v>4302.3085903000001</v>
      </c>
      <c r="Y67" s="55">
        <f t="shared" si="9"/>
        <v>433401.51930859999</v>
      </c>
      <c r="Z67" s="50">
        <f>'BGS PTY17 Cost Alloc'!Z67</f>
        <v>1303502.2858349001</v>
      </c>
      <c r="AA67" s="50">
        <f>'BGS PTY17 Cost Alloc'!AA67</f>
        <v>20210.306567985801</v>
      </c>
      <c r="AB67" s="50">
        <f>'BGS PTY17 Cost Alloc'!AB67</f>
        <v>1111717.70262687</v>
      </c>
      <c r="AC67" s="50">
        <f>'BGS PTY17 Cost Alloc'!AC67</f>
        <v>587966.94902956497</v>
      </c>
      <c r="AD67" s="50">
        <f>'BGS PTY17 Cost Alloc'!AD67</f>
        <v>649230.79502956499</v>
      </c>
      <c r="AG67" s="50">
        <f>'BGS PTY17 Cost Alloc'!AG67</f>
        <v>15781.708187981001</v>
      </c>
    </row>
    <row r="68" spans="1:34" x14ac:dyDescent="0.2">
      <c r="A68" s="22"/>
      <c r="B68" s="28" t="s">
        <v>9</v>
      </c>
      <c r="C68" s="49"/>
      <c r="D68" s="49"/>
      <c r="E68" s="50">
        <f>'BGS PTY17 Cost Alloc'!E68</f>
        <v>18583</v>
      </c>
      <c r="F68" s="50">
        <f>'BGS PTY17 Cost Alloc'!F68</f>
        <v>923564</v>
      </c>
      <c r="G68" s="50">
        <f>'BGS PTY17 Cost Alloc'!G68</f>
        <v>548162</v>
      </c>
      <c r="H68" s="50">
        <f>'BGS PTY17 Cost Alloc'!H68</f>
        <v>14606</v>
      </c>
      <c r="I68" s="50">
        <f>'BGS PTY17 Cost Alloc'!I68</f>
        <v>9449</v>
      </c>
      <c r="J68" s="50">
        <f t="shared" si="7"/>
        <v>1514364</v>
      </c>
      <c r="K68" s="49"/>
      <c r="L68" s="49"/>
      <c r="M68" s="50">
        <f t="shared" si="8"/>
        <v>18152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9">
        <f>'BGS PTY17 Cost Alloc'!V68</f>
        <v>43344</v>
      </c>
      <c r="W68" s="50">
        <f>'BGS PTY17 Cost Alloc'!W68</f>
        <v>431000.73501900007</v>
      </c>
      <c r="X68" s="50">
        <f>'BGS PTY17 Cost Alloc'!X68</f>
        <v>4263.8549514000006</v>
      </c>
      <c r="Y68" s="55">
        <f t="shared" si="9"/>
        <v>426736.88006760005</v>
      </c>
      <c r="Z68" s="50">
        <f>'BGS PTY17 Cost Alloc'!Z68</f>
        <v>1112732.5409321999</v>
      </c>
      <c r="AA68" s="50">
        <f>'BGS PTY17 Cost Alloc'!AA68</f>
        <v>17038.862970017999</v>
      </c>
      <c r="AB68" s="50">
        <f>'BGS PTY17 Cost Alloc'!AB68</f>
        <v>923564.02760898299</v>
      </c>
      <c r="AC68" s="50">
        <f>'BGS PTY17 Cost Alloc'!AC68</f>
        <v>548165.96438928205</v>
      </c>
      <c r="AD68" s="50">
        <f>'BGS PTY17 Cost Alloc'!AD68</f>
        <v>606331.97338928201</v>
      </c>
      <c r="AG68" s="50">
        <f>'BGS PTY17 Cost Alloc'!AG68</f>
        <v>14605.595506058</v>
      </c>
    </row>
    <row r="69" spans="1:34" x14ac:dyDescent="0.2">
      <c r="A69" s="22"/>
      <c r="B69" s="28" t="s">
        <v>10</v>
      </c>
      <c r="C69" s="49"/>
      <c r="D69" s="49"/>
      <c r="E69" s="50">
        <f>'BGS PTY17 Cost Alloc'!E69</f>
        <v>14081</v>
      </c>
      <c r="F69" s="50">
        <f>'BGS PTY17 Cost Alloc'!F69</f>
        <v>658509</v>
      </c>
      <c r="G69" s="50">
        <f>'BGS PTY17 Cost Alloc'!G69</f>
        <v>477383</v>
      </c>
      <c r="H69" s="50">
        <f>'BGS PTY17 Cost Alloc'!H69</f>
        <v>12752</v>
      </c>
      <c r="I69" s="50">
        <f>'BGS PTY17 Cost Alloc'!I69</f>
        <v>9444</v>
      </c>
      <c r="J69" s="50">
        <f t="shared" si="7"/>
        <v>1172169</v>
      </c>
      <c r="K69" s="49"/>
      <c r="L69" s="49"/>
      <c r="M69" s="50">
        <f t="shared" si="8"/>
        <v>13656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9">
        <f>'BGS PTY17 Cost Alloc'!V69</f>
        <v>43374</v>
      </c>
      <c r="W69" s="50">
        <f>'BGS PTY17 Cost Alloc'!W69</f>
        <v>424583.96870499995</v>
      </c>
      <c r="X69" s="50">
        <f>'BGS PTY17 Cost Alloc'!X69</f>
        <v>4256.1845043000003</v>
      </c>
      <c r="Y69" s="55">
        <f t="shared" si="9"/>
        <v>420327.78420069994</v>
      </c>
      <c r="Z69" s="50">
        <f>'BGS PTY17 Cost Alloc'!Z69</f>
        <v>920057.94926230004</v>
      </c>
      <c r="AA69" s="50">
        <f>'BGS PTY17 Cost Alloc'!AA69</f>
        <v>13656.023813534699</v>
      </c>
      <c r="AB69" s="50">
        <f>'BGS PTY17 Cost Alloc'!AB69</f>
        <v>657589.44345300202</v>
      </c>
      <c r="AC69" s="50">
        <f>'BGS PTY17 Cost Alloc'!AC69</f>
        <v>477387.24944953603</v>
      </c>
      <c r="AD69" s="50">
        <f>'BGS PTY17 Cost Alloc'!AD69</f>
        <v>533592.46844953601</v>
      </c>
      <c r="AG69" s="50">
        <f>'BGS PTY17 Cost Alloc'!AG69</f>
        <v>12751.7566700591</v>
      </c>
    </row>
    <row r="70" spans="1:34" x14ac:dyDescent="0.2">
      <c r="A70" s="22"/>
      <c r="B70" s="28" t="s">
        <v>11</v>
      </c>
      <c r="C70" s="49"/>
      <c r="D70" s="49"/>
      <c r="E70" s="50">
        <f>'BGS PTY17 Cost Alloc'!E70</f>
        <v>14764</v>
      </c>
      <c r="F70" s="50">
        <f>'BGS PTY17 Cost Alloc'!F70</f>
        <v>573321</v>
      </c>
      <c r="G70" s="50">
        <f>'BGS PTY17 Cost Alloc'!G70</f>
        <v>453136</v>
      </c>
      <c r="H70" s="50">
        <f>'BGS PTY17 Cost Alloc'!H70</f>
        <v>12796</v>
      </c>
      <c r="I70" s="50">
        <f>'BGS PTY17 Cost Alloc'!I70</f>
        <v>9439</v>
      </c>
      <c r="J70" s="50">
        <f t="shared" si="7"/>
        <v>1063456</v>
      </c>
      <c r="K70" s="49"/>
      <c r="L70" s="49"/>
      <c r="M70" s="50">
        <f t="shared" si="8"/>
        <v>14346</v>
      </c>
      <c r="N70" s="46"/>
      <c r="O70" s="47"/>
      <c r="P70" s="47"/>
      <c r="Q70" s="47"/>
      <c r="R70" s="47"/>
      <c r="S70" s="47"/>
      <c r="T70" s="47"/>
      <c r="U70" s="48"/>
      <c r="V70" s="169">
        <f>'BGS PTY17 Cost Alloc'!V70</f>
        <v>43405</v>
      </c>
      <c r="W70" s="50">
        <f>'BGS PTY17 Cost Alloc'!W70</f>
        <v>417984.01565449999</v>
      </c>
      <c r="X70" s="50">
        <f>'BGS PTY17 Cost Alloc'!X70</f>
        <v>4215.8947844000004</v>
      </c>
      <c r="Y70" s="55">
        <f t="shared" si="9"/>
        <v>413768.12087009999</v>
      </c>
      <c r="Z70" s="50">
        <f>'BGS PTY17 Cost Alloc'!Z70</f>
        <v>1035443.2074712</v>
      </c>
      <c r="AA70" s="50">
        <f>'BGS PTY17 Cost Alloc'!AA70</f>
        <v>14345.676869766899</v>
      </c>
      <c r="AB70" s="50">
        <f>'BGS PTY17 Cost Alloc'!AB70</f>
        <v>572285.67680189305</v>
      </c>
      <c r="AC70" s="50">
        <f>'BGS PTY17 Cost Alloc'!AC70</f>
        <v>453140.30549563596</v>
      </c>
      <c r="AD70" s="50">
        <f>'BGS PTY17 Cost Alloc'!AD70</f>
        <v>504091.23749563599</v>
      </c>
      <c r="AE70" s="13">
        <f>'BGS PTY17 Cost Alloc'!AE70</f>
        <v>0</v>
      </c>
      <c r="AG70" s="50">
        <f>'BGS PTY17 Cost Alloc'!AG70</f>
        <v>12795.746913092702</v>
      </c>
      <c r="AH70" s="13">
        <f>'BGS PTY17 Cost Alloc'!AH70</f>
        <v>0</v>
      </c>
    </row>
    <row r="71" spans="1:34" x14ac:dyDescent="0.2">
      <c r="A71" s="22"/>
      <c r="B71" s="28" t="s">
        <v>12</v>
      </c>
      <c r="C71" s="49"/>
      <c r="D71" s="49"/>
      <c r="E71" s="50">
        <f>'BGS PTY17 Cost Alloc'!E71</f>
        <v>20028</v>
      </c>
      <c r="F71" s="50">
        <f>'BGS PTY17 Cost Alloc'!F71</f>
        <v>678062</v>
      </c>
      <c r="G71" s="50">
        <f>'BGS PTY17 Cost Alloc'!G71</f>
        <v>472439</v>
      </c>
      <c r="H71" s="50">
        <f>'BGS PTY17 Cost Alloc'!H71</f>
        <v>13077</v>
      </c>
      <c r="I71" s="50">
        <f>'BGS PTY17 Cost Alloc'!I71</f>
        <v>9434</v>
      </c>
      <c r="J71" s="50">
        <f t="shared" si="7"/>
        <v>1193040</v>
      </c>
      <c r="K71" s="49"/>
      <c r="L71" s="49"/>
      <c r="M71" s="50">
        <f t="shared" si="8"/>
        <v>19616</v>
      </c>
      <c r="N71" s="51"/>
      <c r="O71" s="52"/>
      <c r="P71" s="115" t="s">
        <v>148</v>
      </c>
      <c r="Q71" s="53">
        <f>SUM(E60:E64,E69:E71)</f>
        <v>163437</v>
      </c>
      <c r="R71" s="53"/>
      <c r="S71" s="115" t="s">
        <v>148</v>
      </c>
      <c r="T71" s="53">
        <f>SUM(H60:H64,H69:H71)</f>
        <v>108978</v>
      </c>
      <c r="U71" s="54"/>
      <c r="V71" s="169">
        <f>'BGS PTY17 Cost Alloc'!V71</f>
        <v>43435</v>
      </c>
      <c r="W71" s="50">
        <f>'BGS PTY17 Cost Alloc'!W71</f>
        <v>411583.68909199996</v>
      </c>
      <c r="X71" s="50">
        <f>'BGS PTY17 Cost Alloc'!X71</f>
        <v>4150.6522543999999</v>
      </c>
      <c r="Y71" s="55">
        <f t="shared" si="9"/>
        <v>407433.03683759994</v>
      </c>
      <c r="Z71" s="50">
        <f>'BGS PTY17 Cost Alloc'!Z71</f>
        <v>1432508.5301492999</v>
      </c>
      <c r="AA71" s="50">
        <f>'BGS PTY17 Cost Alloc'!AA71</f>
        <v>19616.3468370062</v>
      </c>
      <c r="AB71" s="50">
        <f>'BGS PTY17 Cost Alloc'!AB71</f>
        <v>676629.10559600696</v>
      </c>
      <c r="AC71" s="50">
        <f>'BGS PTY17 Cost Alloc'!AC71</f>
        <v>472443.27835132903</v>
      </c>
      <c r="AD71" s="50">
        <f>'BGS PTY17 Cost Alloc'!AD71</f>
        <v>521307.46335132903</v>
      </c>
      <c r="AE71" s="13">
        <f>'BGS PTY17 Cost Alloc'!AE71</f>
        <v>0</v>
      </c>
      <c r="AG71" s="50">
        <f>'BGS PTY17 Cost Alloc'!AG71</f>
        <v>13077.117372242101</v>
      </c>
      <c r="AH71" s="13">
        <f>'BGS PTY17 Cost Alloc'!AH71</f>
        <v>0</v>
      </c>
    </row>
    <row r="72" spans="1:34" x14ac:dyDescent="0.2">
      <c r="A72" s="22"/>
      <c r="B72" s="60" t="s">
        <v>13</v>
      </c>
      <c r="C72" s="55"/>
      <c r="D72" s="55"/>
      <c r="E72" s="55">
        <f>SUM(E60:E71)</f>
        <v>241080</v>
      </c>
      <c r="F72" s="55">
        <f>SUM(F60:F71)</f>
        <v>9058708</v>
      </c>
      <c r="G72" s="55">
        <f>SUM(G60:G71)</f>
        <v>6027080</v>
      </c>
      <c r="H72" s="55">
        <f>SUM(H60:H71)</f>
        <v>167099</v>
      </c>
      <c r="I72" s="55">
        <f>SUM(I60:I71)</f>
        <v>113545</v>
      </c>
      <c r="J72" s="55">
        <f t="shared" si="7"/>
        <v>15607512</v>
      </c>
      <c r="K72" s="55"/>
      <c r="L72" s="55"/>
      <c r="M72" s="55">
        <f>SUM(M60:M71)</f>
        <v>235706</v>
      </c>
      <c r="N72" s="51"/>
      <c r="O72" s="52"/>
      <c r="P72" s="114" t="s">
        <v>146</v>
      </c>
      <c r="Q72" s="53">
        <f>SUMPRODUCT(E15:E19,E60:E64)+SUMPRODUCT(E24:E26,E69:E71)</f>
        <v>81015.231499999994</v>
      </c>
      <c r="R72" s="47">
        <f>Q72/Q71</f>
        <v>0.49569700557401319</v>
      </c>
      <c r="S72" s="114" t="s">
        <v>177</v>
      </c>
      <c r="T72" s="53">
        <f>SUMPRODUCT(H15:H19,H60:H64)+SUMPRODUCT(H24:H26,H69:H71)</f>
        <v>60502.088799999998</v>
      </c>
      <c r="U72" s="48">
        <f>T72/T71</f>
        <v>0.55517708895373374</v>
      </c>
      <c r="W72" s="55">
        <f t="shared" ref="W72:AD72" si="10">SUM(W60:W71)</f>
        <v>5373703.8418720998</v>
      </c>
      <c r="X72" s="55">
        <f t="shared" si="10"/>
        <v>52537.069792000009</v>
      </c>
      <c r="Y72" s="55">
        <f t="shared" si="10"/>
        <v>5321166.7720801001</v>
      </c>
      <c r="Z72" s="55">
        <f t="shared" si="10"/>
        <v>15848148.266617103</v>
      </c>
      <c r="AA72" s="55">
        <f t="shared" si="10"/>
        <v>231015.73779991857</v>
      </c>
      <c r="AB72" s="55">
        <f t="shared" si="10"/>
        <v>9047550.0871613882</v>
      </c>
      <c r="AC72" s="55">
        <f t="shared" si="10"/>
        <v>6027132.0664991159</v>
      </c>
      <c r="AD72" s="55">
        <f t="shared" si="10"/>
        <v>6664534.7774991151</v>
      </c>
      <c r="AE72" s="13">
        <f>'BGS PTY17 Cost Alloc'!AE72</f>
        <v>0</v>
      </c>
      <c r="AG72" s="55">
        <f>SUM(AG60:AG71)</f>
        <v>167098.76139225002</v>
      </c>
      <c r="AH72" s="13">
        <f>'BGS PTY17 Cost Alloc'!AH72</f>
        <v>0</v>
      </c>
    </row>
    <row r="73" spans="1:34" x14ac:dyDescent="0.2">
      <c r="A73" s="22"/>
      <c r="B73" s="28"/>
      <c r="J73" s="61"/>
      <c r="N73" s="51"/>
      <c r="O73" s="52"/>
      <c r="P73" s="114" t="s">
        <v>145</v>
      </c>
      <c r="Q73" s="53">
        <f>+Q71-Q72</f>
        <v>82421.768500000006</v>
      </c>
      <c r="R73" s="47"/>
      <c r="S73" s="114" t="s">
        <v>178</v>
      </c>
      <c r="T73" s="53">
        <f>+T71-T72</f>
        <v>48475.911200000002</v>
      </c>
      <c r="U73" s="48"/>
    </row>
    <row r="74" spans="1:34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4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77643</v>
      </c>
      <c r="R75" s="44"/>
      <c r="S75" s="116" t="s">
        <v>149</v>
      </c>
      <c r="T75" s="53">
        <f>+SUM(H65:H68)</f>
        <v>58121</v>
      </c>
      <c r="U75" s="45"/>
      <c r="V75" s="55">
        <f t="shared" ref="V75:V86" si="11">W60-W75</f>
        <v>200448.79845649999</v>
      </c>
      <c r="W75" s="55">
        <f t="shared" ref="W75:W86" si="12">SUM(X75:Z75)</f>
        <v>283635.88048079994</v>
      </c>
      <c r="X75" s="50">
        <f>'BGS PTY17 Cost Alloc'!X75</f>
        <v>3603.7155610999998</v>
      </c>
      <c r="Y75" s="50">
        <f>'BGS PTY17 Cost Alloc'!Y75</f>
        <v>277789.55187089997</v>
      </c>
      <c r="Z75" s="50">
        <f>'BGS PTY17 Cost Alloc'!Z75</f>
        <v>2242.6130487999999</v>
      </c>
      <c r="AA75" s="55"/>
      <c r="AB75" s="13">
        <f t="shared" ref="AB75:AB86" si="13">(V75*$AA$94+W75*$AA$95)/1000</f>
        <v>104.54463294294274</v>
      </c>
      <c r="AC75" s="13">
        <f t="shared" ref="AC75:AC86" si="14">(W60/1000)-AB75</f>
        <v>379.54004599435723</v>
      </c>
    </row>
    <row r="76" spans="1:34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40104.392</v>
      </c>
      <c r="R76" s="47">
        <f>Q76/Q75</f>
        <v>0.51652295763945233</v>
      </c>
      <c r="S76" s="131" t="s">
        <v>177</v>
      </c>
      <c r="T76" s="53">
        <f>+SUMPRODUCT(H20:H23,H65:H68)</f>
        <v>33748.0602</v>
      </c>
      <c r="U76" s="48">
        <f>T76/T75</f>
        <v>0.58065174721701274</v>
      </c>
      <c r="V76" s="55">
        <f t="shared" si="11"/>
        <v>198277.1483533</v>
      </c>
      <c r="W76" s="55">
        <f t="shared" si="12"/>
        <v>279186.08649129997</v>
      </c>
      <c r="X76" s="50">
        <f>'BGS PTY17 Cost Alloc'!X76</f>
        <v>3566.5978057000002</v>
      </c>
      <c r="Y76" s="50">
        <f>'BGS PTY17 Cost Alloc'!Y76</f>
        <v>273451.683204</v>
      </c>
      <c r="Z76" s="50">
        <f>'BGS PTY17 Cost Alloc'!Z76</f>
        <v>2167.8054815999999</v>
      </c>
      <c r="AA76" s="55"/>
      <c r="AB76" s="13">
        <f t="shared" si="13"/>
        <v>103.02033644898265</v>
      </c>
      <c r="AC76" s="13">
        <f t="shared" si="14"/>
        <v>374.44289839561736</v>
      </c>
      <c r="AD76" s="13"/>
    </row>
    <row r="77" spans="1:34" x14ac:dyDescent="0.2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37538.608</v>
      </c>
      <c r="R77" s="58"/>
      <c r="S77" s="132" t="s">
        <v>178</v>
      </c>
      <c r="T77" s="66">
        <f>T75-T76</f>
        <v>24372.9398</v>
      </c>
      <c r="U77" s="59"/>
      <c r="V77" s="55">
        <f t="shared" si="11"/>
        <v>196281.72715769999</v>
      </c>
      <c r="W77" s="55">
        <f t="shared" si="12"/>
        <v>275117.20003400004</v>
      </c>
      <c r="X77" s="50">
        <f>'BGS PTY17 Cost Alloc'!X77</f>
        <v>3530.8248339000002</v>
      </c>
      <c r="Y77" s="50">
        <f>'BGS PTY17 Cost Alloc'!Y77</f>
        <v>269487.53938720003</v>
      </c>
      <c r="Z77" s="50">
        <f>'BGS PTY17 Cost Alloc'!Z77</f>
        <v>2098.8358128999998</v>
      </c>
      <c r="AA77" s="55"/>
      <c r="AB77" s="13">
        <f t="shared" si="13"/>
        <v>101.62537068778596</v>
      </c>
      <c r="AC77" s="13">
        <f t="shared" si="14"/>
        <v>369.77355650391405</v>
      </c>
      <c r="AD77" s="55">
        <f>SUM(AB65:AB68)</f>
        <v>3756034.9344478976</v>
      </c>
    </row>
    <row r="78" spans="1:34" x14ac:dyDescent="0.2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1"/>
        <v>194019.76662060001</v>
      </c>
      <c r="W78" s="55">
        <f t="shared" si="12"/>
        <v>270550.10891010001</v>
      </c>
      <c r="X78" s="50">
        <f>'BGS PTY17 Cost Alloc'!X78</f>
        <v>3509.6337545000001</v>
      </c>
      <c r="Y78" s="50">
        <f>'BGS PTY17 Cost Alloc'!Y78</f>
        <v>265018.29992070002</v>
      </c>
      <c r="Z78" s="50">
        <f>'BGS PTY17 Cost Alloc'!Z78</f>
        <v>2022.1752349000001</v>
      </c>
      <c r="AA78" s="55"/>
      <c r="AB78" s="13">
        <f t="shared" si="13"/>
        <v>100.05695718029105</v>
      </c>
      <c r="AC78" s="13">
        <f t="shared" si="14"/>
        <v>364.512918350409</v>
      </c>
    </row>
    <row r="79" spans="1:34" x14ac:dyDescent="0.2">
      <c r="A79" s="22"/>
      <c r="B79" s="28" t="s">
        <v>1</v>
      </c>
      <c r="C79" s="67">
        <v>48.23</v>
      </c>
      <c r="D79" s="162">
        <f>ROUND(C79*$H$308,3)</f>
        <v>50.959000000000003</v>
      </c>
      <c r="E79" s="67">
        <v>36.146000000000001</v>
      </c>
      <c r="F79" s="162">
        <f>ROUND(E79*$H$308,3)</f>
        <v>38.191000000000003</v>
      </c>
      <c r="H79" s="33">
        <v>0.94843214438785017</v>
      </c>
      <c r="I79" s="33">
        <v>0.93999822584674986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1"/>
        <v>191798.55553419999</v>
      </c>
      <c r="W79" s="55">
        <f t="shared" si="12"/>
        <v>266094.51196869998</v>
      </c>
      <c r="X79" s="50">
        <f>'BGS PTY17 Cost Alloc'!X79</f>
        <v>3500.3296442000001</v>
      </c>
      <c r="Y79" s="50">
        <f>'BGS PTY17 Cost Alloc'!Y79</f>
        <v>260645.86184289999</v>
      </c>
      <c r="Z79" s="50">
        <f>'BGS PTY17 Cost Alloc'!Z79</f>
        <v>1948.3204816</v>
      </c>
      <c r="AA79" s="55"/>
      <c r="AB79" s="13">
        <f t="shared" si="13"/>
        <v>98.525109889856608</v>
      </c>
      <c r="AC79" s="13">
        <f t="shared" si="14"/>
        <v>359.36795761304336</v>
      </c>
    </row>
    <row r="80" spans="1:34" x14ac:dyDescent="0.2">
      <c r="A80" s="22"/>
      <c r="B80" s="28" t="s">
        <v>2</v>
      </c>
      <c r="C80" s="67">
        <v>46.02</v>
      </c>
      <c r="D80" s="162">
        <f>ROUND(C80*$H$308,3)</f>
        <v>48.624000000000002</v>
      </c>
      <c r="E80" s="67">
        <v>34.49</v>
      </c>
      <c r="F80" s="162">
        <f>ROUND(E80*$H$308,3)</f>
        <v>36.442</v>
      </c>
      <c r="H80" s="177">
        <f>H79</f>
        <v>0.94843214438785017</v>
      </c>
      <c r="I80" s="177">
        <f>I79</f>
        <v>0.93999822584674986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11"/>
        <v>189514.32907790004</v>
      </c>
      <c r="W80" s="55">
        <f t="shared" si="12"/>
        <v>261493.88784320001</v>
      </c>
      <c r="X80" s="50">
        <f>'BGS PTY17 Cost Alloc'!X80</f>
        <v>3470.0088234999998</v>
      </c>
      <c r="Y80" s="50">
        <f>'BGS PTY17 Cost Alloc'!Y80</f>
        <v>256152.35611550001</v>
      </c>
      <c r="Z80" s="50">
        <f>'BGS PTY17 Cost Alloc'!Z80</f>
        <v>1871.5229042000001</v>
      </c>
      <c r="AA80" s="55"/>
      <c r="AB80" s="13">
        <f t="shared" si="13"/>
        <v>96.944507043425844</v>
      </c>
      <c r="AC80" s="13">
        <f t="shared" si="14"/>
        <v>354.06370987767417</v>
      </c>
    </row>
    <row r="81" spans="1:29" x14ac:dyDescent="0.2">
      <c r="A81" s="22"/>
      <c r="B81" s="28" t="s">
        <v>3</v>
      </c>
      <c r="C81" s="67">
        <v>36.97</v>
      </c>
      <c r="D81" s="162">
        <f>ROUND(C81*$H$308,3)</f>
        <v>39.061999999999998</v>
      </c>
      <c r="E81" s="67">
        <v>27.707000000000001</v>
      </c>
      <c r="F81" s="162">
        <f>ROUND(E81*$H$308,3)</f>
        <v>29.274999999999999</v>
      </c>
      <c r="H81" s="177">
        <f>H79</f>
        <v>0.94843214438785017</v>
      </c>
      <c r="I81" s="177">
        <f>I79</f>
        <v>0.93999822584674986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1"/>
        <v>187344.05422230007</v>
      </c>
      <c r="W81" s="55">
        <f t="shared" si="12"/>
        <v>257085.55035209999</v>
      </c>
      <c r="X81" s="50">
        <f>'BGS PTY17 Cost Alloc'!X81</f>
        <v>3423.5094672</v>
      </c>
      <c r="Y81" s="50">
        <f>'BGS PTY17 Cost Alloc'!Y81</f>
        <v>251864.45400239999</v>
      </c>
      <c r="Z81" s="50">
        <f>'BGS PTY17 Cost Alloc'!Z81</f>
        <v>1797.5868825</v>
      </c>
      <c r="AA81" s="55"/>
      <c r="AB81" s="13">
        <f t="shared" si="13"/>
        <v>95.432166782985419</v>
      </c>
      <c r="AC81" s="13">
        <f t="shared" si="14"/>
        <v>348.99743779141465</v>
      </c>
    </row>
    <row r="82" spans="1:29" x14ac:dyDescent="0.2">
      <c r="A82" s="22"/>
      <c r="B82" s="28" t="s">
        <v>4</v>
      </c>
      <c r="C82" s="67">
        <v>32.630000000000003</v>
      </c>
      <c r="D82" s="162">
        <f>ROUND(C82*$H$308,3)</f>
        <v>34.475999999999999</v>
      </c>
      <c r="E82" s="67">
        <v>24.454999999999998</v>
      </c>
      <c r="F82" s="162">
        <f>ROUND(E82*$H$308,3)</f>
        <v>25.838999999999999</v>
      </c>
      <c r="H82" s="177">
        <f>H79</f>
        <v>0.94843214438785017</v>
      </c>
      <c r="I82" s="177">
        <f>I79</f>
        <v>0.93999822584674986</v>
      </c>
      <c r="L82" s="139"/>
      <c r="N82" s="51"/>
      <c r="O82" s="52"/>
      <c r="P82" s="114" t="s">
        <v>147</v>
      </c>
      <c r="Q82" s="53">
        <f>Q72-Q61</f>
        <v>24256.506099999999</v>
      </c>
      <c r="R82" s="47"/>
      <c r="S82" s="114" t="s">
        <v>147</v>
      </c>
      <c r="T82" s="53">
        <f>T72-T61</f>
        <v>12619.290399999998</v>
      </c>
      <c r="U82" s="48"/>
      <c r="V82" s="55">
        <f t="shared" si="11"/>
        <v>185127.79121019997</v>
      </c>
      <c r="W82" s="55">
        <f t="shared" si="12"/>
        <v>252576.0366887</v>
      </c>
      <c r="X82" s="50">
        <f>'BGS PTY17 Cost Alloc'!X82</f>
        <v>3390.7866438999999</v>
      </c>
      <c r="Y82" s="50">
        <f>'BGS PTY17 Cost Alloc'!Y82</f>
        <v>247463.7259516</v>
      </c>
      <c r="Z82" s="50">
        <f>'BGS PTY17 Cost Alloc'!Z82</f>
        <v>1721.5240931999999</v>
      </c>
      <c r="AA82" s="55"/>
      <c r="AB82" s="13">
        <f t="shared" si="13"/>
        <v>93.885571660946368</v>
      </c>
      <c r="AC82" s="13">
        <f t="shared" si="14"/>
        <v>343.81825623795362</v>
      </c>
    </row>
    <row r="83" spans="1:29" x14ac:dyDescent="0.2">
      <c r="A83" s="22"/>
      <c r="B83" s="28" t="s">
        <v>5</v>
      </c>
      <c r="C83" s="67">
        <v>32</v>
      </c>
      <c r="D83" s="162">
        <f>ROUND(C83*$H$308,3)</f>
        <v>33.811</v>
      </c>
      <c r="E83" s="67">
        <v>23.983000000000001</v>
      </c>
      <c r="F83" s="162">
        <f>ROUND(E83*$H$308,3)</f>
        <v>25.34</v>
      </c>
      <c r="H83" s="177">
        <f>H79</f>
        <v>0.94843214438785017</v>
      </c>
      <c r="I83" s="177">
        <f>I79</f>
        <v>0.93999822584674986</v>
      </c>
      <c r="L83" s="139"/>
      <c r="N83" s="51"/>
      <c r="O83" s="52"/>
      <c r="P83" s="114" t="s">
        <v>150</v>
      </c>
      <c r="Q83" s="140">
        <f>Q82*(E117-E118)</f>
        <v>269196.65525139408</v>
      </c>
      <c r="R83" s="47"/>
      <c r="S83" s="114" t="s">
        <v>150</v>
      </c>
      <c r="T83" s="140">
        <f>T82*(H117-H118)</f>
        <v>134057.48205198176</v>
      </c>
      <c r="U83" s="48"/>
      <c r="V83" s="55">
        <f t="shared" si="11"/>
        <v>182918.84607850006</v>
      </c>
      <c r="W83" s="55">
        <f t="shared" si="12"/>
        <v>248081.88894050001</v>
      </c>
      <c r="X83" s="50">
        <f>'BGS PTY17 Cost Alloc'!X83</f>
        <v>3364.2428441000002</v>
      </c>
      <c r="Y83" s="50">
        <f>'BGS PTY17 Cost Alloc'!Y83</f>
        <v>243071.34652980001</v>
      </c>
      <c r="Z83" s="50">
        <f>'BGS PTY17 Cost Alloc'!Z83</f>
        <v>1646.2995665999999</v>
      </c>
      <c r="AA83" s="55"/>
      <c r="AB83" s="13">
        <f t="shared" si="13"/>
        <v>92.344218628523635</v>
      </c>
      <c r="AC83" s="13">
        <f t="shared" si="14"/>
        <v>338.65651639047644</v>
      </c>
    </row>
    <row r="84" spans="1:29" x14ac:dyDescent="0.2">
      <c r="A84" s="22"/>
      <c r="B84" s="186" t="s">
        <v>6</v>
      </c>
      <c r="C84" s="223">
        <v>34.36</v>
      </c>
      <c r="D84" s="224">
        <f>ROUND(C84*$H$307,3)</f>
        <v>48.628999999999998</v>
      </c>
      <c r="E84" s="223">
        <v>22.251000000000001</v>
      </c>
      <c r="F84" s="225">
        <f>ROUND(E84*$H$307,3)</f>
        <v>31.492000000000001</v>
      </c>
      <c r="H84" s="128">
        <v>0.92205555346959389</v>
      </c>
      <c r="I84" s="129">
        <v>0.85639557945903599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11"/>
        <v>180805.08255919995</v>
      </c>
      <c r="W84" s="55">
        <f t="shared" si="12"/>
        <v>243778.8861458</v>
      </c>
      <c r="X84" s="50">
        <f>'BGS PTY17 Cost Alloc'!X84</f>
        <v>3361.7209757000001</v>
      </c>
      <c r="Y84" s="50">
        <f>'BGS PTY17 Cost Alloc'!Y84</f>
        <v>238844.36049319999</v>
      </c>
      <c r="Z84" s="50">
        <f>'BGS PTY17 Cost Alloc'!Z84</f>
        <v>1572.8046769</v>
      </c>
      <c r="AA84" s="55"/>
      <c r="AB84" s="13">
        <f t="shared" si="13"/>
        <v>90.868568902687841</v>
      </c>
      <c r="AC84" s="13">
        <f t="shared" si="14"/>
        <v>333.71539980231211</v>
      </c>
    </row>
    <row r="85" spans="1:29" x14ac:dyDescent="0.2">
      <c r="A85" s="22"/>
      <c r="B85" s="190" t="s">
        <v>7</v>
      </c>
      <c r="C85" s="226">
        <v>38.950000000000003</v>
      </c>
      <c r="D85" s="227">
        <f>ROUND(C85*$H$307,3)</f>
        <v>55.125</v>
      </c>
      <c r="E85" s="226">
        <v>25.224</v>
      </c>
      <c r="F85" s="228">
        <f>ROUND(E85*$H$307,3)</f>
        <v>35.698999999999998</v>
      </c>
      <c r="H85" s="175">
        <f t="shared" ref="H85:I87" si="15">H84</f>
        <v>0.92205555346959389</v>
      </c>
      <c r="I85" s="268">
        <f t="shared" si="15"/>
        <v>0.85639557945903599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1"/>
        <v>178641.35353369999</v>
      </c>
      <c r="W85" s="55">
        <f t="shared" si="12"/>
        <v>239342.6621208</v>
      </c>
      <c r="X85" s="50">
        <f>'BGS PTY17 Cost Alloc'!X85</f>
        <v>3333.7620565000002</v>
      </c>
      <c r="Y85" s="50">
        <f>'BGS PTY17 Cost Alloc'!Y85</f>
        <v>234511.71598469999</v>
      </c>
      <c r="Z85" s="50">
        <f>'BGS PTY17 Cost Alloc'!Z85</f>
        <v>1497.1840795999999</v>
      </c>
      <c r="AA85" s="55"/>
      <c r="AB85" s="13">
        <f t="shared" si="13"/>
        <v>89.349075440159794</v>
      </c>
      <c r="AC85" s="13">
        <f t="shared" si="14"/>
        <v>328.63494021434019</v>
      </c>
    </row>
    <row r="86" spans="1:29" x14ac:dyDescent="0.2">
      <c r="A86" s="22"/>
      <c r="B86" s="190" t="s">
        <v>8</v>
      </c>
      <c r="C86" s="226">
        <v>36</v>
      </c>
      <c r="D86" s="227">
        <f>ROUND(C86*$H$307,3)</f>
        <v>50.95</v>
      </c>
      <c r="E86" s="226">
        <v>23.312999999999999</v>
      </c>
      <c r="F86" s="228">
        <f>ROUND(E86*$H$307,3)</f>
        <v>32.994999999999997</v>
      </c>
      <c r="H86" s="175">
        <f t="shared" si="15"/>
        <v>0.92205555346959389</v>
      </c>
      <c r="I86" s="268">
        <f t="shared" si="15"/>
        <v>0.85639557945903599</v>
      </c>
      <c r="L86" s="139"/>
      <c r="N86" s="51"/>
      <c r="O86" s="52"/>
      <c r="P86" s="114" t="s">
        <v>147</v>
      </c>
      <c r="Q86" s="53">
        <f>Q76-Q65</f>
        <v>9096.4815000000017</v>
      </c>
      <c r="R86" s="47"/>
      <c r="S86" s="114" t="s">
        <v>147</v>
      </c>
      <c r="T86" s="53">
        <f>T76-T65</f>
        <v>6678.8824999999997</v>
      </c>
      <c r="U86" s="48"/>
      <c r="V86" s="55">
        <f t="shared" si="11"/>
        <v>176547.76464739998</v>
      </c>
      <c r="W86" s="55">
        <f t="shared" si="12"/>
        <v>235035.92444459998</v>
      </c>
      <c r="X86" s="50">
        <f>'BGS PTY17 Cost Alloc'!X86</f>
        <v>3285.9983014999998</v>
      </c>
      <c r="Y86" s="50">
        <f>'BGS PTY17 Cost Alloc'!Y86</f>
        <v>230325.223631</v>
      </c>
      <c r="Z86" s="50">
        <f>'BGS PTY17 Cost Alloc'!Z86</f>
        <v>1424.7025120999999</v>
      </c>
      <c r="AA86" s="55"/>
      <c r="AB86" s="13">
        <f t="shared" si="13"/>
        <v>87.874765050151893</v>
      </c>
      <c r="AC86" s="13">
        <f t="shared" si="14"/>
        <v>323.70892404184804</v>
      </c>
    </row>
    <row r="87" spans="1:29" x14ac:dyDescent="0.2">
      <c r="A87" s="22"/>
      <c r="B87" s="193" t="s">
        <v>9</v>
      </c>
      <c r="C87" s="229">
        <v>34.44</v>
      </c>
      <c r="D87" s="230">
        <f>ROUND(C87*$H$307,3)</f>
        <v>48.743000000000002</v>
      </c>
      <c r="E87" s="229">
        <v>22.303000000000001</v>
      </c>
      <c r="F87" s="231">
        <f>ROUND(E87*$H$307,3)</f>
        <v>31.565000000000001</v>
      </c>
      <c r="H87" s="176">
        <f t="shared" si="15"/>
        <v>0.92205555346959389</v>
      </c>
      <c r="I87" s="269">
        <f t="shared" si="15"/>
        <v>0.85639557945903599</v>
      </c>
      <c r="L87" s="139"/>
      <c r="N87" s="64"/>
      <c r="O87" s="65"/>
      <c r="P87" s="117" t="s">
        <v>150</v>
      </c>
      <c r="Q87" s="141">
        <f>Q86*(E113-E114)</f>
        <v>190397.40518312823</v>
      </c>
      <c r="R87" s="58"/>
      <c r="S87" s="117" t="s">
        <v>150</v>
      </c>
      <c r="T87" s="141">
        <f>T86*(H113-H114)</f>
        <v>139030.65028818019</v>
      </c>
      <c r="U87" s="59"/>
      <c r="AA87" s="55"/>
    </row>
    <row r="88" spans="1:29" x14ac:dyDescent="0.2">
      <c r="A88" s="22"/>
      <c r="B88" s="28" t="s">
        <v>10</v>
      </c>
      <c r="C88" s="67">
        <v>32.42</v>
      </c>
      <c r="D88" s="162">
        <f>ROUND(C88*$H$308,3)</f>
        <v>34.255000000000003</v>
      </c>
      <c r="E88" s="67">
        <v>24.297000000000001</v>
      </c>
      <c r="F88" s="162">
        <f>ROUND(E88*$H$308,3)</f>
        <v>25.672000000000001</v>
      </c>
      <c r="H88" s="177">
        <f>H79</f>
        <v>0.94843214438785017</v>
      </c>
      <c r="I88" s="177">
        <f>I79</f>
        <v>0.93999822584674986</v>
      </c>
      <c r="L88" s="139"/>
    </row>
    <row r="89" spans="1:29" x14ac:dyDescent="0.2">
      <c r="A89" s="22"/>
      <c r="B89" s="28" t="s">
        <v>11</v>
      </c>
      <c r="C89" s="67">
        <v>32.43</v>
      </c>
      <c r="D89" s="162">
        <f>ROUND(C89*$H$308,3)</f>
        <v>34.265000000000001</v>
      </c>
      <c r="E89" s="67">
        <v>24.305</v>
      </c>
      <c r="F89" s="162">
        <f>ROUND(E89*$H$308,3)</f>
        <v>25.68</v>
      </c>
      <c r="H89" s="177">
        <f>H79</f>
        <v>0.94843214438785017</v>
      </c>
      <c r="I89" s="177">
        <f>I79</f>
        <v>0.93999822584674986</v>
      </c>
      <c r="L89" s="139"/>
    </row>
    <row r="90" spans="1:29" x14ac:dyDescent="0.2">
      <c r="A90" s="22"/>
      <c r="B90" s="28" t="s">
        <v>12</v>
      </c>
      <c r="C90" s="67">
        <v>36.58</v>
      </c>
      <c r="D90" s="162">
        <f>ROUND(C90*$H$308,3)</f>
        <v>38.65</v>
      </c>
      <c r="E90" s="67">
        <v>27.414999999999999</v>
      </c>
      <c r="F90" s="162">
        <f>ROUND(E90*$H$308,3)</f>
        <v>28.966000000000001</v>
      </c>
      <c r="G90" s="70"/>
      <c r="H90" s="177">
        <f>H79</f>
        <v>0.94843214438785017</v>
      </c>
      <c r="I90" s="177">
        <f>I79</f>
        <v>0.93999822584674986</v>
      </c>
      <c r="L90" s="139"/>
    </row>
    <row r="91" spans="1:29" x14ac:dyDescent="0.2">
      <c r="A91" s="22"/>
      <c r="B91" s="28"/>
      <c r="C91" s="69"/>
      <c r="D91" s="69"/>
      <c r="G91" s="70"/>
      <c r="K91" s="70"/>
      <c r="X91" s="13" t="s">
        <v>210</v>
      </c>
    </row>
    <row r="92" spans="1:29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x14ac:dyDescent="0.2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x14ac:dyDescent="0.2">
      <c r="A94" s="22"/>
      <c r="B94" s="28" t="s">
        <v>23</v>
      </c>
      <c r="C94" s="72"/>
      <c r="D94" s="72"/>
      <c r="E94" s="154">
        <f>'BGS PTY17 Cost Alloc'!E94</f>
        <v>0.105545</v>
      </c>
      <c r="F94" s="154">
        <f>'BGS PTY17 Cost Alloc'!F94</f>
        <v>0.105545</v>
      </c>
      <c r="G94" s="154">
        <f>'BGS PTY17 Cost Alloc'!G94</f>
        <v>0.105545</v>
      </c>
      <c r="H94" s="154">
        <f>'BGS PTY17 Cost Alloc'!H94</f>
        <v>0.105545</v>
      </c>
      <c r="I94" s="154">
        <f>'BGS PTY17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x14ac:dyDescent="0.2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x14ac:dyDescent="0.2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29" x14ac:dyDescent="0.2">
      <c r="A97" s="22"/>
      <c r="B97" s="237" t="s">
        <v>267</v>
      </c>
      <c r="C97" s="242"/>
      <c r="D97" s="242"/>
      <c r="E97" s="246">
        <f>ROUND(1-1/E98,6)</f>
        <v>9.9324999999999997E-2</v>
      </c>
      <c r="F97" s="246">
        <f>ROUND(1-1/F98,6)</f>
        <v>9.9324999999999997E-2</v>
      </c>
      <c r="G97" s="246">
        <f>ROUND(1-1/G98,6)</f>
        <v>9.9324999999999997E-2</v>
      </c>
      <c r="H97" s="246">
        <f>ROUND(1-1/H98,6)</f>
        <v>9.9324999999999997E-2</v>
      </c>
      <c r="I97" s="246">
        <f>ROUND(1-1/I98,6)</f>
        <v>9.9324999999999997E-2</v>
      </c>
      <c r="J97" s="73"/>
      <c r="K97" s="73"/>
      <c r="L97" s="73"/>
      <c r="M97" s="73"/>
    </row>
    <row r="98" spans="1:29" ht="12" customHeight="1" x14ac:dyDescent="0.2">
      <c r="A98" s="22"/>
      <c r="B98" s="237" t="s">
        <v>266</v>
      </c>
      <c r="C98" s="242"/>
      <c r="D98" s="242"/>
      <c r="E98" s="242">
        <v>1.1102789567315661</v>
      </c>
      <c r="F98" s="242">
        <v>1.1102789567315661</v>
      </c>
      <c r="G98" s="242">
        <v>1.1102789567315661</v>
      </c>
      <c r="H98" s="242">
        <v>1.1102789567315661</v>
      </c>
      <c r="I98" s="242">
        <v>1.1102789567315661</v>
      </c>
      <c r="J98" s="73"/>
      <c r="K98" s="73"/>
      <c r="L98" s="73"/>
      <c r="M98" s="47"/>
      <c r="N98" s="47"/>
      <c r="O98" s="47"/>
      <c r="P98" s="47"/>
      <c r="Q98" s="158"/>
      <c r="R98" s="158"/>
      <c r="S98" s="158"/>
      <c r="T98" s="47"/>
      <c r="U98" s="47"/>
      <c r="V98" s="47"/>
      <c r="W98" s="47"/>
      <c r="X98" s="47"/>
      <c r="Y98" s="47"/>
      <c r="Z98" s="47"/>
      <c r="AA98" s="47"/>
      <c r="AB98" s="47"/>
      <c r="AC98" s="47"/>
    </row>
    <row r="99" spans="1:29" x14ac:dyDescent="0.2">
      <c r="A99" s="22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47"/>
      <c r="U99" s="47"/>
      <c r="V99" s="47"/>
      <c r="W99" s="47"/>
      <c r="X99" s="47"/>
      <c r="Y99" s="47"/>
      <c r="Z99" s="47"/>
      <c r="AA99" s="47"/>
      <c r="AB99" s="47"/>
      <c r="AC99" s="47"/>
    </row>
    <row r="100" spans="1:29" x14ac:dyDescent="0.2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</row>
    <row r="101" spans="1:29" x14ac:dyDescent="0.2">
      <c r="A101" s="22"/>
      <c r="B101" s="36" t="s">
        <v>286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1:29" x14ac:dyDescent="0.2">
      <c r="A102" s="22"/>
      <c r="B102" s="36" t="str">
        <f>'BGS PTY17 Cost Alloc'!$B$102</f>
        <v xml:space="preserve"> 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1:29" ht="15.75" x14ac:dyDescent="0.25">
      <c r="A103" s="22"/>
      <c r="B103" s="435" t="str">
        <f>$B$1</f>
        <v xml:space="preserve">Jersey Central Power &amp; Light </v>
      </c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1:29" ht="15.75" x14ac:dyDescent="0.25">
      <c r="A104" s="22"/>
      <c r="B104" s="435" t="str">
        <f>$B$2</f>
        <v>Attachment 2</v>
      </c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</row>
    <row r="105" spans="1:29" x14ac:dyDescent="0.2">
      <c r="A105" s="2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</row>
    <row r="106" spans="1:29" x14ac:dyDescent="0.2">
      <c r="A106" s="22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</row>
    <row r="107" spans="1:29" x14ac:dyDescent="0.2">
      <c r="A107" s="18" t="s">
        <v>34</v>
      </c>
      <c r="B107" s="16" t="s">
        <v>51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</row>
    <row r="108" spans="1:29" x14ac:dyDescent="0.2">
      <c r="A108" s="22"/>
      <c r="B108" s="17" t="s">
        <v>171</v>
      </c>
      <c r="M108" s="47"/>
      <c r="N108" s="47"/>
      <c r="O108" s="47"/>
      <c r="P108" s="47"/>
      <c r="Q108" s="47"/>
      <c r="R108" s="47"/>
      <c r="S108" s="415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</row>
    <row r="109" spans="1:29" x14ac:dyDescent="0.2">
      <c r="A109" s="22"/>
      <c r="B109" s="17" t="s">
        <v>21</v>
      </c>
      <c r="M109" s="47"/>
      <c r="N109" s="47"/>
      <c r="O109" s="47"/>
      <c r="P109" s="47"/>
      <c r="Q109" s="47"/>
      <c r="R109" s="47"/>
      <c r="S109" s="380"/>
      <c r="T109" s="47"/>
      <c r="U109" s="47"/>
      <c r="V109" s="47"/>
      <c r="W109" s="47"/>
      <c r="X109" s="47"/>
      <c r="Y109" s="47"/>
      <c r="Z109" s="47"/>
      <c r="AA109" s="47"/>
      <c r="AB109" s="47"/>
      <c r="AC109" s="415"/>
    </row>
    <row r="110" spans="1:29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416"/>
      <c r="O110" s="47"/>
      <c r="P110" s="131"/>
      <c r="Q110" s="47"/>
      <c r="R110" s="47"/>
      <c r="S110" s="47"/>
      <c r="T110" s="47"/>
      <c r="U110" s="47"/>
      <c r="V110" s="47"/>
      <c r="W110" s="420"/>
      <c r="X110" s="47"/>
      <c r="Y110" s="47"/>
      <c r="Z110" s="47"/>
      <c r="AA110" s="47"/>
      <c r="AB110" s="47"/>
      <c r="AC110" s="423"/>
    </row>
    <row r="111" spans="1:29" x14ac:dyDescent="0.2">
      <c r="A111" s="22"/>
      <c r="M111" s="47"/>
      <c r="N111" s="47"/>
      <c r="O111" s="47"/>
      <c r="P111" s="47"/>
      <c r="Q111" s="47"/>
      <c r="R111" s="114"/>
      <c r="S111" s="417"/>
      <c r="T111" s="47"/>
      <c r="U111" s="47"/>
      <c r="V111" s="47"/>
      <c r="W111" s="44"/>
      <c r="X111" s="416"/>
      <c r="Y111" s="47"/>
      <c r="Z111" s="131"/>
      <c r="AA111" s="47"/>
      <c r="AB111" s="47"/>
      <c r="AC111" s="47"/>
    </row>
    <row r="112" spans="1:29" x14ac:dyDescent="0.2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42.467795018900581</v>
      </c>
      <c r="F112" s="75">
        <f>(SUMPRODUCT(F20:F23,F65:F68,$D84:$D87,$H84:$H87)*F95+SUMPRODUCT(R20:R23,F65:F68,$F84:$F87,$I84:$I87)*F95)/SUM(F65:F68)</f>
        <v>42.471303651040728</v>
      </c>
      <c r="G112" s="75">
        <f>(SUMPRODUCT(G20:G23,G65:G68,$D84:$D87,$H84:$H87)*G95+SUMPRODUCT(S20:S23,G65:G68,$F84:$F87,$I84:$I87)*G95)/SUM(G65:G68)</f>
        <v>43.885805334601294</v>
      </c>
      <c r="H112" s="75">
        <f>(SUMPRODUCT(H20:H23,H65:H68,$D84:$D87,$H84:$H87)*H95+SUMPRODUCT(T20:T23,H65:H68,$F84:$F87,$I84:$I87)*H95)/SUM(H65:H68)</f>
        <v>43.666807567122447</v>
      </c>
      <c r="I112" s="75">
        <f>(SUMPRODUCT(I20:I23,I65:I68,$D84:$D87,$H84:$H87)*I95+SUMPRODUCT(U20:U23,I65:I68,$F84:$F87,$I84:$I87)*I95)/SUM(I65:I68)</f>
        <v>36.898191910842407</v>
      </c>
      <c r="J112" s="76"/>
      <c r="K112" s="74"/>
      <c r="L112" s="74"/>
      <c r="M112" s="418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334"/>
      <c r="AA112" s="47"/>
      <c r="AB112" s="114"/>
      <c r="AC112" s="417"/>
    </row>
    <row r="113" spans="1:29" x14ac:dyDescent="0.2">
      <c r="A113" s="22"/>
      <c r="B113" s="77" t="s">
        <v>41</v>
      </c>
      <c r="C113" s="74"/>
      <c r="D113" s="74"/>
      <c r="E113" s="75">
        <f>(SUMPRODUCT(E20:E23,E65:E68,$D84:$D87,$H84:$H87)*E95)/SUMPRODUCT(E20:E23,E65:E68)</f>
        <v>52.587397233345982</v>
      </c>
      <c r="F113" s="75">
        <f>(SUMPRODUCT(F20:F23,F65:F68,$D84:$D87,$H84:$H87)*F95)/SUMPRODUCT(F20:F23,F65:F68)</f>
        <v>52.655153842925934</v>
      </c>
      <c r="G113" s="75">
        <f>(SUMPRODUCT(G20:G23,G65:G68,$D84:$D87,$H84:$H87)*G95)/SUMPRODUCT(G20:G23,G65:G68)</f>
        <v>52.456258214800144</v>
      </c>
      <c r="H113" s="75">
        <f>(SUMPRODUCT(H20:H23,H65:H68,$D84:$D87,$H84:$H87)*H95)/SUMPRODUCT(H20:H23,H65:H68)</f>
        <v>52.396151178367425</v>
      </c>
      <c r="I113" s="75">
        <f>(SUMPRODUCT(I20:I23,I65:I68,$D84:$D87,$H84:$H87)*I95)/SUMPRODUCT(I20:I23,I65:I68)</f>
        <v>52.311014088938265</v>
      </c>
      <c r="J113" s="76"/>
      <c r="K113" s="74"/>
      <c r="L113" s="74"/>
      <c r="M113" s="418"/>
      <c r="N113" s="47"/>
      <c r="O113" s="47"/>
      <c r="P113" s="47"/>
      <c r="Q113" s="47"/>
      <c r="R113" s="47"/>
      <c r="S113" s="4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</row>
    <row r="114" spans="1:29" x14ac:dyDescent="0.2">
      <c r="A114" s="22"/>
      <c r="B114" s="77" t="s">
        <v>42</v>
      </c>
      <c r="C114" s="74"/>
      <c r="D114" s="74"/>
      <c r="E114" s="75">
        <f>(SUMPRODUCT(Q20:Q23,E65:E68,$F84:$F87,$I84:$I87)*E95)/SUMPRODUCT(Q20:Q23,E65:E68)</f>
        <v>31.656512562923886</v>
      </c>
      <c r="F114" s="75">
        <f>(SUMPRODUCT(R20:R23,F65:F68,$F84:$F87,$I84:$I87)*F95)/SUMPRODUCT(R20:R23,F65:F68)</f>
        <v>31.674474840452845</v>
      </c>
      <c r="G114" s="75">
        <f>(SUMPRODUCT(S20:S23,G65:G68,$F84:$F87,$I84:$I87)*G95)/SUMPRODUCT(S20:S23,G65:G68)</f>
        <v>31.625235659713319</v>
      </c>
      <c r="H114" s="75">
        <f>(SUMPRODUCT(T20:T23,H65:H68,$F84:$F87,$I84:$I87)*H95)/SUMPRODUCT(T20:T23,H65:H68)</f>
        <v>31.579697185026443</v>
      </c>
      <c r="I114" s="75">
        <f>(SUMPRODUCT(U20:U23,I65:I68,$F84:$F87,$I84:$I87)*I95)/SUMPRODUCT(U20:U23,I65:I68)</f>
        <v>31.561529596060439</v>
      </c>
      <c r="J114" s="76"/>
      <c r="K114" s="74"/>
      <c r="L114" s="74"/>
      <c r="M114" s="44"/>
      <c r="N114" s="416"/>
      <c r="O114" s="47"/>
      <c r="P114" s="131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</row>
    <row r="115" spans="1:29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  <c r="M115" s="47"/>
      <c r="N115" s="47"/>
      <c r="O115" s="47"/>
      <c r="P115" s="47"/>
      <c r="Q115" s="47"/>
      <c r="R115" s="114"/>
      <c r="S115" s="41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</row>
    <row r="116" spans="1:29" x14ac:dyDescent="0.2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37.514262046577173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36.646191183773873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37.311855731399362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37.32762216684776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34.13646519455105</v>
      </c>
      <c r="J116" s="76"/>
      <c r="K116" s="74"/>
      <c r="L116" s="74"/>
      <c r="M116" s="419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</row>
    <row r="117" spans="1:29" x14ac:dyDescent="0.2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43.110974069861442</v>
      </c>
      <c r="F117" s="75">
        <f>(SUMPRODUCT(F15:F19,F60:F64,$D79:$D83,$H79:$H83)*F95+SUMPRODUCT(F24:F26,F69:F71,$D88:$D90,$H88:$H90)*F95)/(SUMPRODUCT(F15:F19,F60:F64)+SUMPRODUCT(F24:F26,F69:F71))</f>
        <v>42.398215571731832</v>
      </c>
      <c r="G117" s="75">
        <f>(SUMPRODUCT(G15:G19,G60:G64,$D79:$D83,$H79:$H83)*G95+SUMPRODUCT(G24:G26,G69:G71,$D88:$D90,$H88:$H90)*G95)/(SUMPRODUCT(G15:G19,G60:G64)+SUMPRODUCT(G24:G26,G69:G71))</f>
        <v>41.774794792030576</v>
      </c>
      <c r="H117" s="75">
        <f>(SUMPRODUCT(H15:H19,H60:H64,$D79:$D83,$H79:$H83)*H95+SUMPRODUCT(H24:H26,H69:H71,$D88:$D90,$H88:$H90)*H95)/(SUMPRODUCT(H15:H19,H60:H64)+SUMPRODUCT(H24:H26,H69:H71))</f>
        <v>42.053073244025214</v>
      </c>
      <c r="I117" s="75">
        <f>(SUMPRODUCT(I15:I19,I60:I64,$D79:$D83,$H79:$H83)*I95+SUMPRODUCT(I24:I26,I69:I71,$D88:$D90,$H88:$H90)*I95)/(SUMPRODUCT(I15:I19,I60:I64)+SUMPRODUCT(I24:I26,I69:I71))</f>
        <v>41.914179349997184</v>
      </c>
      <c r="J117" s="76"/>
      <c r="K117" s="74"/>
      <c r="L117" s="74"/>
      <c r="M117" s="418"/>
      <c r="N117" s="47"/>
      <c r="O117" s="47"/>
      <c r="P117" s="47"/>
      <c r="Q117" s="47"/>
      <c r="R117" s="47"/>
      <c r="S117" s="423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</row>
    <row r="118" spans="1:29" x14ac:dyDescent="0.2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32.013058560447078</v>
      </c>
      <c r="F118" s="75">
        <f>(SUMPRODUCT(R15:R19,F60:F64,$F79:$F83,$I79:$I83)*F95+SUMPRODUCT(R24:R26,F69:F71,$F88:$F90,$I88:$I90)*F95)/(SUMPRODUCT(R15:R19,F60:F64)+SUMPRODUCT(R24:R26,F69:F71))</f>
        <v>31.515281987606645</v>
      </c>
      <c r="G118" s="75">
        <f>(SUMPRODUCT(S15:S19,G60:G64,$F79:$F83,$I79:$I83)*G95+SUMPRODUCT(S24:S26,G69:G71,$F88:$F90,$I88:$I90)*G95)/(SUMPRODUCT(S15:S19,G60:G64)+SUMPRODUCT(S24:S26,G69:G71))</f>
        <v>31.236272028645331</v>
      </c>
      <c r="H118" s="75">
        <f>(SUMPRODUCT(T15:T19,H60:H64,$F79:$F83,$I79:$I83)*H95+SUMPRODUCT(T24:T26,H69:H71,$F88:$F90,$I88:$I90)*H95)/(SUMPRODUCT(T15:T19,H60:H64)+SUMPRODUCT(T24:T26,H69:H71))</f>
        <v>31.429854520729823</v>
      </c>
      <c r="I118" s="75">
        <f>(SUMPRODUCT(U15:U19,I60:I64,$F79:$F83,$I79:$I83)*I95+SUMPRODUCT(U24:U26,I69:I71,$F88:$F90,$I88:$I90)*I95)/(SUMPRODUCT(U15:U19,I60:I64)+SUMPRODUCT(U24:U26,I69:I71))</f>
        <v>30.844946677435427</v>
      </c>
      <c r="J118" s="76"/>
      <c r="K118" s="74"/>
      <c r="L118" s="74"/>
      <c r="M118" s="44"/>
      <c r="N118" s="416"/>
      <c r="O118" s="47"/>
      <c r="P118" s="131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</row>
    <row r="119" spans="1:29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  <c r="M119" s="47"/>
      <c r="N119" s="47"/>
      <c r="O119" s="47"/>
      <c r="P119" s="47"/>
      <c r="Q119" s="47"/>
      <c r="R119" s="114"/>
      <c r="S119" s="41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x14ac:dyDescent="0.2">
      <c r="A120" s="22"/>
      <c r="B120" s="13" t="s">
        <v>16</v>
      </c>
      <c r="C120" s="74"/>
      <c r="D120" s="78"/>
      <c r="E120" s="79">
        <f>(E112*SUM(E65:E68)+E116*SUM(E60:E64,E69:E71))/E72</f>
        <v>39.109612803878093</v>
      </c>
      <c r="F120" s="79">
        <f>(F112*SUM(F65:F68)+F116*SUM(F60:F64,F69:F71))/F72</f>
        <v>39.061472292955301</v>
      </c>
      <c r="G120" s="79">
        <f>(G112*SUM(G65:G68)+G116*SUM(G60:G64,G69:G71))/G72</f>
        <v>39.721594577642044</v>
      </c>
      <c r="H120" s="79">
        <f>(H112*SUM(H65:H68)+H116*SUM(H60:H64,H69:H71))/H72</f>
        <v>39.53254137431977</v>
      </c>
      <c r="I120" s="79">
        <f>(I112*SUM(I65:I68)+I116*SUM(I60:I64,I69:I71))/I72</f>
        <v>35.056546204052744</v>
      </c>
      <c r="J120" s="76"/>
      <c r="K120" s="78"/>
      <c r="L120" s="78"/>
      <c r="M120" s="418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</row>
    <row r="121" spans="1:29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418"/>
      <c r="N121" s="47"/>
      <c r="O121" s="47"/>
      <c r="P121" s="47"/>
      <c r="Q121" s="47"/>
      <c r="R121" s="47"/>
      <c r="S121" s="423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</row>
    <row r="122" spans="1:29" x14ac:dyDescent="0.2">
      <c r="A122" s="22"/>
      <c r="B122" s="13" t="s">
        <v>44</v>
      </c>
      <c r="C122" s="80">
        <f>SUMPRODUCT(C120:I120,C72:I72)/SUM(C72:I72)</f>
        <v>39.293039718540207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416"/>
      <c r="O122" s="47"/>
      <c r="P122" s="131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</row>
    <row r="123" spans="1:29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41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</row>
    <row r="124" spans="1:29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418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</row>
    <row r="125" spans="1:29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420"/>
      <c r="N125" s="47"/>
      <c r="O125" s="47"/>
      <c r="P125" s="47"/>
      <c r="Q125" s="47"/>
      <c r="R125" s="47"/>
      <c r="S125" s="423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1:29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416"/>
      <c r="O126" s="47"/>
      <c r="P126" s="131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1:29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41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1:29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29" x14ac:dyDescent="0.2">
      <c r="A129" s="22"/>
      <c r="C129" s="81"/>
      <c r="M129" s="420"/>
      <c r="N129" s="47"/>
      <c r="O129" s="47"/>
      <c r="P129" s="47"/>
      <c r="Q129" s="47"/>
      <c r="R129" s="47"/>
      <c r="S129" s="423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</row>
    <row r="130" spans="1:29" x14ac:dyDescent="0.2">
      <c r="A130" s="22"/>
      <c r="B130" s="28" t="s">
        <v>17</v>
      </c>
      <c r="C130" s="76"/>
      <c r="D130" s="76"/>
      <c r="E130" s="76">
        <f>SUM(E65:E68)*E112/1000</f>
        <v>3297.3270086524981</v>
      </c>
      <c r="F130" s="76">
        <f>SUM(F65:F68)*F112/1000</f>
        <v>159523.70300893678</v>
      </c>
      <c r="G130" s="76">
        <f>SUM(G65:G68)*G112/1000</f>
        <v>96955.988123822608</v>
      </c>
      <c r="H130" s="76">
        <f>SUM(H65:H68)*H112/1000</f>
        <v>2537.9585226087238</v>
      </c>
      <c r="I130" s="76">
        <f>SUM(I65:I68)*I112/1000</f>
        <v>1395.7848036033465</v>
      </c>
      <c r="J130" s="76">
        <f>SUM(E130:I130)</f>
        <v>263710.76146762399</v>
      </c>
      <c r="K130" s="76"/>
      <c r="L130" s="76"/>
      <c r="M130" s="44"/>
      <c r="N130" s="416"/>
      <c r="O130" s="47"/>
      <c r="P130" s="131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</row>
    <row r="131" spans="1:29" x14ac:dyDescent="0.2">
      <c r="A131" s="22"/>
      <c r="B131" s="77" t="s">
        <v>41</v>
      </c>
      <c r="C131" s="76"/>
      <c r="D131" s="76"/>
      <c r="E131" s="76">
        <f>SUMPRODUCT(E65:E68,E20:E23)*E113/1000</f>
        <v>2108.9855929058226</v>
      </c>
      <c r="F131" s="76">
        <f>SUMPRODUCT(F65:F68,F20:F23)*F113/1000</f>
        <v>101776.4252188426</v>
      </c>
      <c r="G131" s="76">
        <f>SUMPRODUCT(G65:G68,G20:G23)*G113/1000</f>
        <v>68209.981770512706</v>
      </c>
      <c r="H131" s="76">
        <f>SUMPRODUCT(H65:H68,H20:H23)*H113/1000</f>
        <v>1768.2684642158449</v>
      </c>
      <c r="I131" s="76">
        <f>SUMPRODUCT(I65:I68,I20:I23)*I113/1000</f>
        <v>508.9427489436755</v>
      </c>
      <c r="J131" s="76">
        <f>SUM(E131:I131)</f>
        <v>174372.60379542064</v>
      </c>
      <c r="K131" s="76"/>
      <c r="L131" s="76"/>
      <c r="M131" s="47"/>
      <c r="N131" s="47"/>
      <c r="O131" s="47"/>
      <c r="P131" s="47"/>
      <c r="Q131" s="47"/>
      <c r="R131" s="114"/>
      <c r="S131" s="41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</row>
    <row r="132" spans="1:29" x14ac:dyDescent="0.2">
      <c r="A132" s="22"/>
      <c r="B132" s="77" t="s">
        <v>42</v>
      </c>
      <c r="C132" s="76"/>
      <c r="D132" s="76"/>
      <c r="E132" s="76">
        <f>SUMPRODUCT(E65:E68,Q20:Q23)*E114/1000</f>
        <v>1188.341415746675</v>
      </c>
      <c r="F132" s="76">
        <f>SUMPRODUCT(F65:F68,R20:R23)*F114/1000</f>
        <v>57747.277790094136</v>
      </c>
      <c r="G132" s="76">
        <f>SUMPRODUCT(G65:G68,S20:S23)*G114/1000</f>
        <v>28746.006353309913</v>
      </c>
      <c r="H132" s="76">
        <f>SUMPRODUCT(H65:H68,T20:T23)*H114/1000</f>
        <v>769.690058392879</v>
      </c>
      <c r="I132" s="76">
        <f>SUMPRODUCT(I65:I68,U20:U23)*I114/1000</f>
        <v>886.84205465967102</v>
      </c>
      <c r="J132" s="76">
        <f>SUM(E132:I132)</f>
        <v>89338.157672203277</v>
      </c>
      <c r="K132" s="76"/>
      <c r="L132" s="76"/>
      <c r="M132" s="422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</row>
    <row r="133" spans="1:29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  <c r="M133" s="420"/>
      <c r="N133" s="47"/>
      <c r="O133" s="47"/>
      <c r="P133" s="47"/>
      <c r="Q133" s="47"/>
      <c r="R133" s="47"/>
      <c r="S133" s="423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</row>
    <row r="134" spans="1:29" x14ac:dyDescent="0.2">
      <c r="A134" s="22"/>
      <c r="B134" s="28" t="s">
        <v>18</v>
      </c>
      <c r="C134" s="82"/>
      <c r="D134" s="82"/>
      <c r="E134" s="82">
        <f>SUM(E60:E64,E69:E71)*E116/1000</f>
        <v>6131.2184461064326</v>
      </c>
      <c r="F134" s="82">
        <f>SUM(F60:F64,F69:F71)*F116/1000</f>
        <v>194322.76854303575</v>
      </c>
      <c r="G134" s="82">
        <f>SUM(G60:G64,G69:G71)*G116/1000</f>
        <v>142449.24012319223</v>
      </c>
      <c r="H134" s="82">
        <f>SUM(H60:H64,H69:H71)*H116/1000</f>
        <v>4067.8896084987355</v>
      </c>
      <c r="I134" s="82">
        <f>SUM(I60:I64,I69:I71)*I116/1000</f>
        <v>2584.7107351358222</v>
      </c>
      <c r="J134" s="76">
        <f>SUM(E134:I134)</f>
        <v>349555.827455969</v>
      </c>
      <c r="K134" s="82"/>
      <c r="L134" s="82"/>
      <c r="M134" s="44"/>
      <c r="N134" s="416"/>
      <c r="O134" s="47"/>
      <c r="P134" s="131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</row>
    <row r="135" spans="1:29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3492.6455444603216</v>
      </c>
      <c r="F135" s="76">
        <f>(SUMPRODUCT(F60:F64,F15:F19)+SUMPRODUCT(F69:F71,F24:F26))*F117/1000</f>
        <v>105996.31692810568</v>
      </c>
      <c r="G135" s="76">
        <f>(SUMPRODUCT(G60:G64,G15:G19)+SUMPRODUCT(G69:G71,G24:G26))*G117/1000</f>
        <v>91946.644159328338</v>
      </c>
      <c r="H135" s="76">
        <f>(SUMPRODUCT(H60:H64,H15:H19)+SUMPRODUCT(H69:H71,H24:H26))*H117/1000</f>
        <v>2544.2987717229175</v>
      </c>
      <c r="I135" s="76">
        <f>(SUMPRODUCT(I60:I64,I15:I19)+SUMPRODUCT(I69:I71,I24:I26))*I117/1000</f>
        <v>943.69825522675671</v>
      </c>
      <c r="J135" s="76">
        <f>SUM(E135:I135)</f>
        <v>204923.60365884399</v>
      </c>
      <c r="K135" s="76"/>
      <c r="L135" s="76"/>
      <c r="M135" s="47"/>
      <c r="N135" s="47"/>
      <c r="O135" s="47"/>
      <c r="P135" s="334"/>
      <c r="Q135" s="47"/>
      <c r="R135" s="114"/>
      <c r="S135" s="41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1:29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2638.5729016461128</v>
      </c>
      <c r="F136" s="76">
        <f>+(SUMPRODUCT(F60:F64,R15:R19)+SUMPRODUCT(F69:F71,R24:R26))*F118/1000</f>
        <v>88326.451614930047</v>
      </c>
      <c r="G136" s="76">
        <f>+(SUMPRODUCT(G60:G64,S15:S19)+SUMPRODUCT(G69:G71,S24:S26))*G118/1000</f>
        <v>50502.595963863874</v>
      </c>
      <c r="H136" s="76">
        <f>+(SUMPRODUCT(H60:H64,T15:T19)+SUMPRODUCT(H69:H71,T24:T26))*H118/1000</f>
        <v>1523.5908367758175</v>
      </c>
      <c r="I136" s="76">
        <f>+(SUMPRODUCT(I60:I64,U15:U19)+SUMPRODUCT(I69:I71,U24:U26))*I118/1000</f>
        <v>1641.0124799090647</v>
      </c>
      <c r="J136" s="76">
        <f>SUM(E136:I136)</f>
        <v>144632.2237971249</v>
      </c>
      <c r="K136" s="76"/>
      <c r="L136" s="76"/>
      <c r="M136" s="422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</row>
    <row r="137" spans="1:29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  <c r="M137" s="420"/>
      <c r="N137" s="47"/>
      <c r="O137" s="47"/>
      <c r="P137" s="47"/>
      <c r="Q137" s="47"/>
      <c r="R137" s="47"/>
      <c r="S137" s="423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</row>
    <row r="138" spans="1:29" x14ac:dyDescent="0.2">
      <c r="A138" s="22"/>
      <c r="B138" s="13" t="s">
        <v>16</v>
      </c>
      <c r="C138" s="82"/>
      <c r="D138" s="82"/>
      <c r="E138" s="82">
        <f>+E130+E134</f>
        <v>9428.5454547589306</v>
      </c>
      <c r="F138" s="82">
        <f>+F130+F134</f>
        <v>353846.47155197256</v>
      </c>
      <c r="G138" s="82">
        <f>+G130+G134</f>
        <v>239405.22824701483</v>
      </c>
      <c r="H138" s="82">
        <f>+H130+H134</f>
        <v>6605.8481311074593</v>
      </c>
      <c r="I138" s="82">
        <f>+I130+I134</f>
        <v>3980.4955387391688</v>
      </c>
      <c r="J138" s="76">
        <f>SUM(E138:I138)</f>
        <v>613266.58892359294</v>
      </c>
      <c r="K138" s="82"/>
      <c r="L138" s="82"/>
      <c r="M138" s="44"/>
      <c r="N138" s="416"/>
      <c r="O138" s="47"/>
      <c r="P138" s="131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</row>
    <row r="139" spans="1:29" x14ac:dyDescent="0.2">
      <c r="A139" s="22"/>
      <c r="M139" s="47"/>
      <c r="N139" s="47"/>
      <c r="O139" s="47"/>
      <c r="P139" s="334"/>
      <c r="Q139" s="47"/>
      <c r="R139" s="114"/>
      <c r="S139" s="41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</row>
    <row r="140" spans="1:29" x14ac:dyDescent="0.2">
      <c r="A140" s="22"/>
      <c r="B140" s="13" t="s">
        <v>44</v>
      </c>
      <c r="C140" s="76">
        <f>SUM(C138:I138)</f>
        <v>613266.58892359294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1:29" x14ac:dyDescent="0.2">
      <c r="A141" s="22"/>
      <c r="M141" s="420"/>
      <c r="N141" s="47"/>
      <c r="O141" s="47"/>
      <c r="P141" s="47"/>
      <c r="Q141" s="47"/>
      <c r="R141" s="47"/>
      <c r="S141" s="423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</row>
    <row r="142" spans="1:29" x14ac:dyDescent="0.2">
      <c r="A142" s="22"/>
      <c r="M142" s="44"/>
      <c r="N142" s="416"/>
      <c r="O142" s="47"/>
      <c r="P142" s="131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</row>
    <row r="143" spans="1:29" ht="15.75" x14ac:dyDescent="0.25">
      <c r="A143" s="22"/>
      <c r="B143" s="435" t="str">
        <f>$B$1</f>
        <v xml:space="preserve">Jersey Central Power &amp; Light </v>
      </c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7"/>
      <c r="N143" s="47"/>
      <c r="O143" s="47"/>
      <c r="P143" s="334"/>
      <c r="Q143" s="47"/>
      <c r="R143" s="114"/>
      <c r="S143" s="41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</row>
    <row r="144" spans="1:29" ht="15.75" x14ac:dyDescent="0.25">
      <c r="A144" s="22"/>
      <c r="B144" s="435" t="str">
        <f>$B$2</f>
        <v>Attachment 2</v>
      </c>
      <c r="C144" s="435"/>
      <c r="D144" s="435"/>
      <c r="E144" s="435"/>
      <c r="F144" s="435"/>
      <c r="G144" s="435"/>
      <c r="H144" s="435"/>
      <c r="I144" s="435"/>
      <c r="J144" s="435"/>
      <c r="K144" s="435"/>
      <c r="L144" s="435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42.467795018900588</v>
      </c>
      <c r="F152" s="75">
        <f>+F130/SUM(F65:F68)*1000</f>
        <v>42.471303651040728</v>
      </c>
      <c r="G152" s="75">
        <f>+G130/SUM(G65:G68)*1000</f>
        <v>43.885805334601294</v>
      </c>
      <c r="H152" s="75">
        <f>+H130/SUM(H65:H68)*1000</f>
        <v>43.666807567122447</v>
      </c>
      <c r="I152" s="75">
        <f>+I130/SUM(I65:I68)*1000</f>
        <v>36.898191910842407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55.352574609211629</v>
      </c>
      <c r="F153" s="75"/>
      <c r="G153" s="75"/>
      <c r="H153" s="75">
        <f>+(H131*1000-W153*AVERAGE(H$113,H$114))/Q153</f>
        <v>54.964213123747108</v>
      </c>
      <c r="I153" s="75"/>
      <c r="J153" s="76"/>
      <c r="K153" s="76"/>
      <c r="L153" s="80"/>
      <c r="M153" s="80"/>
      <c r="P153" s="13" t="s">
        <v>14</v>
      </c>
      <c r="Q153" s="55">
        <f>T65</f>
        <v>27069.1777</v>
      </c>
      <c r="R153" s="55"/>
      <c r="T153" s="55">
        <f>T76</f>
        <v>33748.0602</v>
      </c>
      <c r="U153" s="55"/>
      <c r="W153" s="55">
        <f>+T153-Q153</f>
        <v>6678.8824999999997</v>
      </c>
      <c r="X153" s="55"/>
      <c r="Z153" s="144">
        <f>+H153*Q153/1000</f>
        <v>1487.8360521873824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33.564646125872471</v>
      </c>
      <c r="F154" s="75"/>
      <c r="G154" s="75"/>
      <c r="H154" s="75">
        <f>+(H132*1000-W154*AVERAGE(H$113,H$114))/Q154</f>
        <v>33.818384643446237</v>
      </c>
      <c r="I154" s="75"/>
      <c r="J154" s="76"/>
      <c r="K154" s="76"/>
      <c r="L154" s="80"/>
      <c r="M154" s="80"/>
      <c r="P154" s="13" t="s">
        <v>15</v>
      </c>
      <c r="Q154" s="55">
        <f>T66</f>
        <v>31051.8223</v>
      </c>
      <c r="R154" s="55"/>
      <c r="T154" s="55">
        <f>T77</f>
        <v>24372.9398</v>
      </c>
      <c r="U154" s="55"/>
      <c r="W154" s="55">
        <f>+T154-Q154</f>
        <v>-6678.8824999999997</v>
      </c>
      <c r="X154" s="55"/>
      <c r="Z154" s="85">
        <f>+H154*Q154/1000</f>
        <v>1050.1224704213414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2537.9585226087238</v>
      </c>
      <c r="AA155" s="144"/>
      <c r="AC155" s="81">
        <f>+H130</f>
        <v>2537.9585226087238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37.514262046577166</v>
      </c>
      <c r="F156" s="79">
        <f>+F134/SUM(F60:F64,F69:F71)*1000</f>
        <v>36.646191183773873</v>
      </c>
      <c r="G156" s="79">
        <f>+G134/SUM(G60:G64,G69:G71)*1000</f>
        <v>37.311855731399362</v>
      </c>
      <c r="H156" s="79">
        <f>+H134/SUM(H60:H64,H69:H71)*1000</f>
        <v>37.32762216684776</v>
      </c>
      <c r="I156" s="79">
        <f>+I134/SUM(I60:I64,I69:I71)*1000</f>
        <v>34.13646519455105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43.500337954451084</v>
      </c>
      <c r="F157" s="75"/>
      <c r="G157" s="75"/>
      <c r="H157" s="75">
        <f>+(H135*1000-W157*AVERAGE(H$117,H$118))/Q157</f>
        <v>43.452923362768288</v>
      </c>
      <c r="I157" s="75"/>
      <c r="J157" s="76"/>
      <c r="K157" s="76"/>
      <c r="L157" s="80"/>
      <c r="M157" s="80"/>
      <c r="P157" s="13" t="s">
        <v>14</v>
      </c>
      <c r="Q157" s="55">
        <f>T61</f>
        <v>47882.7984</v>
      </c>
      <c r="R157" s="55"/>
      <c r="T157" s="55">
        <f>T72</f>
        <v>60502.088799999998</v>
      </c>
      <c r="U157" s="55"/>
      <c r="W157" s="55">
        <f>+T157-Q157</f>
        <v>12619.290399999998</v>
      </c>
      <c r="X157" s="55"/>
      <c r="Z157" s="144">
        <f>+H157*Q157/1000</f>
        <v>2080.6475692700837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34.217375031627967</v>
      </c>
      <c r="F158" s="75"/>
      <c r="G158" s="75"/>
      <c r="H158" s="75">
        <f>+(H136*1000-W158*AVERAGE(H$117,H$118))/Q158</f>
        <v>32.52697408610647</v>
      </c>
      <c r="I158" s="75"/>
      <c r="J158" s="76"/>
      <c r="K158" s="76"/>
      <c r="L158" s="80"/>
      <c r="M158" s="80"/>
      <c r="P158" s="13" t="s">
        <v>15</v>
      </c>
      <c r="Q158" s="55">
        <f>T62</f>
        <v>61095.2016</v>
      </c>
      <c r="R158" s="55"/>
      <c r="T158" s="55">
        <f>T73</f>
        <v>48475.911200000002</v>
      </c>
      <c r="U158" s="55"/>
      <c r="W158" s="55">
        <f>+T158-Q158</f>
        <v>-12619.290399999998</v>
      </c>
      <c r="X158" s="55"/>
      <c r="Z158" s="85">
        <f>+H158*Q158/1000</f>
        <v>1987.2420392286506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4067.8896084987346</v>
      </c>
      <c r="AA159" s="144"/>
      <c r="AC159" s="81">
        <f>+H134</f>
        <v>4067.8896084987355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39.109612803878093</v>
      </c>
      <c r="F160" s="75">
        <f>(F152*SUM(F65:F68)+F156*SUM(F60:F64,F69:F71))/F72</f>
        <v>39.061472292955301</v>
      </c>
      <c r="G160" s="75">
        <f>(G152*SUM(G65:G68)+G156*SUM(G60:G64,G69:G71))/G72</f>
        <v>39.721594577642044</v>
      </c>
      <c r="H160" s="75">
        <f>(H152*SUM(H65:H68)+H156*SUM(H60:H64,H69:H71))/H72</f>
        <v>39.53254137431977</v>
      </c>
      <c r="I160" s="75">
        <f>(I152*SUM(I65:I68)+I156*SUM(I60:I64,I69:I71))/I72</f>
        <v>35.056546204052744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39.293039718540207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tr">
        <f>'BGS PTY17 Cost Alloc'!$B$165</f>
        <v>obligations - annual average forecasted for 2018; costs are market estimates</v>
      </c>
      <c r="J165" s="26" t="s">
        <v>290</v>
      </c>
      <c r="P165" s="13" t="s">
        <v>14</v>
      </c>
      <c r="Q165" s="55">
        <f>SUMPRODUCT(E38:E41,M65:M68)</f>
        <v>31007.910499999998</v>
      </c>
      <c r="R165" s="55">
        <f>SUMPRODUCT(E38:E41,E65:E68)</f>
        <v>31727.347899999997</v>
      </c>
      <c r="T165" s="55">
        <f>Q76</f>
        <v>40104.392</v>
      </c>
      <c r="U165" s="55">
        <f>T165-($Q$167*$Q165/($Q$165+$Q$166))</f>
        <v>39383.476210846908</v>
      </c>
      <c r="W165" s="55">
        <f>+T165-Q165</f>
        <v>9096.4815000000017</v>
      </c>
      <c r="X165" s="55">
        <f>-Q165+U165</f>
        <v>8375.5657108469095</v>
      </c>
      <c r="Z165" s="144">
        <f>+E153*Q165/1000</f>
        <v>1716.3676794270066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44871.089500000002</v>
      </c>
      <c r="R166" s="55">
        <f>SUMPRODUCT(Q38:Q41,E65:E68)</f>
        <v>45915.652100000007</v>
      </c>
      <c r="T166" s="55">
        <f>Q77</f>
        <v>37538.608</v>
      </c>
      <c r="U166" s="55">
        <f>T166-($Q$167*$Q166/($Q$165+$Q$166))</f>
        <v>36495.381404739688</v>
      </c>
      <c r="W166" s="55">
        <f>+T166-Q166</f>
        <v>-7332.4815000000017</v>
      </c>
      <c r="X166" s="55">
        <f>-Q166+U166</f>
        <v>-8375.7080952603137</v>
      </c>
      <c r="Z166" s="144">
        <f>+E154*Q166/1000</f>
        <v>1506.0822403498521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55">
        <f>SUM(W65:W68)/1000</f>
        <v>1764.1423844134001</v>
      </c>
      <c r="R167" s="55"/>
      <c r="T167" s="55">
        <v>0</v>
      </c>
      <c r="U167" s="55">
        <v>0</v>
      </c>
      <c r="W167" s="55">
        <f>+T167-Q167</f>
        <v>-1764.1423844134001</v>
      </c>
      <c r="X167" s="55"/>
      <c r="Z167" s="85">
        <f>+E152*Q167/1000</f>
        <v>74.9192371654228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87">
        <f>'BGS PTY17 Cost Alloc'!E168</f>
        <v>89.59</v>
      </c>
      <c r="F168" s="87">
        <f>'BGS PTY17 Cost Alloc'!F168</f>
        <v>2933.9</v>
      </c>
      <c r="G168" s="87">
        <f>'BGS PTY17 Cost Alloc'!G168</f>
        <v>1449.23</v>
      </c>
      <c r="H168" s="87">
        <f>'BGS PTY17 Cost Alloc'!H168</f>
        <v>46.07</v>
      </c>
      <c r="I168" s="87">
        <f>'BGS PTY17 Cost Alloc'!I168</f>
        <v>0.18</v>
      </c>
      <c r="J168" s="87">
        <f>SUM(E168:I168)</f>
        <v>4518.97</v>
      </c>
      <c r="K168" s="87"/>
      <c r="L168" s="87"/>
      <c r="M168" s="87"/>
      <c r="Z168" s="144">
        <f>SUM(Z165:Z167)</f>
        <v>3297.3691569422813</v>
      </c>
      <c r="AA168" s="144"/>
      <c r="AC168" s="81">
        <f>+E130</f>
        <v>3297.3270086524981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56758.725399999996</v>
      </c>
      <c r="R170" s="55">
        <f>SUMPRODUCT(E33:E37,E60:E64)+SUMPRODUCT(E42:E44,E69:E71)</f>
        <v>58043.413</v>
      </c>
      <c r="T170" s="55">
        <f>Q72</f>
        <v>81015.231499999994</v>
      </c>
      <c r="U170" s="55">
        <f>T170-($Q$172*$Q170/($Q$170+$Q$171))</f>
        <v>79733.382328218489</v>
      </c>
      <c r="W170" s="55">
        <f>+T170-Q170</f>
        <v>24256.506099999999</v>
      </c>
      <c r="X170" s="55">
        <f>-Q170+U170</f>
        <v>22974.656928218494</v>
      </c>
      <c r="Z170" s="144">
        <f>+E157*Q170/1000</f>
        <v>2469.0237367638865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103068.2746</v>
      </c>
      <c r="R171" s="55">
        <f>SUMPRODUCT(Q33:Q37,E60:E64)+SUMPRODUCT(Q42:Q44,E69:E71)</f>
        <v>105393.587</v>
      </c>
      <c r="T171" s="55">
        <f>Q73</f>
        <v>82421.768500000006</v>
      </c>
      <c r="U171" s="55">
        <f>T171-($Q$172*$Q171/($Q$170+$Q$171))</f>
        <v>80094.056214322802</v>
      </c>
      <c r="W171" s="55">
        <f>+T171-Q171</f>
        <v>-20646.506099999999</v>
      </c>
      <c r="X171" s="55">
        <f>-Q171+U171</f>
        <v>-22974.218385677203</v>
      </c>
      <c r="Z171" s="144">
        <f>+E158*Q171/1000</f>
        <v>3526.7258058510151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3609.5614574587003</v>
      </c>
      <c r="T172" s="13">
        <v>0</v>
      </c>
      <c r="U172" s="55">
        <v>0</v>
      </c>
      <c r="W172" s="55">
        <f>+T172-Q172</f>
        <v>-3609.5614574587003</v>
      </c>
      <c r="X172" s="55"/>
      <c r="Z172" s="85">
        <f>+E156*Q172/1000</f>
        <v>135.41003438833067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6131.1595770032327</v>
      </c>
      <c r="AA173" s="144"/>
      <c r="AC173" s="81">
        <f>+E134</f>
        <v>6131.2184461064326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v>243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9428.5454547589306</v>
      </c>
    </row>
    <row r="176" spans="1:51" x14ac:dyDescent="0.2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321"/>
      <c r="C177" s="92"/>
      <c r="D177" s="361"/>
      <c r="E177" s="93"/>
      <c r="G177" s="328"/>
      <c r="H177" s="84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218.95703478053935</v>
      </c>
      <c r="E179" s="162">
        <f>ROUND(D179*$H$308,3)</f>
        <v>231.34700000000001</v>
      </c>
      <c r="F179" s="93" t="s">
        <v>88</v>
      </c>
      <c r="G179" s="89" t="s">
        <v>162</v>
      </c>
      <c r="H179" s="81">
        <f>ROUND(E179*E173*J$168,0)</f>
        <v>127544919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11">
        <f>D179</f>
        <v>218.95703478053935</v>
      </c>
      <c r="E180" s="162">
        <f>ROUND(D180*$H$308,3)</f>
        <v>231.34700000000001</v>
      </c>
      <c r="F180" s="93" t="s">
        <v>88</v>
      </c>
      <c r="G180" s="121" t="s">
        <v>163</v>
      </c>
      <c r="H180" s="122">
        <f>ROUND(E180*E174*J$168,0)</f>
        <v>254044387</v>
      </c>
      <c r="I180" s="89"/>
      <c r="J180" s="89"/>
      <c r="K180" s="142"/>
      <c r="Z180" s="144"/>
      <c r="AA180" s="144"/>
      <c r="AC180" s="81"/>
    </row>
    <row r="181" spans="1:50" x14ac:dyDescent="0.2">
      <c r="A181" s="22"/>
      <c r="B181" s="389"/>
      <c r="C181" s="389"/>
      <c r="D181" s="389"/>
      <c r="E181" s="389"/>
      <c r="F181" s="389"/>
      <c r="G181" s="89" t="s">
        <v>164</v>
      </c>
      <c r="H181" s="81">
        <f>SUM(H179:H180)</f>
        <v>381589306</v>
      </c>
      <c r="I181" s="89"/>
      <c r="J181" s="89"/>
      <c r="K181" s="142"/>
    </row>
    <row r="182" spans="1:50" x14ac:dyDescent="0.2">
      <c r="A182" s="22"/>
      <c r="B182" s="389"/>
      <c r="C182" s="389"/>
      <c r="D182" s="389"/>
      <c r="E182" s="389"/>
      <c r="F182" s="389"/>
      <c r="G182" s="89"/>
      <c r="H182" s="81"/>
      <c r="I182" s="89"/>
      <c r="J182" s="89"/>
      <c r="K182" s="142"/>
    </row>
    <row r="183" spans="1:50" x14ac:dyDescent="0.2">
      <c r="A183" s="22"/>
      <c r="B183" s="13" t="s">
        <v>153</v>
      </c>
      <c r="I183" s="89"/>
      <c r="J183" s="89"/>
      <c r="K183" s="142"/>
    </row>
    <row r="184" spans="1:50" x14ac:dyDescent="0.2">
      <c r="A184" s="22"/>
      <c r="B184" s="17" t="s">
        <v>154</v>
      </c>
      <c r="I184" s="89"/>
      <c r="J184" s="89"/>
      <c r="K184" s="142"/>
    </row>
    <row r="185" spans="1:50" x14ac:dyDescent="0.2">
      <c r="A185" s="22"/>
      <c r="B185" s="17"/>
      <c r="C185" s="105" t="str">
        <f>" ---------- Rate "&amp;C30&amp;" ----------"</f>
        <v xml:space="preserve"> ---------- Rate  ----------</v>
      </c>
      <c r="D185" s="106"/>
      <c r="E185" s="106"/>
      <c r="I185" s="89"/>
      <c r="J185" s="89"/>
      <c r="K185" s="142"/>
    </row>
    <row r="186" spans="1:50" x14ac:dyDescent="0.2">
      <c r="A186" s="22"/>
      <c r="C186" s="38" t="s">
        <v>140</v>
      </c>
      <c r="E186" s="38" t="s">
        <v>141</v>
      </c>
      <c r="I186" s="89"/>
      <c r="J186" s="89"/>
      <c r="K186" s="142"/>
    </row>
    <row r="187" spans="1:50" x14ac:dyDescent="0.2">
      <c r="A187" s="22"/>
      <c r="B187" s="89" t="s">
        <v>142</v>
      </c>
      <c r="C187" s="107"/>
      <c r="E187" s="118">
        <f>SUM(R65/(R65+R66))</f>
        <v>0.52348651723520678</v>
      </c>
      <c r="F187" s="112"/>
      <c r="I187" s="89"/>
      <c r="J187" s="89"/>
      <c r="K187" s="142"/>
      <c r="AX187" s="118">
        <f>(37892894+37550803+37185127+37530967+385012043+415293692+408537249+370243592)/(37892894+37550803+37185127+37530967+385012043+415293692+408537249+370243592+28757462+38416028+35549073+25251802+243248593+403536675+352244990+172217638)</f>
        <v>0.5709969556930804</v>
      </c>
    </row>
    <row r="188" spans="1:50" x14ac:dyDescent="0.2">
      <c r="A188" s="22"/>
      <c r="B188" s="89" t="s">
        <v>144</v>
      </c>
      <c r="C188" s="108"/>
      <c r="E188" s="109">
        <f>1-E187</f>
        <v>0.47651348276479322</v>
      </c>
      <c r="G188" s="53"/>
      <c r="I188" s="89"/>
      <c r="J188" s="89"/>
      <c r="K188" s="142"/>
    </row>
    <row r="189" spans="1:50" x14ac:dyDescent="0.2">
      <c r="A189" s="22"/>
      <c r="B189" s="110" t="s">
        <v>155</v>
      </c>
      <c r="C189" s="111">
        <v>0.86519999999999997</v>
      </c>
      <c r="D189" s="13" t="s">
        <v>143</v>
      </c>
      <c r="J189" s="89"/>
      <c r="K189" s="142"/>
    </row>
    <row r="190" spans="1:50" x14ac:dyDescent="0.2">
      <c r="A190" s="13"/>
      <c r="J190" s="89"/>
      <c r="K190" s="142"/>
    </row>
    <row r="191" spans="1:50" x14ac:dyDescent="0.2">
      <c r="A191" s="18" t="s">
        <v>89</v>
      </c>
      <c r="B191" s="16" t="s">
        <v>90</v>
      </c>
      <c r="D191" s="38" t="s">
        <v>222</v>
      </c>
      <c r="E191" s="38" t="s">
        <v>218</v>
      </c>
    </row>
    <row r="192" spans="1:50" x14ac:dyDescent="0.2">
      <c r="A192" s="22"/>
      <c r="B192" s="17" t="s">
        <v>296</v>
      </c>
      <c r="D192" s="364">
        <v>2</v>
      </c>
    </row>
    <row r="193" spans="1:13" x14ac:dyDescent="0.2">
      <c r="A193" s="22"/>
      <c r="B193" s="17" t="s">
        <v>298</v>
      </c>
      <c r="D193" s="365">
        <v>6.96</v>
      </c>
      <c r="F193" s="93"/>
    </row>
    <row r="194" spans="1:13" x14ac:dyDescent="0.2">
      <c r="A194" s="22"/>
      <c r="B194" s="17" t="s">
        <v>91</v>
      </c>
      <c r="D194" s="362">
        <f>D192+D193</f>
        <v>8.9600000000000009</v>
      </c>
      <c r="E194" s="162">
        <f>ROUND(D194*$H$308,3)</f>
        <v>9.4670000000000005</v>
      </c>
      <c r="F194" s="13" t="s">
        <v>92</v>
      </c>
    </row>
    <row r="195" spans="1:13" x14ac:dyDescent="0.2">
      <c r="A195" s="22"/>
      <c r="B195" s="17"/>
      <c r="E195" s="92"/>
      <c r="F195" s="93"/>
    </row>
    <row r="196" spans="1:13" x14ac:dyDescent="0.2">
      <c r="A196" s="18" t="s">
        <v>93</v>
      </c>
      <c r="B196" s="16" t="s">
        <v>167</v>
      </c>
    </row>
    <row r="197" spans="1:13" x14ac:dyDescent="0.2">
      <c r="A197" s="18"/>
      <c r="B197" s="16"/>
    </row>
    <row r="198" spans="1:13" x14ac:dyDescent="0.2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x14ac:dyDescent="0.2">
      <c r="A199" s="18"/>
      <c r="B199" s="16"/>
    </row>
    <row r="200" spans="1:13" x14ac:dyDescent="0.2">
      <c r="A200" s="22"/>
      <c r="B200" s="410" t="s">
        <v>94</v>
      </c>
      <c r="C200" s="411"/>
      <c r="D200" s="411"/>
      <c r="E200" s="412">
        <v>7.4649999999999999</v>
      </c>
      <c r="F200" s="412">
        <v>7.4649999999999999</v>
      </c>
      <c r="G200" s="412">
        <v>7.4649999999999999</v>
      </c>
      <c r="H200" s="412">
        <v>7.4649999999999999</v>
      </c>
      <c r="I200" s="412">
        <v>0</v>
      </c>
      <c r="J200" s="145"/>
      <c r="K200" s="145"/>
      <c r="L200" s="145"/>
      <c r="M200" s="145"/>
    </row>
    <row r="201" spans="1:13" x14ac:dyDescent="0.2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</row>
    <row r="202" spans="1:13" x14ac:dyDescent="0.2">
      <c r="A202" s="22"/>
      <c r="B202" s="89" t="s">
        <v>131</v>
      </c>
      <c r="C202" s="145"/>
      <c r="D202" s="145"/>
      <c r="E202" s="146">
        <f>$H$181*(E$168/$J$168)/E$72</f>
        <v>31.380155456652489</v>
      </c>
      <c r="F202" s="146">
        <f>$H$181*(F$168/$J$168)/F$72</f>
        <v>27.348643073856806</v>
      </c>
      <c r="G202" s="146">
        <f>$H$181*(G$168/$J$168)/G$72</f>
        <v>20.304256750093082</v>
      </c>
      <c r="H202" s="146">
        <f>$H$181*(H$168/$J$168)/H$72</f>
        <v>23.280971453783962</v>
      </c>
      <c r="I202" s="146">
        <f>$H$181*(I$168/$J$168)/I$72</f>
        <v>0.13386320764573381</v>
      </c>
      <c r="J202" s="145"/>
      <c r="K202" s="145"/>
      <c r="L202" s="145"/>
      <c r="M202" s="145"/>
    </row>
    <row r="203" spans="1:13" x14ac:dyDescent="0.2">
      <c r="A203" s="22"/>
      <c r="B203" s="89" t="s">
        <v>198</v>
      </c>
      <c r="C203" s="145"/>
      <c r="D203" s="145"/>
      <c r="E203" s="146">
        <f>$H$179*(E$168/$J$168)/SUM(E65:E68)</f>
        <v>32.567238394617895</v>
      </c>
      <c r="F203" s="146">
        <f>$H$179*(F$168/$J$168)/SUM(F65:F68)</f>
        <v>22.04648619406408</v>
      </c>
      <c r="G203" s="146">
        <f>$H$179*(G$168/$J$168)/SUM(G65:G68)</f>
        <v>18.514434657630343</v>
      </c>
      <c r="H203" s="146"/>
      <c r="I203" s="146">
        <f>$H$179*(I$168/$J$168)/SUM(I65:I68)</f>
        <v>0.134302107838012</v>
      </c>
      <c r="J203" s="145"/>
      <c r="K203" s="145"/>
      <c r="L203" s="145"/>
      <c r="M203" s="145"/>
    </row>
    <row r="204" spans="1:13" x14ac:dyDescent="0.2">
      <c r="A204" s="22"/>
      <c r="B204" s="89" t="s">
        <v>199</v>
      </c>
      <c r="C204" s="145"/>
      <c r="D204" s="145"/>
      <c r="E204" s="146">
        <f>$H$179*(E$168/$J$168)/R165</f>
        <v>79.698375629855832</v>
      </c>
      <c r="F204" s="146"/>
      <c r="G204" s="146"/>
      <c r="H204" s="146">
        <f>$H$179*(H$168/$J$168)/Q153</f>
        <v>48.036001895063379</v>
      </c>
      <c r="I204" s="146"/>
      <c r="J204" s="145"/>
      <c r="K204" s="145"/>
      <c r="L204" s="145"/>
      <c r="M204" s="145"/>
    </row>
    <row r="205" spans="1:13" x14ac:dyDescent="0.2">
      <c r="A205" s="22"/>
      <c r="B205" s="89" t="s">
        <v>201</v>
      </c>
      <c r="C205" s="145"/>
      <c r="D205" s="145"/>
      <c r="E205" s="146">
        <f>$H$180*(E$168/$J$168)/(E72-SUM(E65:E68))</f>
        <v>30.816215341792034</v>
      </c>
      <c r="F205" s="146">
        <f>$H$180*(F$168/$J$168)/(F72-SUM(F65:F68))</f>
        <v>31.104312491147343</v>
      </c>
      <c r="G205" s="146">
        <f>$H$180*(G$168/$J$168)/(G72-SUM(G65:G68))</f>
        <v>21.339988146940112</v>
      </c>
      <c r="H205" s="146"/>
      <c r="I205" s="146">
        <f>$H$180*(I$168/$J$168)/(I72-SUM(I65:I68))</f>
        <v>0.13364393434550401</v>
      </c>
      <c r="J205" s="145"/>
      <c r="K205" s="145"/>
      <c r="L205" s="145"/>
      <c r="M205" s="145"/>
    </row>
    <row r="206" spans="1:13" x14ac:dyDescent="0.2">
      <c r="A206" s="22"/>
      <c r="B206" s="89" t="s">
        <v>200</v>
      </c>
      <c r="C206" s="145"/>
      <c r="D206" s="145"/>
      <c r="E206" s="146">
        <f>$H$180*(E$168/$J$168)/R170</f>
        <v>86.771427221491351</v>
      </c>
      <c r="F206" s="147"/>
      <c r="G206" s="147"/>
      <c r="H206" s="146">
        <f>$H$180*(H$168/$J$168)/Q157</f>
        <v>54.088985276617386</v>
      </c>
      <c r="I206" s="146"/>
      <c r="J206" s="145"/>
      <c r="K206" s="145"/>
      <c r="L206" s="145"/>
      <c r="M206" s="145"/>
    </row>
    <row r="207" spans="1:13" x14ac:dyDescent="0.2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75" x14ac:dyDescent="0.25">
      <c r="A208" s="22"/>
      <c r="B208" s="435" t="str">
        <f>$B$1</f>
        <v xml:space="preserve">Jersey Central Power &amp; Light </v>
      </c>
      <c r="C208" s="435"/>
      <c r="D208" s="435"/>
      <c r="E208" s="435"/>
      <c r="F208" s="435"/>
      <c r="G208" s="435"/>
      <c r="H208" s="435"/>
      <c r="I208" s="435"/>
      <c r="J208" s="435"/>
      <c r="K208" s="435"/>
      <c r="L208" s="435"/>
      <c r="M208" s="145"/>
    </row>
    <row r="209" spans="1:18" ht="15.75" x14ac:dyDescent="0.25">
      <c r="A209" s="22"/>
      <c r="B209" s="435" t="str">
        <f>$B$2</f>
        <v>Attachment 2</v>
      </c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145"/>
      <c r="N209" s="145"/>
      <c r="O209" s="145"/>
      <c r="P209" s="145"/>
      <c r="Q209" s="145"/>
      <c r="R209" s="145"/>
    </row>
    <row r="210" spans="1:18" x14ac:dyDescent="0.2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">
      <c r="A211" s="22"/>
      <c r="M211" s="145"/>
      <c r="N211" s="145"/>
      <c r="O211" s="145"/>
      <c r="P211" s="145"/>
      <c r="Q211" s="145"/>
      <c r="R211" s="145"/>
    </row>
    <row r="212" spans="1:18" x14ac:dyDescent="0.2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x14ac:dyDescent="0.2">
      <c r="A213" s="22"/>
      <c r="B213" s="16"/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B219" s="28" t="s">
        <v>17</v>
      </c>
      <c r="C219" s="74"/>
      <c r="D219" s="74"/>
      <c r="E219" s="74">
        <f>+E152+(E$95*$E$194)+E$200+E203</f>
        <v>93.084132110490373</v>
      </c>
      <c r="F219" s="74">
        <f>+F152+(F$95*$E$194)+F$200+F203</f>
        <v>82.566888542076697</v>
      </c>
      <c r="G219" s="74">
        <f>+G152+(G$95*$E$194)+G$200+G203</f>
        <v>80.449338689203543</v>
      </c>
      <c r="H219" s="74"/>
      <c r="I219" s="74">
        <f>+I152+(I$95*$E$194)+I$200+I203</f>
        <v>47.616592715652317</v>
      </c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77" t="s">
        <v>72</v>
      </c>
      <c r="C220" s="74"/>
      <c r="D220" s="74"/>
      <c r="E220" s="74">
        <f>+E153+(E$95*$E$194)+E$200+E$204</f>
        <v>153.10004893603937</v>
      </c>
      <c r="F220" s="74"/>
      <c r="G220" s="74"/>
      <c r="H220" s="74">
        <f>+H153+(H$95*$E$194)+H$200+H$204</f>
        <v>121.04931371578239</v>
      </c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73</v>
      </c>
      <c r="C221" s="74"/>
      <c r="D221" s="74"/>
      <c r="E221" s="74">
        <f>+E154+(E$95*$E$194)+E$200</f>
        <v>51.613744822844367</v>
      </c>
      <c r="F221" s="74"/>
      <c r="G221" s="74"/>
      <c r="H221" s="74">
        <f>+H154+(H$95*$E$194)+H$200</f>
        <v>51.867483340418133</v>
      </c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89" t="s">
        <v>142</v>
      </c>
      <c r="C222" s="74"/>
      <c r="D222" s="74"/>
      <c r="E222" s="74"/>
      <c r="F222" s="74">
        <f>(F219*SUM(F65:F68)-C189*10*E188*SUM(F65:F68))/SUM(F65:F68)</f>
        <v>78.444093889195699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144</v>
      </c>
      <c r="C223" s="74"/>
      <c r="D223" s="74"/>
      <c r="E223" s="74"/>
      <c r="F223" s="74">
        <f>+F222+C189*10</f>
        <v>87.0960938891957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B225" s="28" t="s">
        <v>18</v>
      </c>
      <c r="C225" s="74"/>
      <c r="D225" s="74"/>
      <c r="E225" s="74">
        <f>+E156+(E$95*$E$194)+E$200+E205</f>
        <v>86.3795760853411</v>
      </c>
      <c r="F225" s="74">
        <f>+F156+(F$95*$E$194)+F$200+F205</f>
        <v>85.799602371893116</v>
      </c>
      <c r="G225" s="74">
        <f>+G156+(G$95*$E$194)+G$200+G205</f>
        <v>76.700942575311373</v>
      </c>
      <c r="H225" s="74"/>
      <c r="I225" s="74">
        <f>+I156+(I$95*$E$194)+I$200+I205</f>
        <v>44.854207825868457</v>
      </c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77" t="s">
        <v>72</v>
      </c>
      <c r="C226" s="74"/>
      <c r="D226" s="74"/>
      <c r="E226" s="74">
        <f>+E157+(E$95*$E$194)+E$200+E$206</f>
        <v>148.32086387291434</v>
      </c>
      <c r="F226" s="74"/>
      <c r="G226" s="74"/>
      <c r="H226" s="74">
        <f>+H157+(H$95*$E$194)+H$200+H$206</f>
        <v>115.59100733635756</v>
      </c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73</v>
      </c>
      <c r="C227" s="74"/>
      <c r="D227" s="74"/>
      <c r="E227" s="74">
        <f>+E158+(E$95*$E$194)+E$200</f>
        <v>52.266473728599863</v>
      </c>
      <c r="F227" s="74"/>
      <c r="G227" s="74"/>
      <c r="H227" s="74">
        <f>+H158+(H$95*$E$194)+H$200</f>
        <v>50.576072783078374</v>
      </c>
      <c r="I227" s="74"/>
      <c r="J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B229" s="13" t="s">
        <v>98</v>
      </c>
      <c r="C229" s="74"/>
      <c r="D229" s="74"/>
      <c r="E229" s="74">
        <f>+E160+(E$95*$E$194)+E$200+E202</f>
        <v>88.538866957502478</v>
      </c>
      <c r="F229" s="74">
        <f>+F160+(F$95*$E$194)+F$200+F202</f>
        <v>84.459214063784003</v>
      </c>
      <c r="G229" s="74">
        <f>+G160+(G$95*$E$194)+G$200+G202</f>
        <v>78.074950024707022</v>
      </c>
      <c r="H229" s="74">
        <f>((H220*SUMPRODUCT(H38:H41,H65:H68)+H221*SUMPRODUCT(T38:T41,H65:H68))+(H226*(SUMPRODUCT(H33:H37,H60:H64)+SUMPRODUCT(H42:H44,H69:H71))+H227*(SUMPRODUCT(T33:T37,H60:H64)+SUMPRODUCT(T42:T44,H69:H71))))/H72</f>
        <v>80.862611525075621</v>
      </c>
      <c r="I229" s="74">
        <f>+I160+(I$95*$E$194)+I$200+I202</f>
        <v>45.774508108670375</v>
      </c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77"/>
      <c r="C234" s="74"/>
      <c r="D234" s="74"/>
      <c r="I234" s="89"/>
      <c r="J234" s="80"/>
      <c r="K234" s="93"/>
    </row>
    <row r="235" spans="1:18" x14ac:dyDescent="0.2">
      <c r="A235" s="22"/>
      <c r="C235" s="74"/>
      <c r="D235" s="74"/>
    </row>
    <row r="236" spans="1:18" x14ac:dyDescent="0.2">
      <c r="A236" s="22"/>
      <c r="B236" s="37" t="s">
        <v>101</v>
      </c>
      <c r="C236" s="74"/>
      <c r="D236" s="74"/>
      <c r="I236" s="96"/>
      <c r="K236" s="93"/>
    </row>
    <row r="237" spans="1:18" x14ac:dyDescent="0.2">
      <c r="A237" s="22"/>
      <c r="B237" s="77"/>
      <c r="C237" s="74"/>
      <c r="D237" s="74"/>
      <c r="I237" s="89"/>
      <c r="J237" s="97"/>
      <c r="K237" s="93"/>
    </row>
    <row r="238" spans="1:18" ht="15.75" x14ac:dyDescent="0.25">
      <c r="A238" s="22"/>
      <c r="B238" s="435" t="str">
        <f>$B$1</f>
        <v xml:space="preserve">Jersey Central Power &amp; Light </v>
      </c>
      <c r="C238" s="435"/>
      <c r="D238" s="435"/>
      <c r="E238" s="435"/>
      <c r="F238" s="435"/>
      <c r="G238" s="435"/>
      <c r="H238" s="435"/>
      <c r="I238" s="435"/>
      <c r="J238" s="435"/>
      <c r="K238" s="435"/>
      <c r="L238" s="435"/>
    </row>
    <row r="239" spans="1:18" ht="15.75" x14ac:dyDescent="0.25">
      <c r="A239" s="22"/>
      <c r="B239" s="435" t="str">
        <f>$B$2</f>
        <v>Attachment 2</v>
      </c>
      <c r="C239" s="435"/>
      <c r="D239" s="435"/>
      <c r="E239" s="435"/>
      <c r="F239" s="435"/>
      <c r="G239" s="435"/>
      <c r="H239" s="435"/>
      <c r="I239" s="435"/>
      <c r="J239" s="435"/>
      <c r="K239" s="435"/>
      <c r="L239" s="435"/>
    </row>
    <row r="240" spans="1:18" ht="15.75" x14ac:dyDescent="0.25">
      <c r="A240" s="22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1:12" ht="15.75" x14ac:dyDescent="0.25">
      <c r="A241" s="18" t="s">
        <v>106</v>
      </c>
      <c r="B241" s="163" t="s">
        <v>240</v>
      </c>
      <c r="C241" s="20"/>
      <c r="E241" s="165"/>
      <c r="F241" s="38"/>
      <c r="K241" s="166"/>
      <c r="L241" s="166"/>
    </row>
    <row r="242" spans="1:12" ht="15.75" x14ac:dyDescent="0.25">
      <c r="B242" s="13" t="s">
        <v>241</v>
      </c>
      <c r="K242" s="166"/>
      <c r="L242" s="166"/>
    </row>
    <row r="243" spans="1:12" ht="15.75" x14ac:dyDescent="0.25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6"/>
      <c r="L243" s="166"/>
    </row>
    <row r="244" spans="1:12" ht="15.75" x14ac:dyDescent="0.25">
      <c r="K244" s="166"/>
      <c r="L244" s="166"/>
    </row>
    <row r="245" spans="1:12" ht="15.75" x14ac:dyDescent="0.25">
      <c r="B245" s="28" t="s">
        <v>17</v>
      </c>
      <c r="E245" s="55">
        <f>'Composite Cost Allocation'!E108</f>
        <v>1764142.3844134002</v>
      </c>
      <c r="G245" s="55">
        <f>'Composite Cost Allocation'!G108</f>
        <v>2209279000</v>
      </c>
      <c r="I245" s="55">
        <f>'Composite Cost Allocation'!I108</f>
        <v>37828000</v>
      </c>
      <c r="K245" s="166"/>
      <c r="L245" s="166"/>
    </row>
    <row r="246" spans="1:12" ht="15.75" x14ac:dyDescent="0.25">
      <c r="B246" s="77" t="s">
        <v>72</v>
      </c>
      <c r="E246" s="55">
        <f>'Composite Cost Allocation'!E109</f>
        <v>31007842</v>
      </c>
      <c r="H246" s="55">
        <f>'Composite Cost Allocation'!H109</f>
        <v>27069177.699999999</v>
      </c>
      <c r="K246" s="166"/>
      <c r="L246" s="166"/>
    </row>
    <row r="247" spans="1:12" ht="15.75" x14ac:dyDescent="0.25">
      <c r="B247" s="77" t="s">
        <v>73</v>
      </c>
      <c r="E247" s="55">
        <f>'Composite Cost Allocation'!E110</f>
        <v>44871015.615586594</v>
      </c>
      <c r="H247" s="55">
        <f>'Composite Cost Allocation'!H110</f>
        <v>31051822.300000001</v>
      </c>
      <c r="K247" s="166"/>
      <c r="L247" s="166"/>
    </row>
    <row r="248" spans="1:12" ht="15.75" x14ac:dyDescent="0.25">
      <c r="B248" s="89" t="s">
        <v>142</v>
      </c>
      <c r="F248" s="55">
        <f>'Composite Cost Allocation'!F111</f>
        <v>1966234000</v>
      </c>
      <c r="K248" s="166"/>
      <c r="L248" s="166"/>
    </row>
    <row r="249" spans="1:12" ht="15.75" x14ac:dyDescent="0.25">
      <c r="B249" s="89" t="s">
        <v>144</v>
      </c>
      <c r="F249" s="55">
        <f>'Composite Cost Allocation'!F112</f>
        <v>1789801000</v>
      </c>
      <c r="K249" s="166"/>
      <c r="L249" s="166"/>
    </row>
    <row r="250" spans="1:12" ht="15.75" x14ac:dyDescent="0.25">
      <c r="K250" s="166"/>
      <c r="L250" s="166"/>
    </row>
    <row r="251" spans="1:12" ht="15.75" x14ac:dyDescent="0.25">
      <c r="B251" s="28" t="s">
        <v>18</v>
      </c>
      <c r="E251" s="55">
        <f>'Composite Cost Allocation'!E114</f>
        <v>3609561.4574586996</v>
      </c>
      <c r="F251" s="55">
        <f>'Composite Cost Allocation'!F114</f>
        <v>5302673000</v>
      </c>
      <c r="G251" s="55">
        <f>'Composite Cost Allocation'!G114</f>
        <v>3817801000</v>
      </c>
      <c r="I251" s="55">
        <f>'Composite Cost Allocation'!I114</f>
        <v>75717000</v>
      </c>
      <c r="K251" s="166"/>
      <c r="L251" s="166"/>
    </row>
    <row r="252" spans="1:12" ht="15.75" x14ac:dyDescent="0.25">
      <c r="B252" s="77" t="s">
        <v>72</v>
      </c>
      <c r="E252" s="55">
        <f>'Composite Cost Allocation'!E115</f>
        <v>56758896.659629665</v>
      </c>
      <c r="H252" s="55">
        <f>'Composite Cost Allocation'!H115</f>
        <v>47882798.399999991</v>
      </c>
      <c r="K252" s="166"/>
      <c r="L252" s="166"/>
    </row>
    <row r="253" spans="1:12" ht="15.75" x14ac:dyDescent="0.25">
      <c r="B253" s="77" t="s">
        <v>73</v>
      </c>
      <c r="E253" s="55">
        <f>'Composite Cost Allocation'!E116</f>
        <v>103068541.88291162</v>
      </c>
      <c r="H253" s="55">
        <f>'Composite Cost Allocation'!H116</f>
        <v>61095201.600000024</v>
      </c>
      <c r="K253" s="166"/>
      <c r="L253" s="166"/>
    </row>
    <row r="254" spans="1:12" ht="15.75" x14ac:dyDescent="0.25">
      <c r="J254" s="26" t="s">
        <v>13</v>
      </c>
      <c r="K254" s="166"/>
      <c r="L254" s="166"/>
    </row>
    <row r="255" spans="1:12" ht="15.75" x14ac:dyDescent="0.25">
      <c r="B255" s="89" t="s">
        <v>162</v>
      </c>
      <c r="E255" s="55">
        <f>SUM(E245:E249)</f>
        <v>77643000</v>
      </c>
      <c r="F255" s="55">
        <f>SUM(F245:F249)</f>
        <v>3756035000</v>
      </c>
      <c r="G255" s="55">
        <f>SUM(G245:G249)</f>
        <v>2209279000</v>
      </c>
      <c r="H255" s="55">
        <f>SUM(H245:H249)</f>
        <v>58121000</v>
      </c>
      <c r="I255" s="55">
        <f>SUM(I245:I249)</f>
        <v>37828000</v>
      </c>
      <c r="J255" s="55">
        <f>SUM(E255:I255)</f>
        <v>6138906000</v>
      </c>
      <c r="K255" s="166"/>
      <c r="L255" s="166"/>
    </row>
    <row r="256" spans="1:12" ht="15.75" x14ac:dyDescent="0.25">
      <c r="B256" s="89" t="s">
        <v>163</v>
      </c>
      <c r="E256" s="138">
        <f>SUM(E251:E253)</f>
        <v>163437000</v>
      </c>
      <c r="F256" s="138">
        <f>SUM(F251:F253)</f>
        <v>5302673000</v>
      </c>
      <c r="G256" s="138">
        <f>SUM(G251:G253)</f>
        <v>3817801000</v>
      </c>
      <c r="H256" s="138">
        <f>SUM(H251:H253)</f>
        <v>108978000.00000001</v>
      </c>
      <c r="I256" s="138">
        <f>SUM(I251:I253)</f>
        <v>75717000</v>
      </c>
      <c r="J256" s="138">
        <f>SUM(E256:I256)</f>
        <v>9468606000</v>
      </c>
      <c r="K256" s="166"/>
      <c r="L256" s="166"/>
    </row>
    <row r="257" spans="1:15" ht="15.75" x14ac:dyDescent="0.25">
      <c r="B257" s="89" t="s">
        <v>164</v>
      </c>
      <c r="E257" s="55">
        <f>SUM(E255:E256)</f>
        <v>241080000</v>
      </c>
      <c r="F257" s="55">
        <f>SUM(F255:F256)</f>
        <v>9058708000</v>
      </c>
      <c r="G257" s="55">
        <f>SUM(G255:G256)</f>
        <v>6027080000</v>
      </c>
      <c r="H257" s="55">
        <f>SUM(H255:H256)</f>
        <v>167099000</v>
      </c>
      <c r="I257" s="55">
        <f>SUM(I255:I256)</f>
        <v>113545000</v>
      </c>
      <c r="J257" s="55">
        <f>SUM(E257:I257)</f>
        <v>15607512000</v>
      </c>
      <c r="K257" s="166"/>
      <c r="L257" s="166"/>
    </row>
    <row r="258" spans="1:15" ht="15.75" x14ac:dyDescent="0.25">
      <c r="A258" s="22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</row>
    <row r="261" spans="1:15" x14ac:dyDescent="0.2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x14ac:dyDescent="0.2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x14ac:dyDescent="0.2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x14ac:dyDescent="0.2">
      <c r="A265" s="7"/>
      <c r="B265" s="28" t="s">
        <v>17</v>
      </c>
      <c r="C265" s="149"/>
      <c r="D265" s="149"/>
      <c r="E265" s="149">
        <f>+E219*E245/1000000</f>
        <v>164.21366277245244</v>
      </c>
      <c r="F265" s="149"/>
      <c r="G265" s="149">
        <f>+G219*G245/1000000</f>
        <v>177735.03452994491</v>
      </c>
      <c r="H265" s="144"/>
      <c r="I265" s="149">
        <f>+I219*I245/1000000</f>
        <v>1801.240469247696</v>
      </c>
      <c r="J265" s="149"/>
      <c r="K265" s="149"/>
      <c r="L265" s="149"/>
    </row>
    <row r="266" spans="1:15" x14ac:dyDescent="0.2">
      <c r="A266" s="7"/>
      <c r="B266" s="77" t="s">
        <v>72</v>
      </c>
      <c r="C266" s="149"/>
      <c r="D266" s="149"/>
      <c r="E266" s="149">
        <f>+E220*E246/1000000</f>
        <v>4747.3021276009767</v>
      </c>
      <c r="F266" s="149"/>
      <c r="G266" s="149"/>
      <c r="H266" s="149">
        <f>+H220*H246/1000000</f>
        <v>3276.7053834355606</v>
      </c>
      <c r="I266" s="149"/>
      <c r="J266" s="149"/>
      <c r="K266" s="149"/>
      <c r="L266" s="149"/>
    </row>
    <row r="267" spans="1:15" x14ac:dyDescent="0.2">
      <c r="A267" s="7"/>
      <c r="B267" s="77" t="s">
        <v>73</v>
      </c>
      <c r="C267" s="149"/>
      <c r="D267" s="149"/>
      <c r="E267" s="149">
        <f>+E221*E247/1000000</f>
        <v>2315.9611499247512</v>
      </c>
      <c r="F267" s="149"/>
      <c r="G267" s="149"/>
      <c r="H267" s="149">
        <f>+H221*H247/1000000</f>
        <v>1610.5798758348744</v>
      </c>
      <c r="I267" s="149"/>
      <c r="J267" s="149"/>
      <c r="K267" s="81"/>
      <c r="L267" s="81"/>
      <c r="M267" s="81"/>
      <c r="N267" s="81"/>
      <c r="O267" s="81"/>
    </row>
    <row r="268" spans="1:15" x14ac:dyDescent="0.2">
      <c r="A268" s="7"/>
      <c r="B268" s="89" t="s">
        <v>142</v>
      </c>
      <c r="C268" s="149"/>
      <c r="D268" s="149"/>
      <c r="E268" s="149"/>
      <c r="F268" s="149">
        <f>+F222*F248/1000000</f>
        <v>154239.44450412883</v>
      </c>
      <c r="G268" s="149"/>
      <c r="H268" s="144"/>
      <c r="I268" s="149"/>
      <c r="J268" s="149"/>
      <c r="K268" s="149"/>
      <c r="L268" s="149"/>
    </row>
    <row r="269" spans="1:15" x14ac:dyDescent="0.2">
      <c r="A269" s="7"/>
      <c r="B269" s="89" t="s">
        <v>144</v>
      </c>
      <c r="C269" s="149"/>
      <c r="D269" s="149"/>
      <c r="E269" s="149"/>
      <c r="F269" s="149">
        <f>+F223*F249/1000000</f>
        <v>155884.67593897635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x14ac:dyDescent="0.2">
      <c r="A271" s="7"/>
      <c r="B271" s="28" t="s">
        <v>18</v>
      </c>
      <c r="C271" s="149"/>
      <c r="D271" s="149"/>
      <c r="E271" s="149">
        <f>+E225*E251/1000000</f>
        <v>311.79238854926842</v>
      </c>
      <c r="F271" s="149">
        <f>+F225*F251/1000000</f>
        <v>454967.23490817356</v>
      </c>
      <c r="G271" s="149">
        <f>+G225*G251/1000000</f>
        <v>292828.93526496633</v>
      </c>
      <c r="I271" s="149">
        <f>+I225*I251/1000000</f>
        <v>3396.2260539512822</v>
      </c>
      <c r="J271" s="149"/>
      <c r="K271" s="149"/>
      <c r="L271" s="149"/>
    </row>
    <row r="272" spans="1:15" x14ac:dyDescent="0.2">
      <c r="A272" s="7"/>
      <c r="B272" s="77" t="s">
        <v>72</v>
      </c>
      <c r="C272" s="149"/>
      <c r="D272" s="149"/>
      <c r="E272" s="149">
        <f>+E226*E252/1000000</f>
        <v>8418.5285850297441</v>
      </c>
      <c r="F272" s="3"/>
      <c r="G272" s="3"/>
      <c r="H272" s="149">
        <f>+H226*H252/1000000</f>
        <v>5534.8209011397294</v>
      </c>
      <c r="I272" s="3"/>
      <c r="J272" s="149"/>
      <c r="K272" s="149"/>
      <c r="L272" s="149"/>
    </row>
    <row r="273" spans="1:12" x14ac:dyDescent="0.2">
      <c r="A273" s="7"/>
      <c r="B273" s="77" t="s">
        <v>73</v>
      </c>
      <c r="C273" s="3"/>
      <c r="D273" s="3"/>
      <c r="E273" s="149">
        <f>+E227*E253/1000000</f>
        <v>5387.0292365682944</v>
      </c>
      <c r="H273" s="149">
        <f>+H227*H253/1000000</f>
        <v>3089.9553628184476</v>
      </c>
      <c r="J273" s="149"/>
      <c r="K273" s="149"/>
      <c r="L273" s="149"/>
    </row>
    <row r="274" spans="1:12" x14ac:dyDescent="0.2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s="5" t="s">
        <v>25</v>
      </c>
      <c r="D276"/>
      <c r="E276" s="3">
        <f>SUM(E265:E269)</f>
        <v>7227.4769402981801</v>
      </c>
      <c r="F276" s="3">
        <f>SUM(F265:F269)</f>
        <v>310124.12044310517</v>
      </c>
      <c r="G276" s="3">
        <f>SUM(G265:G269)</f>
        <v>177735.03452994491</v>
      </c>
      <c r="H276" s="3">
        <f>SUM(H265:H269)</f>
        <v>4887.2852592704348</v>
      </c>
      <c r="I276" s="3">
        <f>SUM(I265:I269)</f>
        <v>1801.240469247696</v>
      </c>
      <c r="J276" s="151">
        <f>SUM(E276:I276)</f>
        <v>501775.15764186636</v>
      </c>
      <c r="K276"/>
      <c r="L276"/>
    </row>
    <row r="277" spans="1:12" x14ac:dyDescent="0.2">
      <c r="A277" s="7"/>
      <c r="B277" s="5" t="s">
        <v>26</v>
      </c>
      <c r="D277"/>
      <c r="E277" s="3">
        <f>SUM(E271:E273)</f>
        <v>14117.350210147308</v>
      </c>
      <c r="F277" s="3">
        <f>SUM(F271:F273)</f>
        <v>454967.23490817356</v>
      </c>
      <c r="G277" s="3">
        <f>SUM(G271:G273)</f>
        <v>292828.93526496633</v>
      </c>
      <c r="H277" s="3">
        <f>SUM(H271:H273)</f>
        <v>8624.7762639581779</v>
      </c>
      <c r="I277" s="3">
        <f>SUM(I271:I273)</f>
        <v>3396.2260539512822</v>
      </c>
      <c r="J277" s="151">
        <f>SUM(E277:I277)</f>
        <v>773934.52270119672</v>
      </c>
      <c r="K277"/>
      <c r="L277"/>
    </row>
    <row r="278" spans="1:12" x14ac:dyDescent="0.2">
      <c r="A278" s="7"/>
      <c r="B278" s="5" t="s">
        <v>13</v>
      </c>
      <c r="D278"/>
      <c r="E278" s="3">
        <f>SUM(E276:E277)</f>
        <v>21344.82715044549</v>
      </c>
      <c r="F278" s="3">
        <f>SUM(F276:F277)</f>
        <v>765091.35535127879</v>
      </c>
      <c r="G278" s="3">
        <f>SUM(G276:G277)</f>
        <v>470563.96979491122</v>
      </c>
      <c r="H278" s="3">
        <f>SUM(H276:H277)</f>
        <v>13512.061523228613</v>
      </c>
      <c r="I278" s="3">
        <f>SUM(I276:I277)</f>
        <v>5197.4665231989784</v>
      </c>
      <c r="J278" s="3">
        <f>SUM(E278:I278)</f>
        <v>1275709.6803430628</v>
      </c>
      <c r="L278"/>
    </row>
    <row r="279" spans="1:12" x14ac:dyDescent="0.2">
      <c r="A279" s="7"/>
      <c r="B279"/>
      <c r="C279"/>
      <c r="D279"/>
      <c r="E279"/>
      <c r="F279"/>
      <c r="G279"/>
      <c r="H279"/>
      <c r="J279"/>
      <c r="L279"/>
    </row>
    <row r="280" spans="1:12" x14ac:dyDescent="0.2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x14ac:dyDescent="0.2">
      <c r="A281" s="7"/>
      <c r="B281" s="5" t="s">
        <v>25</v>
      </c>
      <c r="C281"/>
      <c r="D281"/>
      <c r="E281" s="150">
        <f t="shared" ref="E281:J281" si="16">+E276/E278</f>
        <v>0.33860555015772686</v>
      </c>
      <c r="F281" s="150">
        <f t="shared" si="16"/>
        <v>0.40534260160437563</v>
      </c>
      <c r="G281" s="150">
        <f t="shared" si="16"/>
        <v>0.37770642450038888</v>
      </c>
      <c r="H281" s="150">
        <f t="shared" si="16"/>
        <v>0.36169797264974651</v>
      </c>
      <c r="I281" s="150">
        <f t="shared" si="16"/>
        <v>0.34656124502348001</v>
      </c>
      <c r="J281" s="150">
        <f t="shared" si="16"/>
        <v>0.39333021091987747</v>
      </c>
      <c r="L281"/>
    </row>
    <row r="282" spans="1:12" x14ac:dyDescent="0.2">
      <c r="A282" s="7"/>
      <c r="B282" s="5" t="s">
        <v>26</v>
      </c>
      <c r="C282"/>
      <c r="D282"/>
      <c r="E282" s="150">
        <f t="shared" ref="E282:J282" si="17">+E277/E278</f>
        <v>0.66139444984227302</v>
      </c>
      <c r="F282" s="150">
        <f t="shared" si="17"/>
        <v>0.59465739839562426</v>
      </c>
      <c r="G282" s="150">
        <f t="shared" si="17"/>
        <v>0.62229357549961117</v>
      </c>
      <c r="H282" s="150">
        <f t="shared" si="17"/>
        <v>0.63830202735025354</v>
      </c>
      <c r="I282" s="150">
        <f t="shared" si="17"/>
        <v>0.65343875497651993</v>
      </c>
      <c r="J282" s="150">
        <f t="shared" si="17"/>
        <v>0.6066697890801227</v>
      </c>
      <c r="L282"/>
    </row>
    <row r="283" spans="1:12" x14ac:dyDescent="0.2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75" x14ac:dyDescent="0.25">
      <c r="A285" s="22"/>
      <c r="B285" s="435" t="str">
        <f>$B$1</f>
        <v xml:space="preserve">Jersey Central Power &amp; Light </v>
      </c>
      <c r="C285" s="435"/>
      <c r="D285" s="435"/>
      <c r="E285" s="435"/>
      <c r="F285" s="435"/>
      <c r="G285" s="435"/>
      <c r="H285" s="435"/>
      <c r="I285" s="435"/>
      <c r="J285" s="435"/>
      <c r="K285" s="435"/>
      <c r="L285" s="435"/>
    </row>
    <row r="286" spans="1:12" ht="15.75" x14ac:dyDescent="0.25">
      <c r="A286" s="22"/>
      <c r="B286" s="435" t="str">
        <f>$B$2</f>
        <v>Attachment 2</v>
      </c>
      <c r="C286" s="435"/>
      <c r="D286" s="435"/>
      <c r="E286" s="435"/>
      <c r="F286" s="435"/>
      <c r="G286" s="435"/>
      <c r="H286" s="435"/>
      <c r="I286" s="435"/>
      <c r="J286" s="435"/>
      <c r="K286" s="435"/>
      <c r="L286" s="435"/>
    </row>
    <row r="287" spans="1:12" x14ac:dyDescent="0.2">
      <c r="A287" s="7"/>
      <c r="B287" s="5"/>
      <c r="C287"/>
      <c r="D287"/>
      <c r="E287" s="150"/>
      <c r="F287" s="150"/>
      <c r="G287" s="150"/>
      <c r="H287" s="150"/>
      <c r="I287" s="150"/>
      <c r="J287" s="150"/>
      <c r="L287"/>
    </row>
    <row r="288" spans="1:12" x14ac:dyDescent="0.2">
      <c r="A288" s="6" t="s">
        <v>138</v>
      </c>
      <c r="B288" s="1" t="s">
        <v>247</v>
      </c>
      <c r="C288"/>
      <c r="D288"/>
      <c r="E288"/>
      <c r="G288" s="81"/>
      <c r="J288"/>
      <c r="L288"/>
    </row>
    <row r="289" spans="1:12" x14ac:dyDescent="0.2">
      <c r="A289" s="7"/>
      <c r="C289" s="74"/>
      <c r="D289" s="74"/>
      <c r="J289"/>
      <c r="L289"/>
    </row>
    <row r="290" spans="1:12" x14ac:dyDescent="0.2">
      <c r="A290" s="7"/>
      <c r="B290" s="16" t="s">
        <v>232</v>
      </c>
      <c r="C290" s="74"/>
      <c r="D290" s="74"/>
      <c r="J290"/>
      <c r="L290"/>
    </row>
    <row r="291" spans="1:12" x14ac:dyDescent="0.2">
      <c r="A291" s="7"/>
      <c r="B291" s="89" t="s">
        <v>103</v>
      </c>
      <c r="C291" s="144">
        <f>J278</f>
        <v>1275709.6803430628</v>
      </c>
      <c r="J291"/>
      <c r="L291"/>
    </row>
    <row r="292" spans="1:12" x14ac:dyDescent="0.2">
      <c r="A292" s="7"/>
      <c r="B292" s="16"/>
      <c r="C292" s="144"/>
      <c r="J292"/>
      <c r="L292"/>
    </row>
    <row r="293" spans="1:12" x14ac:dyDescent="0.2">
      <c r="A293" s="7"/>
      <c r="B293" s="16" t="s">
        <v>230</v>
      </c>
      <c r="C293" s="144"/>
      <c r="E293" s="26" t="str">
        <f>+E$13</f>
        <v>RT{1}</v>
      </c>
      <c r="F293" s="26" t="str">
        <f>+F$13</f>
        <v>RS{2}</v>
      </c>
      <c r="G293" s="26" t="str">
        <f>+G$13</f>
        <v>GS{3}</v>
      </c>
      <c r="H293" s="155" t="str">
        <f>+H$58</f>
        <v>GST {4}</v>
      </c>
      <c r="I293" s="26" t="str">
        <f>+I$13</f>
        <v>OL/SL</v>
      </c>
      <c r="J293" s="2" t="s">
        <v>13</v>
      </c>
      <c r="L293"/>
    </row>
    <row r="294" spans="1:12" x14ac:dyDescent="0.2">
      <c r="A294" s="7"/>
      <c r="B294" s="21" t="s">
        <v>25</v>
      </c>
      <c r="C294" s="144"/>
      <c r="E294" s="161">
        <f>ROUND(SUM(E65:E68)*E95,0)</f>
        <v>86805</v>
      </c>
      <c r="F294" s="161">
        <f>ROUND(SUM(F65:F68)*F95,0)</f>
        <v>4199244</v>
      </c>
      <c r="G294" s="161">
        <f>ROUND(SUM(G65:G68)*G95,0)</f>
        <v>2469972</v>
      </c>
      <c r="H294" s="161">
        <f>ROUND(SUM(H65:H68)*H95,0)</f>
        <v>64979</v>
      </c>
      <c r="I294" s="161">
        <f>ROUND(SUM(I65:I68)*I95,0)</f>
        <v>42292</v>
      </c>
      <c r="J294" s="161">
        <f>SUM(E294:I294)</f>
        <v>6863292</v>
      </c>
      <c r="L294"/>
    </row>
    <row r="295" spans="1:12" x14ac:dyDescent="0.2">
      <c r="A295" s="7"/>
      <c r="B295" s="12" t="s">
        <v>26</v>
      </c>
      <c r="C295" s="144"/>
      <c r="E295" s="161">
        <f>ROUND((E72-SUM(E65:E68))*E95,0)</f>
        <v>182722</v>
      </c>
      <c r="F295" s="161">
        <f>ROUND((F72-SUM(F65:F68))*F95,0)</f>
        <v>5928384</v>
      </c>
      <c r="G295" s="161">
        <f>ROUND((G72-SUM(G65:G68))*G95,0)</f>
        <v>4268299</v>
      </c>
      <c r="H295" s="161">
        <f>ROUND((H72-SUM(H65:H68))*H95,0)</f>
        <v>121837</v>
      </c>
      <c r="I295" s="161">
        <f>ROUND((I72-SUM(I65:I68))*I95,0)</f>
        <v>84652</v>
      </c>
      <c r="J295" s="161">
        <f>SUM(E295:I295)</f>
        <v>10585894</v>
      </c>
      <c r="L295"/>
    </row>
    <row r="296" spans="1:12" x14ac:dyDescent="0.2">
      <c r="A296" s="7"/>
      <c r="C296" s="89"/>
      <c r="D296" s="145"/>
      <c r="J296" s="4"/>
      <c r="L296"/>
    </row>
    <row r="297" spans="1:12" x14ac:dyDescent="0.2">
      <c r="A297" s="7"/>
      <c r="B297" s="16" t="s">
        <v>233</v>
      </c>
      <c r="C297" s="89"/>
      <c r="D297" s="160" t="s">
        <v>221</v>
      </c>
      <c r="E297" s="133" t="s">
        <v>227</v>
      </c>
      <c r="J297"/>
      <c r="L297"/>
    </row>
    <row r="298" spans="1:12" x14ac:dyDescent="0.2">
      <c r="A298" s="7"/>
      <c r="B298" s="280" t="s">
        <v>313</v>
      </c>
      <c r="D298" s="38" t="s">
        <v>224</v>
      </c>
      <c r="E298" s="126">
        <v>73.11</v>
      </c>
      <c r="F298" s="38" t="s">
        <v>229</v>
      </c>
      <c r="G298" s="38" t="s">
        <v>231</v>
      </c>
      <c r="J298"/>
      <c r="L298"/>
    </row>
    <row r="299" spans="1:12" x14ac:dyDescent="0.2">
      <c r="A299" s="7"/>
      <c r="B299" s="13" t="s">
        <v>226</v>
      </c>
      <c r="C299" s="89"/>
      <c r="D299" s="167">
        <v>1</v>
      </c>
      <c r="E299" s="302">
        <f>ROUND($E$298*D299,3)</f>
        <v>73.11</v>
      </c>
      <c r="F299" s="55">
        <f>J294</f>
        <v>6863292</v>
      </c>
      <c r="G299" s="144">
        <f>ROUND(F299*E299/1000,0)</f>
        <v>501775</v>
      </c>
      <c r="J299"/>
      <c r="L299"/>
    </row>
    <row r="300" spans="1:12" ht="15" x14ac:dyDescent="0.35">
      <c r="A300" s="7"/>
      <c r="B300" s="13" t="s">
        <v>228</v>
      </c>
      <c r="C300" s="89"/>
      <c r="D300" s="167">
        <v>1</v>
      </c>
      <c r="E300" s="302">
        <f>ROUND($E$298*D300,3)</f>
        <v>73.11</v>
      </c>
      <c r="F300" s="55">
        <f>J295</f>
        <v>10585894</v>
      </c>
      <c r="G300" s="85">
        <f>ROUND(F300*E300/1000,0)</f>
        <v>773935</v>
      </c>
      <c r="J300"/>
      <c r="L300"/>
    </row>
    <row r="301" spans="1:12" x14ac:dyDescent="0.2">
      <c r="A301" s="7"/>
      <c r="B301" s="13" t="s">
        <v>234</v>
      </c>
      <c r="C301" s="89"/>
      <c r="D301" s="145"/>
      <c r="G301" s="81">
        <f>SUM(G299:G300)</f>
        <v>1275710</v>
      </c>
      <c r="J301"/>
      <c r="L301"/>
    </row>
    <row r="302" spans="1:12" x14ac:dyDescent="0.2">
      <c r="A302" s="7"/>
      <c r="C302" s="89"/>
      <c r="D302" s="145"/>
      <c r="J302"/>
      <c r="L302"/>
    </row>
    <row r="303" spans="1:12" x14ac:dyDescent="0.2">
      <c r="A303" s="7"/>
      <c r="C303" s="89"/>
      <c r="D303" s="145"/>
      <c r="J303"/>
      <c r="L303"/>
    </row>
    <row r="304" spans="1:12" x14ac:dyDescent="0.2">
      <c r="A304" s="6" t="s">
        <v>242</v>
      </c>
      <c r="B304" s="1" t="s">
        <v>235</v>
      </c>
      <c r="C304" s="89"/>
      <c r="D304" s="145"/>
      <c r="F304" s="5" t="s">
        <v>221</v>
      </c>
      <c r="G304" s="5" t="s">
        <v>223</v>
      </c>
      <c r="H304" s="71"/>
      <c r="I304"/>
    </row>
    <row r="305" spans="1:15" x14ac:dyDescent="0.2">
      <c r="A305" s="7"/>
      <c r="B305"/>
      <c r="C305"/>
      <c r="D305"/>
      <c r="E305"/>
      <c r="F305" s="5" t="s">
        <v>237</v>
      </c>
      <c r="G305" s="5" t="s">
        <v>224</v>
      </c>
      <c r="H305" s="5" t="s">
        <v>223</v>
      </c>
      <c r="I305"/>
    </row>
    <row r="306" spans="1:15" x14ac:dyDescent="0.2">
      <c r="A306" s="7"/>
      <c r="B306" t="s">
        <v>236</v>
      </c>
      <c r="C306"/>
      <c r="D306"/>
      <c r="E306"/>
      <c r="F306" s="8" t="s">
        <v>231</v>
      </c>
      <c r="G306" s="8" t="s">
        <v>225</v>
      </c>
      <c r="H306" s="8" t="s">
        <v>224</v>
      </c>
      <c r="I306" s="10"/>
    </row>
    <row r="307" spans="1:15" x14ac:dyDescent="0.2">
      <c r="A307" s="7"/>
      <c r="B307" s="5" t="s">
        <v>25</v>
      </c>
      <c r="C307" s="303">
        <f>J276*1000/J294</f>
        <v>73.109982446013717</v>
      </c>
      <c r="D307" t="s">
        <v>137</v>
      </c>
      <c r="E307"/>
      <c r="F307" s="275">
        <f>E299</f>
        <v>73.11</v>
      </c>
      <c r="G307" s="159">
        <f>E299/C307</f>
        <v>1.000000240103823</v>
      </c>
      <c r="H307" s="298">
        <v>1.4152880000000001</v>
      </c>
    </row>
    <row r="308" spans="1:15" x14ac:dyDescent="0.2">
      <c r="A308" s="7"/>
      <c r="B308" s="5" t="s">
        <v>26</v>
      </c>
      <c r="C308" s="303">
        <f>J277*1000/J295</f>
        <v>73.109982274637986</v>
      </c>
      <c r="D308" t="s">
        <v>137</v>
      </c>
      <c r="E308"/>
      <c r="F308" s="275">
        <f>E300</f>
        <v>73.11</v>
      </c>
      <c r="G308" s="159">
        <f>E300/C308</f>
        <v>1.0000002424479046</v>
      </c>
      <c r="H308" s="298">
        <v>1.056586</v>
      </c>
    </row>
    <row r="309" spans="1:15" x14ac:dyDescent="0.2">
      <c r="A309" s="7"/>
      <c r="B309" s="5"/>
      <c r="C309" s="152"/>
      <c r="D309"/>
      <c r="E309"/>
      <c r="F309"/>
      <c r="G309"/>
      <c r="H309" s="2"/>
      <c r="I309" s="104"/>
      <c r="M309" s="16"/>
      <c r="N309" s="104"/>
      <c r="O309" s="104"/>
    </row>
    <row r="310" spans="1:15" x14ac:dyDescent="0.2">
      <c r="A310" s="7"/>
      <c r="B310"/>
      <c r="C310"/>
      <c r="D310"/>
      <c r="E310" s="137"/>
      <c r="F310" s="4"/>
      <c r="G310"/>
      <c r="H310"/>
      <c r="I310"/>
      <c r="J310"/>
      <c r="K310"/>
      <c r="L310"/>
    </row>
    <row r="311" spans="1:15" x14ac:dyDescent="0.2">
      <c r="A311" s="16" t="s">
        <v>108</v>
      </c>
      <c r="E311" s="98"/>
      <c r="F311" s="101"/>
      <c r="I311"/>
      <c r="J311"/>
      <c r="K311"/>
      <c r="L311"/>
    </row>
    <row r="312" spans="1:15" x14ac:dyDescent="0.2">
      <c r="A312" s="22"/>
      <c r="B312" s="89" t="s">
        <v>132</v>
      </c>
      <c r="C312" s="102">
        <f>E179</f>
        <v>231.34700000000001</v>
      </c>
      <c r="D312" s="93" t="s">
        <v>160</v>
      </c>
      <c r="E312" s="98"/>
      <c r="F312" s="101"/>
      <c r="I312"/>
      <c r="J312"/>
      <c r="K312"/>
      <c r="L312"/>
    </row>
    <row r="313" spans="1:15" x14ac:dyDescent="0.2">
      <c r="A313" s="22"/>
      <c r="B313" s="89"/>
      <c r="C313" s="102">
        <f>E180</f>
        <v>231.34700000000001</v>
      </c>
      <c r="D313" s="93" t="s">
        <v>161</v>
      </c>
      <c r="E313" s="98"/>
      <c r="F313" s="101"/>
      <c r="I313"/>
      <c r="J313"/>
      <c r="K313"/>
      <c r="L313"/>
    </row>
    <row r="314" spans="1:15" x14ac:dyDescent="0.2">
      <c r="A314" s="22"/>
      <c r="B314" s="89" t="s">
        <v>159</v>
      </c>
      <c r="C314" s="81" t="s">
        <v>158</v>
      </c>
      <c r="D314" s="93"/>
      <c r="E314" s="98"/>
      <c r="F314" s="101"/>
      <c r="I314"/>
      <c r="J314"/>
      <c r="K314"/>
      <c r="L314"/>
    </row>
    <row r="315" spans="1:15" x14ac:dyDescent="0.2">
      <c r="A315" s="22"/>
      <c r="B315" s="89" t="s">
        <v>109</v>
      </c>
      <c r="C315" s="148">
        <f>+H173</f>
        <v>4</v>
      </c>
      <c r="D315" s="13" t="s">
        <v>110</v>
      </c>
      <c r="E315" s="98"/>
      <c r="F315" s="101"/>
      <c r="I315"/>
      <c r="J315"/>
      <c r="K315"/>
      <c r="L315"/>
    </row>
    <row r="316" spans="1:15" x14ac:dyDescent="0.2">
      <c r="A316" s="22"/>
      <c r="B316" s="89"/>
      <c r="C316" s="148">
        <f>+H174</f>
        <v>8</v>
      </c>
      <c r="D316" s="13" t="s">
        <v>111</v>
      </c>
      <c r="E316" s="98"/>
      <c r="F316" s="101"/>
      <c r="I316"/>
      <c r="J316"/>
      <c r="K316"/>
      <c r="L316"/>
    </row>
    <row r="317" spans="1:15" x14ac:dyDescent="0.2">
      <c r="A317" s="22"/>
      <c r="B317" s="89" t="s">
        <v>112</v>
      </c>
      <c r="C317" s="102">
        <f>+E194</f>
        <v>9.4670000000000005</v>
      </c>
      <c r="D317" s="13" t="s">
        <v>113</v>
      </c>
      <c r="E317" s="98"/>
      <c r="F317" s="101"/>
      <c r="I317"/>
      <c r="J317"/>
      <c r="K317"/>
      <c r="L317"/>
    </row>
    <row r="318" spans="1:15" x14ac:dyDescent="0.2">
      <c r="A318" s="22"/>
      <c r="B318" s="89" t="s">
        <v>114</v>
      </c>
      <c r="C318" s="21" t="s">
        <v>250</v>
      </c>
      <c r="E318" s="98"/>
      <c r="F318" s="101"/>
      <c r="I318"/>
      <c r="J318"/>
      <c r="K318"/>
      <c r="L318"/>
    </row>
    <row r="319" spans="1:15" x14ac:dyDescent="0.2">
      <c r="A319" s="22"/>
      <c r="B319" s="89"/>
      <c r="C319" s="321" t="s">
        <v>314</v>
      </c>
      <c r="E319" s="98"/>
      <c r="F319" s="101"/>
      <c r="I319"/>
      <c r="J319"/>
      <c r="K319"/>
      <c r="L319"/>
    </row>
    <row r="320" spans="1:15" x14ac:dyDescent="0.2">
      <c r="A320" s="22"/>
      <c r="B320" s="89" t="s">
        <v>115</v>
      </c>
      <c r="C320" s="12" t="str">
        <f>'BGS PTY17 Cost Alloc'!C$316</f>
        <v xml:space="preserve"> forecasted 2018 energy use by class based upon PJM on/off % from 2015 through 2017 class load profiles</v>
      </c>
      <c r="E320" s="98"/>
      <c r="F320" s="101"/>
      <c r="I320"/>
      <c r="J320"/>
      <c r="K320"/>
      <c r="L320"/>
    </row>
    <row r="321" spans="1:12" x14ac:dyDescent="0.2">
      <c r="A321" s="22"/>
      <c r="B321" s="89"/>
      <c r="C321" s="12" t="str">
        <f>'BGS PTY17 Cost Alloc'!C$317</f>
        <v xml:space="preserve">   JCP&amp;L billing on/off % from 2018 forecasted billing determinants</v>
      </c>
      <c r="E321" s="98"/>
      <c r="F321" s="101"/>
      <c r="I321"/>
      <c r="J321"/>
      <c r="K321"/>
      <c r="L321"/>
    </row>
    <row r="322" spans="1:12" x14ac:dyDescent="0.2">
      <c r="A322" s="22"/>
      <c r="B322" s="89" t="s">
        <v>116</v>
      </c>
      <c r="C322" s="12" t="str">
        <f>'BGS PTY17 Cost Alloc'!C$318</f>
        <v xml:space="preserve"> class totals for 2018 excluding accounts required to take service under BGS-CIEP as of June 1, 2019</v>
      </c>
      <c r="E322" s="98"/>
      <c r="F322" s="101"/>
      <c r="I322"/>
      <c r="J322"/>
      <c r="K322"/>
      <c r="L322"/>
    </row>
    <row r="323" spans="1:12" x14ac:dyDescent="0.2">
      <c r="A323" s="22"/>
      <c r="B323" s="89" t="s">
        <v>117</v>
      </c>
      <c r="C323" s="13" t="s">
        <v>166</v>
      </c>
      <c r="E323" s="98"/>
      <c r="F323" s="101"/>
      <c r="I323"/>
      <c r="J323"/>
      <c r="K323"/>
      <c r="L323"/>
    </row>
    <row r="324" spans="1:12" x14ac:dyDescent="0.2">
      <c r="A324" s="22"/>
      <c r="B324" s="89" t="s">
        <v>118</v>
      </c>
      <c r="C324" s="13" t="s">
        <v>214</v>
      </c>
      <c r="E324" s="100"/>
      <c r="F324" s="101"/>
      <c r="I324"/>
      <c r="J324"/>
      <c r="K324"/>
      <c r="L324"/>
    </row>
    <row r="325" spans="1:12" x14ac:dyDescent="0.2">
      <c r="C325" s="13" t="s">
        <v>119</v>
      </c>
      <c r="E325" s="98"/>
      <c r="F325" s="101"/>
      <c r="I325"/>
      <c r="J325"/>
      <c r="K325"/>
      <c r="L325"/>
    </row>
    <row r="326" spans="1:12" x14ac:dyDescent="0.2">
      <c r="B326" s="89" t="s">
        <v>120</v>
      </c>
      <c r="C326" s="103" t="s">
        <v>189</v>
      </c>
      <c r="E326" s="98"/>
      <c r="F326" s="101"/>
      <c r="I326"/>
      <c r="J326"/>
      <c r="K326"/>
      <c r="L326"/>
    </row>
    <row r="327" spans="1:12" x14ac:dyDescent="0.2">
      <c r="A327" s="22"/>
      <c r="C327" s="103" t="s">
        <v>121</v>
      </c>
      <c r="E327" s="99"/>
      <c r="I327"/>
      <c r="J327"/>
      <c r="K327"/>
      <c r="L327"/>
    </row>
    <row r="328" spans="1:12" x14ac:dyDescent="0.2">
      <c r="C328" s="103" t="s">
        <v>188</v>
      </c>
      <c r="I328"/>
      <c r="J328"/>
      <c r="K328"/>
      <c r="L328"/>
    </row>
    <row r="329" spans="1:12" x14ac:dyDescent="0.2">
      <c r="A329" s="7"/>
      <c r="B329" s="391" t="s">
        <v>299</v>
      </c>
      <c r="C329" s="392" t="s">
        <v>300</v>
      </c>
      <c r="D329"/>
      <c r="E329" s="137"/>
      <c r="F329" s="4"/>
      <c r="G329"/>
      <c r="H329"/>
      <c r="I329"/>
      <c r="J329"/>
      <c r="K329"/>
      <c r="L329"/>
    </row>
    <row r="330" spans="1:12" x14ac:dyDescent="0.2">
      <c r="A330" s="7"/>
      <c r="B330" t="str">
        <f>'BGS PTY17 Cost Alloc'!B327</f>
        <v xml:space="preserve"> </v>
      </c>
      <c r="C330" s="9"/>
      <c r="D330"/>
      <c r="E330" s="137"/>
      <c r="F330" s="137"/>
      <c r="G330"/>
      <c r="H330"/>
      <c r="I330"/>
      <c r="J330"/>
      <c r="K330"/>
      <c r="L330"/>
    </row>
    <row r="335" spans="1:12" x14ac:dyDescent="0.2">
      <c r="L335" s="144"/>
    </row>
    <row r="344" spans="12:12" x14ac:dyDescent="0.2">
      <c r="L344" s="144"/>
    </row>
    <row r="345" spans="12:12" x14ac:dyDescent="0.2">
      <c r="L345" s="144"/>
    </row>
    <row r="346" spans="12:12" x14ac:dyDescent="0.2">
      <c r="L346" s="144"/>
    </row>
    <row r="347" spans="12:12" x14ac:dyDescent="0.2">
      <c r="L347" s="139"/>
    </row>
    <row r="348" spans="12:12" x14ac:dyDescent="0.2">
      <c r="L348" s="139"/>
    </row>
    <row r="349" spans="12:12" x14ac:dyDescent="0.2">
      <c r="L349" s="139"/>
    </row>
  </sheetData>
  <sheetProtection password="D6B5" sheet="1" objects="1" scenarios="1"/>
  <mergeCells count="16"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  <mergeCell ref="B144:L144"/>
    <mergeCell ref="B285:L285"/>
    <mergeCell ref="B286:L286"/>
    <mergeCell ref="B238:L238"/>
    <mergeCell ref="B239:L239"/>
    <mergeCell ref="B208:L208"/>
    <mergeCell ref="B209:L209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&amp;L&amp;F    &amp;A&amp;CPage &amp;P of &amp;N&amp;R&amp;D</oddFooter>
  </headerFooter>
  <rowBreaks count="6" manualBreakCount="6">
    <brk id="51" max="11" man="1"/>
    <brk id="102" max="11" man="1"/>
    <brk id="142" max="11" man="1"/>
    <brk id="207" max="11" man="1"/>
    <brk id="237" max="11" man="1"/>
    <brk id="284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Y327"/>
  <sheetViews>
    <sheetView view="pageBreakPreview" zoomScaleNormal="80" zoomScaleSheetLayoutView="10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4.42578125" style="13" customWidth="1"/>
    <col min="6" max="7" width="16.140625" style="13" customWidth="1"/>
    <col min="8" max="8" width="15.140625" style="13" customWidth="1"/>
    <col min="9" max="9" width="14.5703125" style="13" customWidth="1"/>
    <col min="10" max="10" width="15.42578125" style="13" customWidth="1"/>
    <col min="11" max="11" width="4.85546875" style="13" customWidth="1"/>
    <col min="12" max="12" width="6.5703125" style="13" customWidth="1"/>
    <col min="13" max="13" width="15.85546875" style="13" hidden="1" customWidth="1"/>
    <col min="14" max="14" width="18" style="13" hidden="1" customWidth="1"/>
    <col min="15" max="16" width="12.42578125" style="13" hidden="1" customWidth="1"/>
    <col min="17" max="17" width="15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2.85546875" style="13" hidden="1" customWidth="1"/>
    <col min="26" max="26" width="11.5703125" style="13" hidden="1" customWidth="1"/>
    <col min="27" max="27" width="12.5703125" style="13" hidden="1" customWidth="1"/>
    <col min="28" max="28" width="16.85546875" style="13" hidden="1" customWidth="1"/>
    <col min="29" max="29" width="15.5703125" style="13" hidden="1" customWidth="1"/>
    <col min="30" max="30" width="14.140625" style="13" hidden="1" customWidth="1"/>
    <col min="31" max="31" width="16.42578125" style="13" hidden="1" customWidth="1"/>
    <col min="32" max="32" width="9.140625" style="13" hidden="1" customWidth="1"/>
    <col min="33" max="33" width="12" style="13" hidden="1" customWidth="1"/>
    <col min="34" max="34" width="13.42578125" style="13" hidden="1" customWidth="1"/>
    <col min="35" max="35" width="9.140625" style="13" hidden="1" customWidth="1"/>
    <col min="36" max="36" width="11" style="13" hidden="1" customWidth="1"/>
    <col min="37" max="37" width="14.5703125" style="13" hidden="1" customWidth="1"/>
    <col min="38" max="38" width="12.42578125" style="13" hidden="1" customWidth="1"/>
    <col min="39" max="43" width="9.140625" style="13" hidden="1" customWidth="1"/>
    <col min="44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435" t="s">
        <v>69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26" ht="15.75" x14ac:dyDescent="0.25">
      <c r="B2" s="435" t="s">
        <v>187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1:26" ht="15.75" x14ac:dyDescent="0.25">
      <c r="B3" s="436" t="s">
        <v>316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436" t="s">
        <v>317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">
        <v>319</v>
      </c>
      <c r="F10" s="90"/>
      <c r="G10" s="90"/>
      <c r="H10" s="90"/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314">
        <v>0.4788</v>
      </c>
      <c r="F15" s="314">
        <v>0.45710000000000001</v>
      </c>
      <c r="G15" s="314">
        <v>0.54459999999999997</v>
      </c>
      <c r="H15" s="314">
        <v>0.52739999999999998</v>
      </c>
      <c r="I15" s="314">
        <v>0.3125</v>
      </c>
      <c r="J15" s="29"/>
      <c r="K15" s="29"/>
      <c r="L15" s="30"/>
      <c r="M15" s="30"/>
      <c r="N15" s="31"/>
      <c r="O15" s="32"/>
      <c r="P15" s="32"/>
      <c r="Q15" s="32">
        <f t="shared" ref="Q15:Q26" si="0">1-E15</f>
        <v>0.5212</v>
      </c>
      <c r="R15" s="32">
        <f t="shared" ref="R15:R26" si="1">1-F15</f>
        <v>0.54289999999999994</v>
      </c>
      <c r="S15" s="32">
        <f t="shared" ref="S15:S26" si="2">1-G15</f>
        <v>0.45540000000000003</v>
      </c>
      <c r="T15" s="32">
        <f t="shared" ref="T15:T26" si="3">1-H15</f>
        <v>0.47260000000000002</v>
      </c>
      <c r="U15" s="32">
        <f t="shared" ref="U15:U26" si="4">1-I15</f>
        <v>0.6875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314">
        <v>0.51229999999999998</v>
      </c>
      <c r="F16" s="314">
        <v>0.48399999999999999</v>
      </c>
      <c r="G16" s="314">
        <v>0.57720000000000005</v>
      </c>
      <c r="H16" s="314">
        <v>0.55740000000000001</v>
      </c>
      <c r="I16" s="314">
        <v>0.31359999999999999</v>
      </c>
      <c r="J16" s="29"/>
      <c r="K16" s="29"/>
      <c r="L16" s="30"/>
      <c r="M16" s="30"/>
      <c r="N16" s="31"/>
      <c r="O16" s="32"/>
      <c r="P16" s="32"/>
      <c r="Q16" s="32">
        <f t="shared" si="0"/>
        <v>0.48770000000000002</v>
      </c>
      <c r="R16" s="32">
        <f t="shared" si="1"/>
        <v>0.51600000000000001</v>
      </c>
      <c r="S16" s="32">
        <f t="shared" si="2"/>
        <v>0.42279999999999995</v>
      </c>
      <c r="T16" s="32">
        <f t="shared" si="3"/>
        <v>0.44259999999999999</v>
      </c>
      <c r="U16" s="32">
        <f t="shared" si="4"/>
        <v>0.68640000000000001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314">
        <v>0.51680000000000004</v>
      </c>
      <c r="F17" s="314">
        <v>0.48730000000000001</v>
      </c>
      <c r="G17" s="314">
        <v>0.60429999999999995</v>
      </c>
      <c r="H17" s="314">
        <v>0.5706</v>
      </c>
      <c r="I17" s="314">
        <v>0.29680000000000001</v>
      </c>
      <c r="J17" s="29"/>
      <c r="K17" s="29"/>
      <c r="L17" s="30"/>
      <c r="M17" s="30"/>
      <c r="N17" s="31"/>
      <c r="O17" s="32"/>
      <c r="P17" s="32"/>
      <c r="Q17" s="32">
        <f t="shared" si="0"/>
        <v>0.48319999999999996</v>
      </c>
      <c r="R17" s="32">
        <f t="shared" si="1"/>
        <v>0.51269999999999993</v>
      </c>
      <c r="S17" s="32">
        <f t="shared" si="2"/>
        <v>0.39570000000000005</v>
      </c>
      <c r="T17" s="32">
        <f t="shared" si="3"/>
        <v>0.4294</v>
      </c>
      <c r="U17" s="32">
        <f t="shared" si="4"/>
        <v>0.70320000000000005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314">
        <v>0.49469999999999997</v>
      </c>
      <c r="F18" s="314">
        <v>0.47610000000000002</v>
      </c>
      <c r="G18" s="314">
        <v>0.59019999999999995</v>
      </c>
      <c r="H18" s="314">
        <v>0.56710000000000005</v>
      </c>
      <c r="I18" s="314">
        <v>0.26450000000000001</v>
      </c>
      <c r="J18" s="29"/>
      <c r="K18" s="29"/>
      <c r="L18" s="30"/>
      <c r="M18" s="30"/>
      <c r="N18" s="31"/>
      <c r="O18" s="32"/>
      <c r="P18" s="32"/>
      <c r="Q18" s="32">
        <f t="shared" si="0"/>
        <v>0.50530000000000008</v>
      </c>
      <c r="R18" s="32">
        <f t="shared" si="1"/>
        <v>0.52390000000000003</v>
      </c>
      <c r="S18" s="32">
        <f t="shared" si="2"/>
        <v>0.40980000000000005</v>
      </c>
      <c r="T18" s="32">
        <f t="shared" si="3"/>
        <v>0.43289999999999995</v>
      </c>
      <c r="U18" s="32">
        <f t="shared" si="4"/>
        <v>0.73550000000000004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314">
        <v>0.48330000000000001</v>
      </c>
      <c r="F19" s="314">
        <v>0.47310000000000002</v>
      </c>
      <c r="G19" s="314">
        <v>0.58009999999999995</v>
      </c>
      <c r="H19" s="314">
        <v>0.56159999999999999</v>
      </c>
      <c r="I19" s="314">
        <v>0.2487</v>
      </c>
      <c r="J19" s="29"/>
      <c r="K19" s="29"/>
      <c r="L19" s="30"/>
      <c r="M19" s="30"/>
      <c r="N19" s="31"/>
      <c r="O19" s="32"/>
      <c r="P19" s="32"/>
      <c r="Q19" s="32">
        <f t="shared" si="0"/>
        <v>0.51669999999999994</v>
      </c>
      <c r="R19" s="32">
        <f t="shared" si="1"/>
        <v>0.52689999999999992</v>
      </c>
      <c r="S19" s="32">
        <f t="shared" si="2"/>
        <v>0.41990000000000005</v>
      </c>
      <c r="T19" s="32">
        <f t="shared" si="3"/>
        <v>0.43840000000000001</v>
      </c>
      <c r="U19" s="32">
        <f t="shared" si="4"/>
        <v>0.75129999999999997</v>
      </c>
      <c r="V19" s="32"/>
      <c r="W19" s="32"/>
      <c r="X19" s="32"/>
      <c r="Y19" s="32"/>
      <c r="Z19" s="32"/>
    </row>
    <row r="20" spans="1:26" x14ac:dyDescent="0.2">
      <c r="A20" s="22"/>
      <c r="B20" s="186" t="s">
        <v>6</v>
      </c>
      <c r="C20" s="208"/>
      <c r="D20" s="208"/>
      <c r="E20" s="315">
        <v>0.54179999999999995</v>
      </c>
      <c r="F20" s="315">
        <v>0.53710000000000002</v>
      </c>
      <c r="G20" s="315">
        <v>0.60329999999999995</v>
      </c>
      <c r="H20" s="315">
        <v>0.59840000000000004</v>
      </c>
      <c r="I20" s="316">
        <v>0.2576</v>
      </c>
      <c r="J20" s="29"/>
      <c r="K20" s="29"/>
      <c r="L20" s="30"/>
      <c r="M20" s="30"/>
      <c r="N20" s="31"/>
      <c r="O20" s="32"/>
      <c r="P20" s="32"/>
      <c r="Q20" s="32">
        <f t="shared" si="0"/>
        <v>0.45820000000000005</v>
      </c>
      <c r="R20" s="32">
        <f t="shared" si="1"/>
        <v>0.46289999999999998</v>
      </c>
      <c r="S20" s="32">
        <f t="shared" si="2"/>
        <v>0.39670000000000005</v>
      </c>
      <c r="T20" s="32">
        <f t="shared" si="3"/>
        <v>0.40159999999999996</v>
      </c>
      <c r="U20" s="32">
        <f t="shared" si="4"/>
        <v>0.74239999999999995</v>
      </c>
      <c r="V20" s="32"/>
      <c r="W20" s="32"/>
      <c r="X20" s="32"/>
      <c r="Y20" s="32"/>
      <c r="Z20" s="32"/>
    </row>
    <row r="21" spans="1:26" x14ac:dyDescent="0.2">
      <c r="A21" s="22"/>
      <c r="B21" s="190" t="s">
        <v>7</v>
      </c>
      <c r="C21" s="180"/>
      <c r="D21" s="180"/>
      <c r="E21" s="317">
        <v>0.50590000000000002</v>
      </c>
      <c r="F21" s="317">
        <v>0.50790000000000002</v>
      </c>
      <c r="G21" s="317">
        <v>0.56889999999999996</v>
      </c>
      <c r="H21" s="317">
        <v>0.56259999999999999</v>
      </c>
      <c r="I21" s="318">
        <v>0.23569999999999999</v>
      </c>
      <c r="J21" s="29"/>
      <c r="K21" s="29"/>
      <c r="L21" s="30"/>
      <c r="M21" s="30"/>
      <c r="N21" s="31"/>
      <c r="O21" s="32"/>
      <c r="P21" s="32"/>
      <c r="Q21" s="32">
        <f t="shared" si="0"/>
        <v>0.49409999999999998</v>
      </c>
      <c r="R21" s="32">
        <f t="shared" si="1"/>
        <v>0.49209999999999998</v>
      </c>
      <c r="S21" s="32">
        <f t="shared" si="2"/>
        <v>0.43110000000000004</v>
      </c>
      <c r="T21" s="32">
        <f t="shared" si="3"/>
        <v>0.43740000000000001</v>
      </c>
      <c r="U21" s="32">
        <f t="shared" si="4"/>
        <v>0.76429999999999998</v>
      </c>
      <c r="V21" s="32"/>
      <c r="W21" s="32"/>
      <c r="X21" s="32"/>
      <c r="Y21" s="32"/>
      <c r="Z21" s="32"/>
    </row>
    <row r="22" spans="1:26" x14ac:dyDescent="0.2">
      <c r="A22" s="22"/>
      <c r="B22" s="190" t="s">
        <v>8</v>
      </c>
      <c r="C22" s="180"/>
      <c r="D22" s="180"/>
      <c r="E22" s="317">
        <v>0.52929999999999999</v>
      </c>
      <c r="F22" s="317">
        <v>0.53069999999999995</v>
      </c>
      <c r="G22" s="317">
        <v>0.59470000000000001</v>
      </c>
      <c r="H22" s="317">
        <v>0.58599999999999997</v>
      </c>
      <c r="I22" s="318">
        <v>0.26490000000000002</v>
      </c>
      <c r="J22" s="29"/>
      <c r="K22" s="29"/>
      <c r="L22" s="30"/>
      <c r="M22" s="30"/>
      <c r="N22" s="31"/>
      <c r="O22" s="32"/>
      <c r="P22" s="32"/>
      <c r="Q22" s="32">
        <f t="shared" si="0"/>
        <v>0.47070000000000001</v>
      </c>
      <c r="R22" s="32">
        <f t="shared" si="1"/>
        <v>0.46930000000000005</v>
      </c>
      <c r="S22" s="32">
        <f t="shared" si="2"/>
        <v>0.40529999999999999</v>
      </c>
      <c r="T22" s="32">
        <f t="shared" si="3"/>
        <v>0.41400000000000003</v>
      </c>
      <c r="U22" s="32">
        <f t="shared" si="4"/>
        <v>0.73509999999999998</v>
      </c>
      <c r="V22" s="32"/>
      <c r="W22" s="32"/>
      <c r="X22" s="32"/>
      <c r="Y22" s="32"/>
      <c r="Z22" s="32"/>
    </row>
    <row r="23" spans="1:26" x14ac:dyDescent="0.2">
      <c r="A23" s="22"/>
      <c r="B23" s="193" t="s">
        <v>9</v>
      </c>
      <c r="C23" s="209"/>
      <c r="D23" s="209"/>
      <c r="E23" s="319">
        <v>0.49070000000000003</v>
      </c>
      <c r="F23" s="319">
        <v>0.48509999999999998</v>
      </c>
      <c r="G23" s="319">
        <v>0.58860000000000001</v>
      </c>
      <c r="H23" s="319">
        <v>0.57589999999999997</v>
      </c>
      <c r="I23" s="320">
        <v>0.27060000000000001</v>
      </c>
      <c r="J23" s="29"/>
      <c r="K23" s="29"/>
      <c r="L23" s="30"/>
      <c r="M23" s="30"/>
      <c r="N23" s="31"/>
      <c r="O23" s="32"/>
      <c r="P23" s="32"/>
      <c r="Q23" s="32">
        <f t="shared" si="0"/>
        <v>0.50929999999999997</v>
      </c>
      <c r="R23" s="32">
        <f t="shared" si="1"/>
        <v>0.51490000000000002</v>
      </c>
      <c r="S23" s="32">
        <f t="shared" si="2"/>
        <v>0.41139999999999999</v>
      </c>
      <c r="T23" s="32">
        <f t="shared" si="3"/>
        <v>0.42410000000000003</v>
      </c>
      <c r="U23" s="32">
        <f t="shared" si="4"/>
        <v>0.72940000000000005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314">
        <v>0.49790000000000001</v>
      </c>
      <c r="F24" s="314">
        <v>0.47910000000000003</v>
      </c>
      <c r="G24" s="314">
        <v>0.58520000000000005</v>
      </c>
      <c r="H24" s="314">
        <v>0.57269999999999999</v>
      </c>
      <c r="I24" s="314">
        <v>0.29659999999999997</v>
      </c>
      <c r="J24" s="29"/>
      <c r="K24" s="29"/>
      <c r="L24" s="30"/>
      <c r="M24" s="30"/>
      <c r="N24" s="31"/>
      <c r="O24" s="32"/>
      <c r="P24" s="32"/>
      <c r="Q24" s="32">
        <f t="shared" si="0"/>
        <v>0.50209999999999999</v>
      </c>
      <c r="R24" s="32">
        <f t="shared" si="1"/>
        <v>0.52089999999999992</v>
      </c>
      <c r="S24" s="32">
        <f t="shared" si="2"/>
        <v>0.41479999999999995</v>
      </c>
      <c r="T24" s="32">
        <f t="shared" si="3"/>
        <v>0.42730000000000001</v>
      </c>
      <c r="U24" s="32">
        <f t="shared" si="4"/>
        <v>0.70340000000000003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314">
        <v>0.48970000000000002</v>
      </c>
      <c r="F25" s="314">
        <v>0.45469999999999999</v>
      </c>
      <c r="G25" s="314">
        <v>0.57679999999999998</v>
      </c>
      <c r="H25" s="314">
        <v>0.55279999999999996</v>
      </c>
      <c r="I25" s="314">
        <v>0.32319999999999999</v>
      </c>
      <c r="J25" s="29"/>
      <c r="K25" s="29"/>
      <c r="L25" s="30"/>
      <c r="M25" s="30"/>
      <c r="N25" s="31"/>
      <c r="O25" s="32"/>
      <c r="P25" s="32"/>
      <c r="Q25" s="32">
        <f t="shared" si="0"/>
        <v>0.51029999999999998</v>
      </c>
      <c r="R25" s="32">
        <f t="shared" si="1"/>
        <v>0.54530000000000001</v>
      </c>
      <c r="S25" s="32">
        <f t="shared" si="2"/>
        <v>0.42320000000000002</v>
      </c>
      <c r="T25" s="32">
        <f t="shared" si="3"/>
        <v>0.44720000000000004</v>
      </c>
      <c r="U25" s="32">
        <f t="shared" si="4"/>
        <v>0.67680000000000007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314">
        <v>0.48209999999999997</v>
      </c>
      <c r="F26" s="314">
        <v>0.45960000000000001</v>
      </c>
      <c r="G26" s="314">
        <v>0.55449999999999999</v>
      </c>
      <c r="H26" s="314">
        <v>0.53349999999999997</v>
      </c>
      <c r="I26" s="314">
        <v>0.3231</v>
      </c>
      <c r="J26" s="29"/>
      <c r="K26" s="29"/>
      <c r="L26" s="30"/>
      <c r="M26" s="30"/>
      <c r="N26" s="31"/>
      <c r="O26" s="32"/>
      <c r="P26" s="32"/>
      <c r="Q26" s="32">
        <f t="shared" si="0"/>
        <v>0.51790000000000003</v>
      </c>
      <c r="R26" s="32">
        <f t="shared" si="1"/>
        <v>0.54039999999999999</v>
      </c>
      <c r="S26" s="32">
        <f t="shared" si="2"/>
        <v>0.44550000000000001</v>
      </c>
      <c r="T26" s="32">
        <f t="shared" si="3"/>
        <v>0.46650000000000003</v>
      </c>
      <c r="U26" s="32">
        <f t="shared" si="4"/>
        <v>0.67690000000000006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3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3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3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181" t="s">
        <v>318</v>
      </c>
      <c r="F30" s="23" t="s">
        <v>39</v>
      </c>
      <c r="G30" s="23" t="s">
        <v>39</v>
      </c>
      <c r="H30" s="181" t="s">
        <v>318</v>
      </c>
      <c r="I30" s="23" t="s">
        <v>39</v>
      </c>
      <c r="J30" s="23"/>
      <c r="K30" s="23"/>
      <c r="L30" s="23"/>
      <c r="M30" s="437"/>
      <c r="N30" s="437"/>
      <c r="O30" s="23"/>
      <c r="P30" s="23"/>
      <c r="Q30" s="181" t="str">
        <f>E30</f>
        <v>2018 Forecasted Calendar Month Sales</v>
      </c>
      <c r="R30" s="23" t="s">
        <v>39</v>
      </c>
      <c r="S30" s="23" t="s">
        <v>39</v>
      </c>
      <c r="T30" s="181" t="str">
        <f>H30</f>
        <v>2018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394">
        <v>0.3584</v>
      </c>
      <c r="F33" s="156" t="s">
        <v>40</v>
      </c>
      <c r="G33" s="156" t="s">
        <v>40</v>
      </c>
      <c r="H33" s="398">
        <v>0.42420000000000002</v>
      </c>
      <c r="I33" s="156" t="s">
        <v>40</v>
      </c>
      <c r="J33" s="35"/>
      <c r="K33" s="35"/>
      <c r="L33" s="35"/>
      <c r="M33" s="30"/>
      <c r="N33" s="31"/>
      <c r="O33" s="32"/>
      <c r="P33" s="32"/>
      <c r="Q33" s="32">
        <f t="shared" ref="Q33:Q44" si="5">1-E33</f>
        <v>0.64159999999999995</v>
      </c>
      <c r="R33" s="32"/>
      <c r="S33" s="32"/>
      <c r="T33" s="32">
        <f t="shared" ref="T33:T44" si="6">1-H33</f>
        <v>0.57579999999999998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394">
        <v>0.35410000000000003</v>
      </c>
      <c r="F34" s="156" t="s">
        <v>40</v>
      </c>
      <c r="G34" s="156" t="s">
        <v>40</v>
      </c>
      <c r="H34" s="398">
        <v>0.42830000000000001</v>
      </c>
      <c r="I34" s="156" t="s">
        <v>40</v>
      </c>
      <c r="J34" s="35"/>
      <c r="K34" s="35"/>
      <c r="L34" s="35"/>
      <c r="M34" s="30"/>
      <c r="N34" s="31"/>
      <c r="O34" s="32"/>
      <c r="P34" s="32"/>
      <c r="Q34" s="32">
        <f t="shared" si="5"/>
        <v>0.64589999999999992</v>
      </c>
      <c r="R34" s="32"/>
      <c r="S34" s="32"/>
      <c r="T34" s="32">
        <f t="shared" si="6"/>
        <v>0.57169999999999999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394">
        <v>0.3473</v>
      </c>
      <c r="F35" s="156" t="s">
        <v>40</v>
      </c>
      <c r="G35" s="156" t="s">
        <v>40</v>
      </c>
      <c r="H35" s="398">
        <v>0.42820000000000003</v>
      </c>
      <c r="I35" s="156" t="s">
        <v>40</v>
      </c>
      <c r="J35" s="35"/>
      <c r="K35" s="35"/>
      <c r="L35" s="35"/>
      <c r="M35" s="30"/>
      <c r="N35" s="31"/>
      <c r="O35" s="32"/>
      <c r="P35" s="32"/>
      <c r="Q35" s="32">
        <f t="shared" si="5"/>
        <v>0.65270000000000006</v>
      </c>
      <c r="R35" s="32"/>
      <c r="S35" s="32"/>
      <c r="T35" s="32">
        <f t="shared" si="6"/>
        <v>0.57179999999999997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394">
        <v>0.3468</v>
      </c>
      <c r="F36" s="156" t="s">
        <v>40</v>
      </c>
      <c r="G36" s="156" t="s">
        <v>40</v>
      </c>
      <c r="H36" s="398">
        <v>0.44040000000000001</v>
      </c>
      <c r="I36" s="156" t="s">
        <v>40</v>
      </c>
      <c r="J36" s="35"/>
      <c r="K36" s="35"/>
      <c r="L36" s="35"/>
      <c r="M36" s="30"/>
      <c r="N36" s="31"/>
      <c r="O36" s="32"/>
      <c r="P36" s="32"/>
      <c r="Q36" s="32">
        <f t="shared" si="5"/>
        <v>0.6532</v>
      </c>
      <c r="R36" s="32"/>
      <c r="S36" s="32"/>
      <c r="T36" s="32">
        <f t="shared" si="6"/>
        <v>0.55959999999999999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394">
        <v>0.36659999999999998</v>
      </c>
      <c r="F37" s="156" t="s">
        <v>40</v>
      </c>
      <c r="G37" s="156" t="s">
        <v>40</v>
      </c>
      <c r="H37" s="398">
        <v>0.4551</v>
      </c>
      <c r="I37" s="156" t="s">
        <v>40</v>
      </c>
      <c r="J37" s="35"/>
      <c r="K37" s="35"/>
      <c r="L37" s="35"/>
      <c r="M37" s="30"/>
      <c r="N37" s="31"/>
      <c r="O37" s="32"/>
      <c r="P37" s="32"/>
      <c r="Q37" s="32">
        <f t="shared" si="5"/>
        <v>0.63339999999999996</v>
      </c>
      <c r="R37" s="32"/>
      <c r="S37" s="32"/>
      <c r="T37" s="32">
        <f t="shared" si="6"/>
        <v>0.54489999999999994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186" t="s">
        <v>6</v>
      </c>
      <c r="C38" s="210"/>
      <c r="D38" s="211"/>
      <c r="E38" s="395">
        <v>0.39929999999999999</v>
      </c>
      <c r="F38" s="212" t="s">
        <v>40</v>
      </c>
      <c r="G38" s="212" t="s">
        <v>40</v>
      </c>
      <c r="H38" s="399">
        <v>0.46329999999999999</v>
      </c>
      <c r="I38" s="214" t="s">
        <v>40</v>
      </c>
      <c r="J38" s="35"/>
      <c r="K38" s="35"/>
      <c r="L38" s="35"/>
      <c r="M38" s="30"/>
      <c r="N38" s="31"/>
      <c r="O38" s="32"/>
      <c r="P38" s="32"/>
      <c r="Q38" s="32">
        <f t="shared" si="5"/>
        <v>0.60070000000000001</v>
      </c>
      <c r="R38" s="32"/>
      <c r="S38" s="32"/>
      <c r="T38" s="32">
        <f t="shared" si="6"/>
        <v>0.53669999999999995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190" t="s">
        <v>7</v>
      </c>
      <c r="C39" s="204"/>
      <c r="D39" s="205"/>
      <c r="E39" s="396">
        <v>0.41589999999999999</v>
      </c>
      <c r="F39" s="206" t="s">
        <v>40</v>
      </c>
      <c r="G39" s="206" t="s">
        <v>40</v>
      </c>
      <c r="H39" s="400">
        <v>0.4718</v>
      </c>
      <c r="I39" s="215" t="s">
        <v>40</v>
      </c>
      <c r="J39" s="35"/>
      <c r="K39" s="35"/>
      <c r="L39" s="35"/>
      <c r="M39" s="30"/>
      <c r="N39" s="31"/>
      <c r="O39" s="32"/>
      <c r="P39" s="32"/>
      <c r="Q39" s="32">
        <f t="shared" si="5"/>
        <v>0.58410000000000006</v>
      </c>
      <c r="R39" s="32"/>
      <c r="S39" s="32"/>
      <c r="T39" s="32">
        <f t="shared" si="6"/>
        <v>0.5282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190" t="s">
        <v>8</v>
      </c>
      <c r="C40" s="204"/>
      <c r="D40" s="205"/>
      <c r="E40" s="396">
        <v>0.41589999999999999</v>
      </c>
      <c r="F40" s="206" t="s">
        <v>40</v>
      </c>
      <c r="G40" s="206" t="s">
        <v>40</v>
      </c>
      <c r="H40" s="400">
        <v>0.46650000000000003</v>
      </c>
      <c r="I40" s="215" t="s">
        <v>40</v>
      </c>
      <c r="J40" s="35"/>
      <c r="K40" s="35"/>
      <c r="L40" s="35"/>
      <c r="M40" s="30"/>
      <c r="N40" s="31"/>
      <c r="O40" s="32"/>
      <c r="P40" s="32"/>
      <c r="Q40" s="32">
        <f t="shared" si="5"/>
        <v>0.58410000000000006</v>
      </c>
      <c r="R40" s="32"/>
      <c r="S40" s="32"/>
      <c r="T40" s="32">
        <f t="shared" si="6"/>
        <v>0.53349999999999997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193" t="s">
        <v>9</v>
      </c>
      <c r="C41" s="216"/>
      <c r="D41" s="217"/>
      <c r="E41" s="397">
        <v>0.40029999999999999</v>
      </c>
      <c r="F41" s="218" t="s">
        <v>40</v>
      </c>
      <c r="G41" s="218" t="s">
        <v>40</v>
      </c>
      <c r="H41" s="401">
        <v>0.46129999999999999</v>
      </c>
      <c r="I41" s="220" t="s">
        <v>40</v>
      </c>
      <c r="J41" s="35"/>
      <c r="K41" s="35"/>
      <c r="L41" s="35"/>
      <c r="M41" s="30"/>
      <c r="N41" s="31"/>
      <c r="O41" s="32"/>
      <c r="P41" s="32"/>
      <c r="Q41" s="32">
        <f t="shared" si="5"/>
        <v>0.59970000000000001</v>
      </c>
      <c r="R41" s="32"/>
      <c r="S41" s="32"/>
      <c r="T41" s="32">
        <f t="shared" si="6"/>
        <v>0.53869999999999996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394">
        <v>0.36680000000000001</v>
      </c>
      <c r="F42" s="156" t="s">
        <v>40</v>
      </c>
      <c r="G42" s="156" t="s">
        <v>40</v>
      </c>
      <c r="H42" s="398">
        <v>0.4607</v>
      </c>
      <c r="I42" s="156" t="s">
        <v>40</v>
      </c>
      <c r="J42" s="35"/>
      <c r="K42" s="35"/>
      <c r="L42" s="35"/>
      <c r="M42" s="30"/>
      <c r="N42" s="31"/>
      <c r="O42" s="32"/>
      <c r="P42" s="32"/>
      <c r="Q42" s="32">
        <f t="shared" si="5"/>
        <v>0.63319999999999999</v>
      </c>
      <c r="R42" s="32"/>
      <c r="S42" s="32"/>
      <c r="T42" s="32">
        <f t="shared" si="6"/>
        <v>0.5393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394">
        <v>0.3518</v>
      </c>
      <c r="F43" s="156" t="s">
        <v>40</v>
      </c>
      <c r="G43" s="156" t="s">
        <v>40</v>
      </c>
      <c r="H43" s="398">
        <v>0.4546</v>
      </c>
      <c r="I43" s="156" t="s">
        <v>40</v>
      </c>
      <c r="J43" s="35"/>
      <c r="K43" s="35"/>
      <c r="L43" s="35"/>
      <c r="M43" s="30"/>
      <c r="N43" s="31"/>
      <c r="O43" s="32"/>
      <c r="P43" s="32"/>
      <c r="Q43" s="32">
        <f t="shared" si="5"/>
        <v>0.6482</v>
      </c>
      <c r="R43" s="32"/>
      <c r="S43" s="32"/>
      <c r="T43" s="32">
        <f t="shared" si="6"/>
        <v>0.5454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394">
        <v>0.35589999999999999</v>
      </c>
      <c r="F44" s="156" t="s">
        <v>40</v>
      </c>
      <c r="G44" s="156" t="s">
        <v>40</v>
      </c>
      <c r="H44" s="398">
        <v>0.43390000000000001</v>
      </c>
      <c r="I44" s="156" t="s">
        <v>40</v>
      </c>
      <c r="J44" s="35"/>
      <c r="K44" s="35"/>
      <c r="L44" s="35"/>
      <c r="M44" s="30"/>
      <c r="N44" s="31"/>
      <c r="O44" s="32"/>
      <c r="P44" s="32"/>
      <c r="Q44" s="32">
        <f t="shared" si="5"/>
        <v>0.64410000000000001</v>
      </c>
      <c r="R44" s="32"/>
      <c r="S44" s="32"/>
      <c r="T44" s="32">
        <f t="shared" si="6"/>
        <v>0.56610000000000005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3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3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8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3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8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3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8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3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8" ht="15.75" x14ac:dyDescent="0.25">
      <c r="A52" s="22"/>
      <c r="B52" s="435" t="str">
        <f>$B$1</f>
        <v xml:space="preserve">Jersey Central Power &amp; Light </v>
      </c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31"/>
      <c r="N52" s="70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8" ht="15.75" x14ac:dyDescent="0.25">
      <c r="A53" s="22"/>
      <c r="B53" s="435" t="str">
        <f>$B$2</f>
        <v>Attachment 2</v>
      </c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70"/>
      <c r="N53" s="31"/>
      <c r="O53" s="32"/>
      <c r="P53" s="32"/>
      <c r="Q53" s="32"/>
      <c r="R53" s="32"/>
      <c r="S53" s="32"/>
      <c r="T53" s="32"/>
      <c r="U53" s="32"/>
      <c r="V53" s="32"/>
      <c r="X53" s="32"/>
      <c r="Y53" s="32"/>
      <c r="Z53" s="32"/>
      <c r="AA53" s="55"/>
    </row>
    <row r="54" spans="1:38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3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291"/>
      <c r="Y54" s="32"/>
      <c r="Z54" s="32"/>
    </row>
    <row r="55" spans="1:38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3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X55" s="31"/>
      <c r="Y55" s="291" t="s">
        <v>309</v>
      </c>
      <c r="Z55" s="32"/>
    </row>
    <row r="56" spans="1:38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K56" s="33"/>
      <c r="O56" s="16"/>
      <c r="Y56" s="286" t="s">
        <v>252</v>
      </c>
      <c r="Z56" s="134"/>
      <c r="AJ56" s="90"/>
      <c r="AK56" s="90"/>
      <c r="AL56" s="90"/>
    </row>
    <row r="57" spans="1:38" x14ac:dyDescent="0.2">
      <c r="A57" s="22"/>
      <c r="B57" s="39" t="s">
        <v>308</v>
      </c>
      <c r="N57" s="40"/>
      <c r="O57" s="41"/>
      <c r="P57" s="41"/>
      <c r="Q57" s="41" t="s">
        <v>265</v>
      </c>
      <c r="R57" s="41"/>
      <c r="S57" s="41"/>
      <c r="T57" s="41"/>
      <c r="U57" s="42"/>
      <c r="W57" s="26" t="s">
        <v>13</v>
      </c>
      <c r="AB57" s="26" t="s">
        <v>282</v>
      </c>
      <c r="AJ57" s="90"/>
      <c r="AK57" s="402"/>
      <c r="AL57" s="90"/>
    </row>
    <row r="58" spans="1:38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99" t="s">
        <v>60</v>
      </c>
      <c r="AA58" s="26" t="s">
        <v>302</v>
      </c>
      <c r="AB58" s="26" t="s">
        <v>283</v>
      </c>
      <c r="AC58" s="26" t="s">
        <v>53</v>
      </c>
      <c r="AD58" s="292" t="s">
        <v>285</v>
      </c>
      <c r="AF58" s="26" t="s">
        <v>55</v>
      </c>
      <c r="AG58" s="26" t="s">
        <v>54</v>
      </c>
      <c r="AH58" s="26"/>
      <c r="AJ58" s="90"/>
      <c r="AK58" s="90"/>
      <c r="AL58" s="90"/>
    </row>
    <row r="59" spans="1:38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  <c r="W59" s="328" t="s">
        <v>251</v>
      </c>
      <c r="X59" s="328" t="s">
        <v>251</v>
      </c>
      <c r="Y59" s="328" t="s">
        <v>251</v>
      </c>
      <c r="Z59" s="328" t="s">
        <v>251</v>
      </c>
      <c r="AA59" s="328" t="s">
        <v>312</v>
      </c>
      <c r="AB59" s="328" t="s">
        <v>312</v>
      </c>
      <c r="AC59" s="328" t="s">
        <v>323</v>
      </c>
      <c r="AD59" s="328" t="s">
        <v>312</v>
      </c>
      <c r="AF59" s="328" t="s">
        <v>312</v>
      </c>
      <c r="AG59" s="328" t="s">
        <v>323</v>
      </c>
      <c r="AH59" s="321"/>
      <c r="AJ59" s="90"/>
      <c r="AK59" s="90"/>
      <c r="AL59" s="90"/>
    </row>
    <row r="60" spans="1:38" x14ac:dyDescent="0.2">
      <c r="A60" s="22"/>
      <c r="B60" s="28" t="s">
        <v>1</v>
      </c>
      <c r="C60" s="49"/>
      <c r="D60" s="49"/>
      <c r="E60" s="50">
        <f>ROUND(AA60,0)+ROUND($W60/1000,0)</f>
        <v>26592</v>
      </c>
      <c r="F60" s="50">
        <f>ROUND(AB60,0)+ROUND($Z60/1000,0)</f>
        <v>799279</v>
      </c>
      <c r="G60" s="50">
        <f t="shared" ref="G60:G71" si="7">ROUND(AC60,0)-ROUND(SUM($X60/1000),0)</f>
        <v>510394</v>
      </c>
      <c r="H60" s="50">
        <f>ROUND(AG60,0)</f>
        <v>15108</v>
      </c>
      <c r="I60" s="50">
        <f>ROUND(AF60,0)</f>
        <v>9490</v>
      </c>
      <c r="J60" s="50">
        <f t="shared" ref="J60:J72" si="8">SUM(E60:I60)</f>
        <v>1360863</v>
      </c>
      <c r="K60" s="50"/>
      <c r="L60" s="49"/>
      <c r="M60" s="50">
        <f t="shared" ref="M60:M71" si="9">E60-ROUND(SUM($W60/1000),0)</f>
        <v>26108</v>
      </c>
      <c r="N60" s="51" t="s">
        <v>28</v>
      </c>
      <c r="O60" s="52"/>
      <c r="P60" s="53"/>
      <c r="Q60" s="53">
        <f>SUM(E60:E64,E69:E71)</f>
        <v>163437</v>
      </c>
      <c r="R60" s="53">
        <f>SUM(F60:F64,F69:F71)</f>
        <v>5302673</v>
      </c>
      <c r="S60" s="53">
        <f>SUM(G60:G64,G69:G71)</f>
        <v>3817801</v>
      </c>
      <c r="T60" s="53">
        <f>SUM(H60:H64,H69:H71)</f>
        <v>108978</v>
      </c>
      <c r="U60" s="54">
        <f>SUM(I60:I64,I69:I71)</f>
        <v>75717</v>
      </c>
      <c r="V60" s="305">
        <v>43101</v>
      </c>
      <c r="W60" s="287">
        <v>484084.67893729993</v>
      </c>
      <c r="X60" s="288">
        <v>4604.7825406000002</v>
      </c>
      <c r="Y60" s="55">
        <f t="shared" ref="Y60:Y71" si="10">W60-X60</f>
        <v>479479.89639669994</v>
      </c>
      <c r="Z60" s="288">
        <v>1918907.2774936</v>
      </c>
      <c r="AA60" s="413">
        <v>26107.613694167299</v>
      </c>
      <c r="AB60" s="290">
        <v>797359.65613194206</v>
      </c>
      <c r="AC60" s="50">
        <v>510399.101220018</v>
      </c>
      <c r="AD60" s="290">
        <v>561197.93522001803</v>
      </c>
      <c r="AF60" s="290">
        <v>9490.4500000000007</v>
      </c>
      <c r="AG60" s="300">
        <v>15108.375460639902</v>
      </c>
      <c r="AH60" s="322"/>
      <c r="AI60" s="55"/>
      <c r="AJ60" s="90"/>
      <c r="AK60" s="49"/>
      <c r="AL60" s="49"/>
    </row>
    <row r="61" spans="1:38" x14ac:dyDescent="0.2">
      <c r="A61" s="22"/>
      <c r="B61" s="28" t="s">
        <v>2</v>
      </c>
      <c r="C61" s="49"/>
      <c r="D61" s="49"/>
      <c r="E61" s="50">
        <f>ROUND(AA61,0)+ROUND($W61/1000,0)</f>
        <v>27398</v>
      </c>
      <c r="F61" s="50">
        <f>ROUND(AB61,0)+ROUND($Z61/1000,0)</f>
        <v>760155</v>
      </c>
      <c r="G61" s="50">
        <f t="shared" si="7"/>
        <v>493890</v>
      </c>
      <c r="H61" s="50">
        <f t="shared" ref="H61:H71" si="11">ROUND(AG61,0)</f>
        <v>15108</v>
      </c>
      <c r="I61" s="50">
        <f t="shared" ref="I61:I71" si="12">ROUND(AF61,0)</f>
        <v>9485</v>
      </c>
      <c r="J61" s="50">
        <f t="shared" si="8"/>
        <v>1306036</v>
      </c>
      <c r="K61" s="50"/>
      <c r="L61" s="49"/>
      <c r="M61" s="50">
        <f t="shared" si="9"/>
        <v>26921</v>
      </c>
      <c r="N61" s="51"/>
      <c r="O61" s="52"/>
      <c r="P61" s="114" t="s">
        <v>193</v>
      </c>
      <c r="Q61" s="53">
        <f>SUMPRODUCT(E33:E37,M60:M64)+SUMPRODUCT(E42:E44,M69:M71)</f>
        <v>56758.725399999996</v>
      </c>
      <c r="R61" s="47"/>
      <c r="S61" s="131" t="s">
        <v>177</v>
      </c>
      <c r="T61" s="53">
        <f>SUMPRODUCT(H33:H37,H60:H64)+SUMPRODUCT(H42:H44,H69:H71)</f>
        <v>47882.7984</v>
      </c>
      <c r="U61" s="48">
        <f>T61/T60</f>
        <v>0.43938041072510048</v>
      </c>
      <c r="V61" s="305">
        <v>43132</v>
      </c>
      <c r="W61" s="287">
        <v>477463.23484459997</v>
      </c>
      <c r="X61" s="288">
        <v>4552.8303741999998</v>
      </c>
      <c r="Y61" s="55">
        <f t="shared" si="10"/>
        <v>472910.40447039995</v>
      </c>
      <c r="Z61" s="288">
        <v>1892620.5957742</v>
      </c>
      <c r="AA61" s="413">
        <v>26921.4641347504</v>
      </c>
      <c r="AB61" s="290">
        <v>758262.28886500502</v>
      </c>
      <c r="AC61" s="50">
        <v>493894.641684503</v>
      </c>
      <c r="AD61" s="290">
        <v>542656.76268450299</v>
      </c>
      <c r="AF61" s="290">
        <v>9485.2880000000005</v>
      </c>
      <c r="AG61" s="300">
        <v>15108.042151111998</v>
      </c>
      <c r="AH61" s="322"/>
      <c r="AJ61" s="90"/>
      <c r="AK61" s="49"/>
      <c r="AL61" s="49"/>
    </row>
    <row r="62" spans="1:38" x14ac:dyDescent="0.2">
      <c r="A62" s="22"/>
      <c r="B62" s="28" t="s">
        <v>3</v>
      </c>
      <c r="C62" s="49"/>
      <c r="D62" s="49"/>
      <c r="E62" s="50">
        <f>ROUND(AA62,0)+ROUND($W62/1000,0)</f>
        <v>25342</v>
      </c>
      <c r="F62" s="50">
        <f>ROUND(AB62,0)+ROUND($Z62/1000,0)</f>
        <v>690812</v>
      </c>
      <c r="G62" s="50">
        <f t="shared" si="7"/>
        <v>508325</v>
      </c>
      <c r="H62" s="50">
        <f t="shared" si="11"/>
        <v>15667</v>
      </c>
      <c r="I62" s="50">
        <f t="shared" si="12"/>
        <v>9480</v>
      </c>
      <c r="J62" s="50">
        <f t="shared" si="8"/>
        <v>1249626</v>
      </c>
      <c r="K62" s="50"/>
      <c r="L62" s="49"/>
      <c r="M62" s="50">
        <f t="shared" si="9"/>
        <v>24871</v>
      </c>
      <c r="N62" s="51"/>
      <c r="O62" s="52"/>
      <c r="P62" s="114" t="s">
        <v>194</v>
      </c>
      <c r="Q62" s="53">
        <f>SUMPRODUCT(Q33:Q37,M60:M64)+SUMPRODUCT(Q42:Q44,M69:M71)</f>
        <v>103068.2746</v>
      </c>
      <c r="R62" s="47"/>
      <c r="S62" s="131" t="s">
        <v>178</v>
      </c>
      <c r="T62" s="53">
        <f>+T60-T61</f>
        <v>61095.2016</v>
      </c>
      <c r="U62" s="48"/>
      <c r="V62" s="305">
        <v>43160</v>
      </c>
      <c r="W62" s="287">
        <v>471398.92719170003</v>
      </c>
      <c r="X62" s="288">
        <v>4503.0900005000003</v>
      </c>
      <c r="Y62" s="55">
        <f t="shared" si="10"/>
        <v>466895.8371912</v>
      </c>
      <c r="Z62" s="288">
        <v>1703760.4013359</v>
      </c>
      <c r="AA62" s="413">
        <v>24871.170958628998</v>
      </c>
      <c r="AB62" s="290">
        <v>689107.636802844</v>
      </c>
      <c r="AC62" s="50">
        <v>508330.18124383496</v>
      </c>
      <c r="AD62" s="290">
        <v>555486.82424383494</v>
      </c>
      <c r="AF62" s="290">
        <v>9480.1270000000004</v>
      </c>
      <c r="AG62" s="300">
        <v>15666.663593153104</v>
      </c>
      <c r="AH62" s="322"/>
      <c r="AJ62" s="90"/>
      <c r="AK62" s="49"/>
      <c r="AL62" s="49"/>
    </row>
    <row r="63" spans="1:38" x14ac:dyDescent="0.2">
      <c r="A63" s="22"/>
      <c r="B63" s="28" t="s">
        <v>4</v>
      </c>
      <c r="C63" s="49"/>
      <c r="D63" s="49"/>
      <c r="E63" s="50">
        <f>ROUND(AA63,0)+ROUND($W63/1000,0)</f>
        <v>19847</v>
      </c>
      <c r="F63" s="50">
        <f>ROUND(AB63,0)+ROUND($Z63/1000,0)</f>
        <v>589629</v>
      </c>
      <c r="G63" s="50">
        <f t="shared" si="7"/>
        <v>465966</v>
      </c>
      <c r="H63" s="50">
        <f t="shared" si="11"/>
        <v>14129</v>
      </c>
      <c r="I63" s="50">
        <f t="shared" si="12"/>
        <v>9475</v>
      </c>
      <c r="J63" s="50">
        <f t="shared" si="8"/>
        <v>1099046</v>
      </c>
      <c r="K63" s="50"/>
      <c r="L63" s="49"/>
      <c r="M63" s="50">
        <f t="shared" si="9"/>
        <v>19382</v>
      </c>
      <c r="N63" s="46"/>
      <c r="O63" s="47"/>
      <c r="P63" s="114" t="s">
        <v>263</v>
      </c>
      <c r="Q63" s="53">
        <f>SUM(W60:W64,W69:W71)/1000</f>
        <v>3609.5614574587003</v>
      </c>
      <c r="R63" s="47"/>
      <c r="S63" s="47"/>
      <c r="T63" s="47"/>
      <c r="U63" s="48"/>
      <c r="V63" s="305">
        <v>43191</v>
      </c>
      <c r="W63" s="287">
        <v>464569.87553070002</v>
      </c>
      <c r="X63" s="288">
        <v>4471.4730952</v>
      </c>
      <c r="Y63" s="55">
        <f t="shared" si="10"/>
        <v>460098.4024355</v>
      </c>
      <c r="Z63" s="288">
        <v>1293214.2449352001</v>
      </c>
      <c r="AA63" s="413">
        <v>19381.885010979702</v>
      </c>
      <c r="AB63" s="290">
        <v>588335.98634165002</v>
      </c>
      <c r="AC63" s="50">
        <v>465969.785230259</v>
      </c>
      <c r="AD63" s="290">
        <v>515135.85223025898</v>
      </c>
      <c r="AF63" s="290">
        <v>9474.9689999999991</v>
      </c>
      <c r="AG63" s="300">
        <v>14129.337734551698</v>
      </c>
      <c r="AH63" s="322"/>
      <c r="AJ63" s="90"/>
      <c r="AK63" s="49"/>
      <c r="AL63" s="49"/>
    </row>
    <row r="64" spans="1:38" x14ac:dyDescent="0.2">
      <c r="A64" s="22"/>
      <c r="B64" s="28" t="s">
        <v>5</v>
      </c>
      <c r="C64" s="49"/>
      <c r="D64" s="49"/>
      <c r="E64" s="50">
        <f>ROUND(AA64,0)+ROUND($W64/1000,0)</f>
        <v>15385</v>
      </c>
      <c r="F64" s="50">
        <f>ROUND(AB64,0)+ROUND($Z64/1000,0)</f>
        <v>552906</v>
      </c>
      <c r="G64" s="50">
        <f t="shared" si="7"/>
        <v>436268</v>
      </c>
      <c r="H64" s="195">
        <f t="shared" si="11"/>
        <v>10341</v>
      </c>
      <c r="I64" s="50">
        <f t="shared" si="12"/>
        <v>9470</v>
      </c>
      <c r="J64" s="50">
        <f t="shared" si="8"/>
        <v>1024370</v>
      </c>
      <c r="K64" s="50"/>
      <c r="L64" s="49"/>
      <c r="M64" s="50">
        <f t="shared" si="9"/>
        <v>14927</v>
      </c>
      <c r="N64" s="51" t="s">
        <v>29</v>
      </c>
      <c r="O64" s="52"/>
      <c r="P64" s="53"/>
      <c r="Q64" s="53">
        <f>+SUM(E65:E68)</f>
        <v>77643</v>
      </c>
      <c r="R64" s="53">
        <f>+SUM(F65:F68)</f>
        <v>3756035</v>
      </c>
      <c r="S64" s="53">
        <f>+SUM(G65:G68)</f>
        <v>2209279</v>
      </c>
      <c r="T64" s="53">
        <f>+SUM(H65:H68)</f>
        <v>58121</v>
      </c>
      <c r="U64" s="54">
        <f>+SUM(I65:I68)</f>
        <v>37828</v>
      </c>
      <c r="V64" s="305">
        <v>43221</v>
      </c>
      <c r="W64" s="287">
        <v>457893.06750289997</v>
      </c>
      <c r="X64" s="288">
        <v>4455.3368780999999</v>
      </c>
      <c r="Y64" s="55">
        <f t="shared" si="10"/>
        <v>453437.73062479997</v>
      </c>
      <c r="Z64" s="288">
        <v>961078.93891040003</v>
      </c>
      <c r="AA64" s="413">
        <v>14926.9446093193</v>
      </c>
      <c r="AB64" s="290">
        <v>551945.35872114601</v>
      </c>
      <c r="AC64" s="50">
        <v>436271.96970793803</v>
      </c>
      <c r="AD64" s="290">
        <v>489100.955707938</v>
      </c>
      <c r="AF64" s="290">
        <v>9469.8119999999999</v>
      </c>
      <c r="AG64" s="300">
        <v>10341.098849502399</v>
      </c>
      <c r="AH64" s="322"/>
      <c r="AJ64" s="90"/>
      <c r="AK64" s="49"/>
      <c r="AL64" s="49"/>
    </row>
    <row r="65" spans="1:38" x14ac:dyDescent="0.2">
      <c r="A65" s="22"/>
      <c r="B65" s="186" t="s">
        <v>6</v>
      </c>
      <c r="C65" s="187"/>
      <c r="D65" s="187"/>
      <c r="E65" s="188">
        <f>ROUND(AA65,0)+ROUND(SUM($W65+$Z65)/1000,0)</f>
        <v>16535</v>
      </c>
      <c r="F65" s="188">
        <f>ROUND(AB65,0)</f>
        <v>715966</v>
      </c>
      <c r="G65" s="188">
        <f t="shared" si="7"/>
        <v>508549</v>
      </c>
      <c r="H65" s="50">
        <f t="shared" si="11"/>
        <v>13565</v>
      </c>
      <c r="I65" s="188">
        <f t="shared" si="12"/>
        <v>9465</v>
      </c>
      <c r="J65" s="189">
        <f t="shared" si="8"/>
        <v>1264080</v>
      </c>
      <c r="K65" s="158"/>
      <c r="L65" s="49"/>
      <c r="M65" s="197">
        <f t="shared" si="9"/>
        <v>16084</v>
      </c>
      <c r="N65" s="114"/>
      <c r="O65" s="52"/>
      <c r="P65" s="130" t="s">
        <v>151</v>
      </c>
      <c r="Q65" s="53">
        <f>SUMPRODUCT(E38:E41,M65:M68)</f>
        <v>31007.910499999998</v>
      </c>
      <c r="R65" s="158">
        <f>Q$95/1000*T$95/(S$95/1000)</f>
        <v>1966233.6807635399</v>
      </c>
      <c r="S65" s="131" t="s">
        <v>177</v>
      </c>
      <c r="T65" s="53">
        <f>+SUMPRODUCT(H38:H41,H65:H68)</f>
        <v>27069.1777</v>
      </c>
      <c r="U65" s="56">
        <f>T65/T64</f>
        <v>0.46573833382082208</v>
      </c>
      <c r="V65" s="305">
        <v>43252</v>
      </c>
      <c r="W65" s="287">
        <v>451008.21692110004</v>
      </c>
      <c r="X65" s="288">
        <v>4412.0570854999996</v>
      </c>
      <c r="Y65" s="55">
        <f t="shared" si="10"/>
        <v>446596.15983560006</v>
      </c>
      <c r="Z65" s="288">
        <v>1026029.6711441</v>
      </c>
      <c r="AA65" s="413">
        <v>15057.990146324801</v>
      </c>
      <c r="AB65" s="290">
        <v>715966.23302269494</v>
      </c>
      <c r="AC65" s="50">
        <v>508553.34947173204</v>
      </c>
      <c r="AD65" s="290">
        <v>561369.66347173206</v>
      </c>
      <c r="AF65" s="290">
        <v>9464.6579999999994</v>
      </c>
      <c r="AG65" s="300">
        <v>13565.393794336402</v>
      </c>
      <c r="AH65" s="322"/>
      <c r="AJ65" s="90"/>
      <c r="AK65" s="49"/>
      <c r="AL65" s="49"/>
    </row>
    <row r="66" spans="1:38" x14ac:dyDescent="0.2">
      <c r="A66" s="22"/>
      <c r="B66" s="190" t="s">
        <v>7</v>
      </c>
      <c r="C66" s="191"/>
      <c r="D66" s="191"/>
      <c r="E66" s="158">
        <f>ROUND(AA66,0)+ROUND(SUM($W66+$Z66)/1000,0)</f>
        <v>20574</v>
      </c>
      <c r="F66" s="158">
        <f>ROUND(AB66,0)</f>
        <v>1004787</v>
      </c>
      <c r="G66" s="158">
        <f t="shared" si="7"/>
        <v>564605</v>
      </c>
      <c r="H66" s="50">
        <f t="shared" si="11"/>
        <v>14168</v>
      </c>
      <c r="I66" s="158">
        <f t="shared" si="12"/>
        <v>9460</v>
      </c>
      <c r="J66" s="192">
        <f t="shared" si="8"/>
        <v>1613594</v>
      </c>
      <c r="K66" s="158"/>
      <c r="L66" s="49"/>
      <c r="M66" s="198">
        <f t="shared" si="9"/>
        <v>20130</v>
      </c>
      <c r="N66" s="114"/>
      <c r="O66" s="52"/>
      <c r="P66" s="130" t="s">
        <v>152</v>
      </c>
      <c r="Q66" s="53">
        <f>SUMPRODUCT(Q38:Q41,M65:M68)</f>
        <v>44871.089500000002</v>
      </c>
      <c r="R66" s="158">
        <f>R$95/1000*T$95/(S$95/1000)</f>
        <v>1789801.3192364601</v>
      </c>
      <c r="S66" s="131" t="s">
        <v>178</v>
      </c>
      <c r="T66" s="53">
        <f>+T64-T65</f>
        <v>31051.8223</v>
      </c>
      <c r="U66" s="48"/>
      <c r="V66" s="305">
        <v>43282</v>
      </c>
      <c r="W66" s="287">
        <v>444429.60457440006</v>
      </c>
      <c r="X66" s="288">
        <v>4348.6047331</v>
      </c>
      <c r="Y66" s="55">
        <f t="shared" si="10"/>
        <v>440080.99984130007</v>
      </c>
      <c r="Z66" s="288">
        <v>1248292.6233738</v>
      </c>
      <c r="AA66" s="413">
        <v>18881.452187436498</v>
      </c>
      <c r="AB66" s="290">
        <v>1004786.97118935</v>
      </c>
      <c r="AC66" s="50">
        <v>564609.29122548294</v>
      </c>
      <c r="AD66" s="290">
        <v>625032.84622548299</v>
      </c>
      <c r="AF66" s="290">
        <v>9459.5069999999996</v>
      </c>
      <c r="AG66" s="300">
        <v>14167.925159521594</v>
      </c>
      <c r="AH66" s="322"/>
      <c r="AJ66" s="90"/>
      <c r="AK66" s="49"/>
      <c r="AL66" s="49"/>
    </row>
    <row r="67" spans="1:38" x14ac:dyDescent="0.2">
      <c r="A67" s="22"/>
      <c r="B67" s="190" t="s">
        <v>8</v>
      </c>
      <c r="C67" s="191"/>
      <c r="D67" s="191"/>
      <c r="E67" s="158">
        <f>ROUND(AA67,0)+ROUND(SUM($W67+$Z67)/1000,0)</f>
        <v>21951</v>
      </c>
      <c r="F67" s="158">
        <f>ROUND(AB67,0)</f>
        <v>1111718</v>
      </c>
      <c r="G67" s="158">
        <f t="shared" si="7"/>
        <v>587963</v>
      </c>
      <c r="H67" s="50">
        <f t="shared" si="11"/>
        <v>15782</v>
      </c>
      <c r="I67" s="158">
        <f t="shared" si="12"/>
        <v>9454</v>
      </c>
      <c r="J67" s="192">
        <f t="shared" si="8"/>
        <v>1746868</v>
      </c>
      <c r="K67" s="158"/>
      <c r="L67" s="49"/>
      <c r="M67" s="198">
        <f t="shared" si="9"/>
        <v>21513</v>
      </c>
      <c r="N67" s="58"/>
      <c r="O67" s="58"/>
      <c r="P67" s="114" t="s">
        <v>264</v>
      </c>
      <c r="Q67" s="53">
        <f>SUM(W65:W68)/1000</f>
        <v>1764.1423844134001</v>
      </c>
      <c r="R67" s="66"/>
      <c r="S67" s="58"/>
      <c r="T67" s="58"/>
      <c r="U67" s="59"/>
      <c r="V67" s="305">
        <v>43313</v>
      </c>
      <c r="W67" s="287">
        <v>437703.82789889997</v>
      </c>
      <c r="X67" s="288">
        <v>4302.3085903000001</v>
      </c>
      <c r="Y67" s="55">
        <f t="shared" si="10"/>
        <v>433401.51930859999</v>
      </c>
      <c r="Z67" s="288">
        <v>1303502.2858349001</v>
      </c>
      <c r="AA67" s="413">
        <v>20210.306567985801</v>
      </c>
      <c r="AB67" s="290">
        <v>1111717.70262687</v>
      </c>
      <c r="AC67" s="50">
        <v>587966.94902956497</v>
      </c>
      <c r="AD67" s="290">
        <v>649230.79502956499</v>
      </c>
      <c r="AE67" s="21"/>
      <c r="AF67" s="290">
        <v>9454.3590000000004</v>
      </c>
      <c r="AG67" s="300">
        <v>15781.708187981001</v>
      </c>
      <c r="AH67" s="322"/>
      <c r="AJ67" s="90"/>
      <c r="AK67" s="49"/>
      <c r="AL67" s="49"/>
    </row>
    <row r="68" spans="1:38" x14ac:dyDescent="0.2">
      <c r="A68" s="22"/>
      <c r="B68" s="193" t="s">
        <v>9</v>
      </c>
      <c r="C68" s="194"/>
      <c r="D68" s="194"/>
      <c r="E68" s="195">
        <f>ROUND(AA68,0)+ROUND(SUM($W68+$Z68)/1000,0)</f>
        <v>18583</v>
      </c>
      <c r="F68" s="195">
        <f>ROUND(AB68,0)</f>
        <v>923564</v>
      </c>
      <c r="G68" s="195">
        <f t="shared" si="7"/>
        <v>548162</v>
      </c>
      <c r="H68" s="195">
        <f t="shared" si="11"/>
        <v>14606</v>
      </c>
      <c r="I68" s="195">
        <f t="shared" si="12"/>
        <v>9449</v>
      </c>
      <c r="J68" s="196">
        <f t="shared" si="8"/>
        <v>1514364</v>
      </c>
      <c r="K68" s="158"/>
      <c r="L68" s="49"/>
      <c r="M68" s="199">
        <f t="shared" si="9"/>
        <v>18152</v>
      </c>
      <c r="N68" s="201" t="s">
        <v>255</v>
      </c>
      <c r="O68" s="41"/>
      <c r="P68" s="41"/>
      <c r="Q68" s="41" t="s">
        <v>130</v>
      </c>
      <c r="R68" s="41"/>
      <c r="S68" s="41"/>
      <c r="T68" s="41"/>
      <c r="U68" s="42"/>
      <c r="V68" s="305">
        <v>43344</v>
      </c>
      <c r="W68" s="287">
        <v>431000.73501900007</v>
      </c>
      <c r="X68" s="288">
        <v>4263.8549514000006</v>
      </c>
      <c r="Y68" s="55">
        <f t="shared" si="10"/>
        <v>426736.88006760005</v>
      </c>
      <c r="Z68" s="288">
        <v>1112732.5409321999</v>
      </c>
      <c r="AA68" s="413">
        <v>17038.862970017999</v>
      </c>
      <c r="AB68" s="290">
        <v>923564.02760898299</v>
      </c>
      <c r="AC68" s="50">
        <v>548165.96438928205</v>
      </c>
      <c r="AD68" s="290">
        <v>606331.97338928201</v>
      </c>
      <c r="AE68" s="173"/>
      <c r="AF68" s="290">
        <v>9449.2109999999993</v>
      </c>
      <c r="AG68" s="300">
        <v>14605.595506058</v>
      </c>
      <c r="AH68" s="322"/>
      <c r="AJ68" s="90"/>
      <c r="AK68" s="49"/>
      <c r="AL68" s="49"/>
    </row>
    <row r="69" spans="1:38" x14ac:dyDescent="0.2">
      <c r="A69" s="22"/>
      <c r="B69" s="28" t="s">
        <v>10</v>
      </c>
      <c r="C69" s="49"/>
      <c r="D69" s="49"/>
      <c r="E69" s="50">
        <f>ROUND(AA69,0)+ROUND($W69/1000,0)</f>
        <v>14081</v>
      </c>
      <c r="F69" s="50">
        <f>ROUND(AB69,0)+ROUND($Z69/1000,0)</f>
        <v>658509</v>
      </c>
      <c r="G69" s="50">
        <f t="shared" si="7"/>
        <v>477383</v>
      </c>
      <c r="H69" s="50">
        <f t="shared" si="11"/>
        <v>12752</v>
      </c>
      <c r="I69" s="50">
        <f t="shared" si="12"/>
        <v>9444</v>
      </c>
      <c r="J69" s="50">
        <f t="shared" si="8"/>
        <v>1172169</v>
      </c>
      <c r="K69" s="50"/>
      <c r="L69" s="49"/>
      <c r="M69" s="50">
        <f t="shared" si="9"/>
        <v>13656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305">
        <v>43374</v>
      </c>
      <c r="W69" s="287">
        <v>424583.96870499995</v>
      </c>
      <c r="X69" s="288">
        <v>4256.1845043000003</v>
      </c>
      <c r="Y69" s="55">
        <f t="shared" si="10"/>
        <v>420327.78420069994</v>
      </c>
      <c r="Z69" s="288">
        <v>920057.94926230004</v>
      </c>
      <c r="AA69" s="413">
        <v>13656.023813534699</v>
      </c>
      <c r="AB69" s="290">
        <v>657589.44345300202</v>
      </c>
      <c r="AC69" s="50">
        <v>477387.24944953603</v>
      </c>
      <c r="AD69" s="290">
        <v>533592.46844953601</v>
      </c>
      <c r="AF69" s="290">
        <v>9444.0679999999993</v>
      </c>
      <c r="AG69" s="300">
        <v>12751.7566700591</v>
      </c>
      <c r="AH69" s="322"/>
      <c r="AJ69" s="90"/>
      <c r="AK69" s="49"/>
      <c r="AL69" s="49"/>
    </row>
    <row r="70" spans="1:38" x14ac:dyDescent="0.2">
      <c r="A70" s="22"/>
      <c r="B70" s="28" t="s">
        <v>11</v>
      </c>
      <c r="C70" s="49"/>
      <c r="D70" s="49"/>
      <c r="E70" s="50">
        <f>ROUND(AA70,0)+ROUND($W70/1000,0)</f>
        <v>14764</v>
      </c>
      <c r="F70" s="50">
        <f>ROUND(AB70,0)+ROUND($Z70/1000,0)</f>
        <v>573321</v>
      </c>
      <c r="G70" s="50">
        <f t="shared" si="7"/>
        <v>453136</v>
      </c>
      <c r="H70" s="50">
        <f t="shared" si="11"/>
        <v>12796</v>
      </c>
      <c r="I70" s="50">
        <f t="shared" si="12"/>
        <v>9439</v>
      </c>
      <c r="J70" s="50">
        <f t="shared" si="8"/>
        <v>1063456</v>
      </c>
      <c r="K70" s="50"/>
      <c r="L70" s="49"/>
      <c r="M70" s="50">
        <f t="shared" si="9"/>
        <v>14346</v>
      </c>
      <c r="N70" s="46"/>
      <c r="O70" s="47"/>
      <c r="P70" s="47"/>
      <c r="Q70" s="47"/>
      <c r="R70" s="47"/>
      <c r="S70" s="47"/>
      <c r="T70" s="47"/>
      <c r="U70" s="48"/>
      <c r="V70" s="305">
        <v>43405</v>
      </c>
      <c r="W70" s="287">
        <v>417984.01565449999</v>
      </c>
      <c r="X70" s="288">
        <v>4215.8947844000004</v>
      </c>
      <c r="Y70" s="55">
        <f t="shared" si="10"/>
        <v>413768.12087009999</v>
      </c>
      <c r="Z70" s="288">
        <v>1035443.2074712</v>
      </c>
      <c r="AA70" s="413">
        <v>14345.676869766899</v>
      </c>
      <c r="AB70" s="290">
        <v>572285.67680189305</v>
      </c>
      <c r="AC70" s="50">
        <v>453140.30549563596</v>
      </c>
      <c r="AD70" s="290">
        <v>504091.23749563599</v>
      </c>
      <c r="AE70" s="90"/>
      <c r="AF70" s="290">
        <v>9438.9249999999993</v>
      </c>
      <c r="AG70" s="300">
        <v>12795.746913092702</v>
      </c>
      <c r="AH70" s="322"/>
      <c r="AJ70" s="90"/>
      <c r="AK70" s="49"/>
      <c r="AL70" s="49"/>
    </row>
    <row r="71" spans="1:38" x14ac:dyDescent="0.2">
      <c r="A71" s="22"/>
      <c r="B71" s="28" t="s">
        <v>12</v>
      </c>
      <c r="C71" s="49"/>
      <c r="D71" s="49"/>
      <c r="E71" s="50">
        <f>ROUND(AA71,0)+ROUND($W71/1000,0)</f>
        <v>20028</v>
      </c>
      <c r="F71" s="50">
        <f>ROUND(AB71,0)+ROUND($Z71/1000,0)</f>
        <v>678062</v>
      </c>
      <c r="G71" s="50">
        <f t="shared" si="7"/>
        <v>472439</v>
      </c>
      <c r="H71" s="50">
        <f t="shared" si="11"/>
        <v>13077</v>
      </c>
      <c r="I71" s="50">
        <f t="shared" si="12"/>
        <v>9434</v>
      </c>
      <c r="J71" s="50">
        <f t="shared" si="8"/>
        <v>1193040</v>
      </c>
      <c r="K71" s="50"/>
      <c r="L71" s="49"/>
      <c r="M71" s="200">
        <f t="shared" si="9"/>
        <v>19616</v>
      </c>
      <c r="N71" s="51"/>
      <c r="O71" s="52"/>
      <c r="P71" s="115" t="s">
        <v>148</v>
      </c>
      <c r="Q71" s="53">
        <f>SUM(E60:E64,E69:E71)</f>
        <v>163437</v>
      </c>
      <c r="R71" s="53"/>
      <c r="S71" s="115" t="s">
        <v>148</v>
      </c>
      <c r="T71" s="53">
        <f>SUM(H60:H64,H69:H71)</f>
        <v>108978</v>
      </c>
      <c r="U71" s="54"/>
      <c r="V71" s="305">
        <v>43435</v>
      </c>
      <c r="W71" s="308">
        <v>411583.68909199996</v>
      </c>
      <c r="X71" s="306">
        <v>4150.6522543999999</v>
      </c>
      <c r="Y71" s="55">
        <f t="shared" si="10"/>
        <v>407433.03683759994</v>
      </c>
      <c r="Z71" s="306">
        <v>1432508.5301492999</v>
      </c>
      <c r="AA71" s="413">
        <v>19616.3468370062</v>
      </c>
      <c r="AB71" s="304">
        <v>676629.10559600696</v>
      </c>
      <c r="AC71" s="200">
        <v>472443.27835132903</v>
      </c>
      <c r="AD71" s="304">
        <v>521307.46335132903</v>
      </c>
      <c r="AE71" s="38"/>
      <c r="AF71" s="290">
        <v>9433.7849999999999</v>
      </c>
      <c r="AG71" s="300">
        <v>13077.117372242101</v>
      </c>
      <c r="AH71" s="322"/>
      <c r="AJ71" s="90"/>
      <c r="AK71" s="49"/>
      <c r="AL71" s="49"/>
    </row>
    <row r="72" spans="1:38" x14ac:dyDescent="0.2">
      <c r="A72" s="22"/>
      <c r="B72" s="60" t="s">
        <v>13</v>
      </c>
      <c r="C72" s="55"/>
      <c r="D72" s="55"/>
      <c r="E72" s="55">
        <f>SUM(E60:E71)</f>
        <v>241080</v>
      </c>
      <c r="F72" s="55">
        <f>SUM(F60:F71)</f>
        <v>9058708</v>
      </c>
      <c r="G72" s="55">
        <f>SUM(G60:G71)</f>
        <v>6027080</v>
      </c>
      <c r="H72" s="55">
        <f>SUM(H60:H71)</f>
        <v>167099</v>
      </c>
      <c r="I72" s="55">
        <f>SUM(I60:I71)</f>
        <v>113545</v>
      </c>
      <c r="J72" s="55">
        <f t="shared" si="8"/>
        <v>15607512</v>
      </c>
      <c r="K72" s="55"/>
      <c r="L72" s="55"/>
      <c r="M72" s="55">
        <f>SUM(M60:M71)</f>
        <v>235706</v>
      </c>
      <c r="N72" s="51"/>
      <c r="O72" s="52"/>
      <c r="P72" s="114" t="s">
        <v>146</v>
      </c>
      <c r="Q72" s="53">
        <f>SUMPRODUCT(E15:E19,E60:E64)+SUMPRODUCT(E24:E26,E69:E71)</f>
        <v>81015.231499999994</v>
      </c>
      <c r="R72" s="47">
        <f>Q72/Q71</f>
        <v>0.49569700557401319</v>
      </c>
      <c r="S72" s="114" t="s">
        <v>177</v>
      </c>
      <c r="T72" s="53">
        <f>SUMPRODUCT(H15:H19,H60:H64)+SUMPRODUCT(H24:H26,H69:H71)</f>
        <v>60502.088799999998</v>
      </c>
      <c r="U72" s="48">
        <f>T72/T71</f>
        <v>0.55517708895373374</v>
      </c>
      <c r="W72" s="55">
        <f t="shared" ref="W72:AF72" si="13">SUM(W60:W71)</f>
        <v>5373703.8418720998</v>
      </c>
      <c r="X72" s="55">
        <f t="shared" si="13"/>
        <v>52537.069792000009</v>
      </c>
      <c r="Y72" s="55">
        <f t="shared" si="13"/>
        <v>5321166.7720801001</v>
      </c>
      <c r="Z72" s="55">
        <f t="shared" si="13"/>
        <v>15848148.266617103</v>
      </c>
      <c r="AA72" s="55">
        <f t="shared" si="13"/>
        <v>231015.73779991857</v>
      </c>
      <c r="AB72" s="55">
        <f t="shared" si="13"/>
        <v>9047550.0871613882</v>
      </c>
      <c r="AC72" s="55">
        <f t="shared" si="13"/>
        <v>6027132.0664991159</v>
      </c>
      <c r="AD72" s="55">
        <f t="shared" si="13"/>
        <v>6664534.7774991151</v>
      </c>
      <c r="AE72" s="311"/>
      <c r="AF72" s="55">
        <f t="shared" si="13"/>
        <v>113545.159</v>
      </c>
      <c r="AG72" s="55">
        <f>SUM(AG60:AG71)</f>
        <v>167098.76139225002</v>
      </c>
      <c r="AH72" s="310"/>
      <c r="AJ72" s="321"/>
      <c r="AK72" s="322"/>
      <c r="AL72" s="322"/>
    </row>
    <row r="73" spans="1:38" x14ac:dyDescent="0.2">
      <c r="A73" s="22"/>
      <c r="B73" s="28"/>
      <c r="G73" s="50" t="s">
        <v>289</v>
      </c>
      <c r="K73" s="61"/>
      <c r="N73" s="51"/>
      <c r="O73" s="52"/>
      <c r="P73" s="114" t="s">
        <v>145</v>
      </c>
      <c r="Q73" s="53">
        <f>+Q71-Q72</f>
        <v>82421.768500000006</v>
      </c>
      <c r="R73" s="47"/>
      <c r="S73" s="114" t="s">
        <v>178</v>
      </c>
      <c r="T73" s="53">
        <f>+T71-T72</f>
        <v>48475.911200000002</v>
      </c>
      <c r="U73" s="48"/>
      <c r="AD73" s="293"/>
      <c r="AE73" s="294"/>
      <c r="AG73" s="293"/>
      <c r="AH73" s="294"/>
      <c r="AK73" s="55" t="s">
        <v>255</v>
      </c>
    </row>
    <row r="74" spans="1:38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21" t="s">
        <v>287</v>
      </c>
      <c r="AC74" s="21" t="s">
        <v>288</v>
      </c>
      <c r="AE74" s="14"/>
      <c r="AK74" s="55" t="s">
        <v>255</v>
      </c>
    </row>
    <row r="75" spans="1:38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77643</v>
      </c>
      <c r="R75" s="44"/>
      <c r="S75" s="116" t="s">
        <v>149</v>
      </c>
      <c r="T75" s="53">
        <f>+SUM(H65:H68)</f>
        <v>58121</v>
      </c>
      <c r="U75" s="45"/>
      <c r="V75" s="55">
        <f t="shared" ref="V75:V86" si="14">W60-W75</f>
        <v>200448.79845649999</v>
      </c>
      <c r="W75" s="55">
        <f t="shared" ref="W75:W86" si="15">SUM(X75:Z75)</f>
        <v>283635.88048079994</v>
      </c>
      <c r="X75" s="289">
        <v>3603.7155610999998</v>
      </c>
      <c r="Y75" s="288">
        <v>277789.55187089997</v>
      </c>
      <c r="Z75" s="288">
        <v>2242.6130487999999</v>
      </c>
      <c r="AA75" s="55"/>
      <c r="AB75" s="307">
        <f t="shared" ref="AB75:AB86" si="16">(V75*$AA$94+W75*$AA$95)/1000</f>
        <v>105.35631987197432</v>
      </c>
      <c r="AC75" s="307">
        <f t="shared" ref="AC75:AC86" si="17">(W60/1000)-AB75</f>
        <v>378.72835906532561</v>
      </c>
      <c r="AG75" s="55"/>
    </row>
    <row r="76" spans="1:38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40104.392</v>
      </c>
      <c r="R76" s="47">
        <f>Q76/Q75</f>
        <v>0.51652295763945233</v>
      </c>
      <c r="S76" s="131" t="s">
        <v>177</v>
      </c>
      <c r="T76" s="53">
        <f>+SUMPRODUCT(H20:H23,H65:H68)</f>
        <v>33748.0602</v>
      </c>
      <c r="U76" s="48">
        <f>T76/T75</f>
        <v>0.58065174721701274</v>
      </c>
      <c r="V76" s="55">
        <f t="shared" si="14"/>
        <v>198277.1483533</v>
      </c>
      <c r="W76" s="55">
        <f t="shared" si="15"/>
        <v>279186.08649129997</v>
      </c>
      <c r="X76" s="289">
        <v>3566.5978057000002</v>
      </c>
      <c r="Y76" s="288">
        <v>273451.683204</v>
      </c>
      <c r="Z76" s="288">
        <v>2167.8054815999999</v>
      </c>
      <c r="AA76" s="55"/>
      <c r="AB76" s="307">
        <f t="shared" si="16"/>
        <v>103.81928930638675</v>
      </c>
      <c r="AC76" s="307">
        <f t="shared" si="17"/>
        <v>373.64394553821325</v>
      </c>
      <c r="AD76" s="13"/>
      <c r="AF76" s="63">
        <f>AA60/1000</f>
        <v>26.107613694167298</v>
      </c>
      <c r="AG76" s="63">
        <f>AB60/1000</f>
        <v>797.35965613194207</v>
      </c>
    </row>
    <row r="77" spans="1:38" x14ac:dyDescent="0.2">
      <c r="A77" s="22"/>
      <c r="C77" s="63"/>
      <c r="D77" s="26" t="s">
        <v>169</v>
      </c>
      <c r="E77" s="63"/>
      <c r="G77" s="26"/>
      <c r="N77" s="64"/>
      <c r="O77" s="65"/>
      <c r="P77" s="117" t="s">
        <v>145</v>
      </c>
      <c r="Q77" s="66">
        <f>Q75-Q76</f>
        <v>37538.608</v>
      </c>
      <c r="R77" s="58"/>
      <c r="S77" s="132" t="s">
        <v>178</v>
      </c>
      <c r="T77" s="66">
        <f>T75-T76</f>
        <v>24372.9398</v>
      </c>
      <c r="U77" s="59"/>
      <c r="V77" s="55">
        <f t="shared" si="14"/>
        <v>196281.72715769999</v>
      </c>
      <c r="W77" s="55">
        <f t="shared" si="15"/>
        <v>275117.20003400004</v>
      </c>
      <c r="X77" s="289">
        <v>3530.8248339000002</v>
      </c>
      <c r="Y77" s="288">
        <v>269487.53938720003</v>
      </c>
      <c r="Z77" s="288">
        <v>2098.8358128999998</v>
      </c>
      <c r="AA77" s="55"/>
      <c r="AB77" s="307">
        <f t="shared" si="16"/>
        <v>102.41267952487958</v>
      </c>
      <c r="AC77" s="307">
        <f t="shared" si="17"/>
        <v>368.98624766682042</v>
      </c>
      <c r="AD77" s="55">
        <f>SUM(AB65:AB68)</f>
        <v>3756034.9344478976</v>
      </c>
      <c r="AF77" s="63">
        <f t="shared" ref="AF77:AG87" si="18">AA61/1000</f>
        <v>26.921464134750401</v>
      </c>
      <c r="AG77" s="63">
        <f t="shared" si="18"/>
        <v>758.26228886500496</v>
      </c>
    </row>
    <row r="78" spans="1:38" x14ac:dyDescent="0.2">
      <c r="A78" s="22"/>
      <c r="C78" s="26" t="s">
        <v>14</v>
      </c>
      <c r="D78" s="26" t="s">
        <v>170</v>
      </c>
      <c r="E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4"/>
        <v>194019.76662060001</v>
      </c>
      <c r="W78" s="55">
        <f t="shared" si="15"/>
        <v>270550.10891010001</v>
      </c>
      <c r="X78" s="289">
        <v>3509.6337545000001</v>
      </c>
      <c r="Y78" s="288">
        <v>265018.29992070002</v>
      </c>
      <c r="Z78" s="288">
        <v>2022.1752349000001</v>
      </c>
      <c r="AA78" s="55"/>
      <c r="AB78" s="307">
        <f t="shared" si="16"/>
        <v>100.8311962740127</v>
      </c>
      <c r="AC78" s="307">
        <f t="shared" si="17"/>
        <v>363.73867925668731</v>
      </c>
      <c r="AF78" s="63">
        <f t="shared" si="18"/>
        <v>24.871170958628998</v>
      </c>
      <c r="AG78" s="63">
        <f t="shared" si="18"/>
        <v>689.10763680284401</v>
      </c>
    </row>
    <row r="79" spans="1:38" x14ac:dyDescent="0.2">
      <c r="A79" s="22"/>
      <c r="B79" s="28" t="s">
        <v>1</v>
      </c>
      <c r="C79" s="69">
        <v>51.78</v>
      </c>
      <c r="D79" s="312">
        <v>0.77923598230200686</v>
      </c>
      <c r="E79" s="182">
        <f t="shared" ref="E79:E90" si="19">ROUND(C79*D79,3)</f>
        <v>40.348999999999997</v>
      </c>
      <c r="H79" s="33">
        <v>0.89737928961232749</v>
      </c>
      <c r="I79" s="33">
        <v>0.91688492871560512</v>
      </c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4"/>
        <v>191798.55553419999</v>
      </c>
      <c r="W79" s="55">
        <f t="shared" si="15"/>
        <v>266094.51196869998</v>
      </c>
      <c r="X79" s="289">
        <v>3500.3296442000001</v>
      </c>
      <c r="Y79" s="288">
        <v>260645.86184289999</v>
      </c>
      <c r="Z79" s="288">
        <v>1948.3204816</v>
      </c>
      <c r="AA79" s="55"/>
      <c r="AB79" s="307">
        <f t="shared" si="16"/>
        <v>99.286598305517941</v>
      </c>
      <c r="AC79" s="307">
        <f t="shared" si="17"/>
        <v>358.60646919738201</v>
      </c>
      <c r="AF79" s="63">
        <f t="shared" si="18"/>
        <v>19.381885010979701</v>
      </c>
      <c r="AG79" s="63">
        <f t="shared" si="18"/>
        <v>588.33598634165003</v>
      </c>
    </row>
    <row r="80" spans="1:38" x14ac:dyDescent="0.2">
      <c r="A80" s="22"/>
      <c r="B80" s="28" t="s">
        <v>2</v>
      </c>
      <c r="C80" s="69">
        <v>48.72</v>
      </c>
      <c r="D80" s="111">
        <f>+$D$79</f>
        <v>0.77923598230200686</v>
      </c>
      <c r="E80" s="182">
        <f t="shared" si="19"/>
        <v>37.963999999999999</v>
      </c>
      <c r="H80" s="177">
        <f>H79</f>
        <v>0.89737928961232749</v>
      </c>
      <c r="I80" s="177">
        <f>I79</f>
        <v>0.91688492871560512</v>
      </c>
      <c r="N80" s="46"/>
      <c r="O80" s="47"/>
      <c r="P80" s="47"/>
      <c r="Q80" s="47"/>
      <c r="R80" s="47"/>
      <c r="S80" s="47"/>
      <c r="T80" s="47"/>
      <c r="U80" s="48"/>
      <c r="V80" s="55">
        <f t="shared" si="14"/>
        <v>189514.32907790004</v>
      </c>
      <c r="W80" s="55">
        <f t="shared" si="15"/>
        <v>261493.88784320001</v>
      </c>
      <c r="X80" s="289">
        <v>3470.0088234999998</v>
      </c>
      <c r="Y80" s="288">
        <v>256152.35611550001</v>
      </c>
      <c r="Z80" s="288">
        <v>1871.5229042000001</v>
      </c>
      <c r="AA80" s="55"/>
      <c r="AB80" s="307">
        <f t="shared" si="16"/>
        <v>97.69282975359981</v>
      </c>
      <c r="AC80" s="307">
        <f t="shared" si="17"/>
        <v>353.31538716750021</v>
      </c>
      <c r="AF80" s="63">
        <f t="shared" si="18"/>
        <v>14.9269446093193</v>
      </c>
      <c r="AG80" s="63">
        <f t="shared" si="18"/>
        <v>551.94535872114602</v>
      </c>
    </row>
    <row r="81" spans="1:33" x14ac:dyDescent="0.2">
      <c r="A81" s="22"/>
      <c r="B81" s="28" t="s">
        <v>3</v>
      </c>
      <c r="C81" s="69">
        <v>38.19</v>
      </c>
      <c r="D81" s="111">
        <f>+$D$79</f>
        <v>0.77923598230200686</v>
      </c>
      <c r="E81" s="182">
        <f t="shared" si="19"/>
        <v>29.759</v>
      </c>
      <c r="H81" s="177">
        <f>H79</f>
        <v>0.89737928961232749</v>
      </c>
      <c r="I81" s="177">
        <f>I79</f>
        <v>0.91688492871560512</v>
      </c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4"/>
        <v>187344.05422230007</v>
      </c>
      <c r="W81" s="55">
        <f t="shared" si="15"/>
        <v>257085.55035209999</v>
      </c>
      <c r="X81" s="289">
        <v>3423.5094672</v>
      </c>
      <c r="Y81" s="288">
        <v>251864.45400239999</v>
      </c>
      <c r="Z81" s="288">
        <v>1797.5868825</v>
      </c>
      <c r="AA81" s="55"/>
      <c r="AB81" s="307">
        <f t="shared" si="16"/>
        <v>96.167874058489332</v>
      </c>
      <c r="AC81" s="307">
        <f t="shared" si="17"/>
        <v>348.2617305159107</v>
      </c>
      <c r="AF81" s="63">
        <f t="shared" si="18"/>
        <v>15.057990146324801</v>
      </c>
      <c r="AG81" s="63">
        <f t="shared" si="18"/>
        <v>715.96623302269495</v>
      </c>
    </row>
    <row r="82" spans="1:33" x14ac:dyDescent="0.2">
      <c r="A82" s="22"/>
      <c r="B82" s="28" t="s">
        <v>4</v>
      </c>
      <c r="C82" s="69">
        <v>34.25</v>
      </c>
      <c r="D82" s="111">
        <f>+$D$79</f>
        <v>0.77923598230200686</v>
      </c>
      <c r="E82" s="182">
        <f t="shared" si="19"/>
        <v>26.689</v>
      </c>
      <c r="H82" s="177">
        <f>H79</f>
        <v>0.89737928961232749</v>
      </c>
      <c r="I82" s="177">
        <f>I79</f>
        <v>0.91688492871560512</v>
      </c>
      <c r="N82" s="51"/>
      <c r="O82" s="52"/>
      <c r="P82" s="114" t="s">
        <v>147</v>
      </c>
      <c r="Q82" s="53">
        <f>Q72-Q61</f>
        <v>24256.506099999999</v>
      </c>
      <c r="R82" s="47"/>
      <c r="S82" s="114" t="s">
        <v>147</v>
      </c>
      <c r="T82" s="53">
        <f>T72-T61</f>
        <v>12619.290399999998</v>
      </c>
      <c r="U82" s="48"/>
      <c r="V82" s="55">
        <f t="shared" si="14"/>
        <v>185127.79121019997</v>
      </c>
      <c r="W82" s="55">
        <f t="shared" si="15"/>
        <v>252576.0366887</v>
      </c>
      <c r="X82" s="289">
        <v>3390.7866438999999</v>
      </c>
      <c r="Y82" s="288">
        <v>247463.7259516</v>
      </c>
      <c r="Z82" s="288">
        <v>1721.5240931999999</v>
      </c>
      <c r="AA82" s="55"/>
      <c r="AB82" s="307">
        <f t="shared" si="16"/>
        <v>94.6083739637414</v>
      </c>
      <c r="AC82" s="307">
        <f t="shared" si="17"/>
        <v>343.09545393515862</v>
      </c>
      <c r="AF82" s="63">
        <f t="shared" si="18"/>
        <v>18.881452187436498</v>
      </c>
      <c r="AG82" s="63">
        <f t="shared" si="18"/>
        <v>1004.78697118935</v>
      </c>
    </row>
    <row r="83" spans="1:33" x14ac:dyDescent="0.2">
      <c r="A83" s="22"/>
      <c r="B83" s="28" t="s">
        <v>5</v>
      </c>
      <c r="C83" s="69">
        <v>33.159999999999997</v>
      </c>
      <c r="D83" s="111">
        <f>+$D$79</f>
        <v>0.77923598230200686</v>
      </c>
      <c r="E83" s="182">
        <f t="shared" si="19"/>
        <v>25.838999999999999</v>
      </c>
      <c r="H83" s="177">
        <f>H79</f>
        <v>0.89737928961232749</v>
      </c>
      <c r="I83" s="177">
        <f>I79</f>
        <v>0.91688492871560512</v>
      </c>
      <c r="N83" s="51"/>
      <c r="O83" s="52"/>
      <c r="P83" s="114" t="s">
        <v>150</v>
      </c>
      <c r="Q83" s="140">
        <f>Q82*(E117-E118)</f>
        <v>199650.17595151946</v>
      </c>
      <c r="R83" s="47"/>
      <c r="S83" s="114" t="s">
        <v>150</v>
      </c>
      <c r="T83" s="140">
        <f>T82*(H117-H118)</f>
        <v>98627.362512990512</v>
      </c>
      <c r="U83" s="48"/>
      <c r="V83" s="55">
        <f t="shared" si="14"/>
        <v>182918.84607850006</v>
      </c>
      <c r="W83" s="55">
        <f t="shared" si="15"/>
        <v>248081.88894050001</v>
      </c>
      <c r="X83" s="289">
        <v>3364.2428441000002</v>
      </c>
      <c r="Y83" s="288">
        <v>243071.34652980001</v>
      </c>
      <c r="Z83" s="288">
        <v>1646.2995665999999</v>
      </c>
      <c r="AA83" s="55"/>
      <c r="AB83" s="307">
        <f t="shared" si="16"/>
        <v>93.054159931581381</v>
      </c>
      <c r="AC83" s="307">
        <f t="shared" si="17"/>
        <v>337.94657508741864</v>
      </c>
      <c r="AF83" s="63">
        <f t="shared" si="18"/>
        <v>20.2103065679858</v>
      </c>
      <c r="AG83" s="63">
        <f t="shared" si="18"/>
        <v>1111.7177026268701</v>
      </c>
    </row>
    <row r="84" spans="1:33" x14ac:dyDescent="0.2">
      <c r="A84" s="22"/>
      <c r="B84" s="28" t="s">
        <v>6</v>
      </c>
      <c r="C84" s="323">
        <v>34.130000000000003</v>
      </c>
      <c r="D84" s="313">
        <v>0.65081849678525516</v>
      </c>
      <c r="E84" s="183">
        <f t="shared" si="19"/>
        <v>22.212</v>
      </c>
      <c r="H84" s="128">
        <v>0.93682383966970639</v>
      </c>
      <c r="I84" s="129">
        <v>0.88157773942706075</v>
      </c>
      <c r="N84" s="46"/>
      <c r="O84" s="47"/>
      <c r="P84" s="47"/>
      <c r="Q84" s="68"/>
      <c r="R84" s="47"/>
      <c r="S84" s="47"/>
      <c r="T84" s="68"/>
      <c r="U84" s="48"/>
      <c r="V84" s="55">
        <f t="shared" si="14"/>
        <v>180805.08255919995</v>
      </c>
      <c r="W84" s="55">
        <f t="shared" si="15"/>
        <v>243778.8861458</v>
      </c>
      <c r="X84" s="289">
        <v>3361.7209757000001</v>
      </c>
      <c r="Y84" s="288">
        <v>238844.36049319999</v>
      </c>
      <c r="Z84" s="288">
        <v>1572.8046769</v>
      </c>
      <c r="AA84" s="55"/>
      <c r="AB84" s="307">
        <f t="shared" si="16"/>
        <v>91.566196209652674</v>
      </c>
      <c r="AC84" s="307">
        <f t="shared" si="17"/>
        <v>333.01777249534729</v>
      </c>
      <c r="AF84" s="63">
        <f t="shared" si="18"/>
        <v>17.038862970017998</v>
      </c>
      <c r="AG84" s="63">
        <f t="shared" si="18"/>
        <v>923.564027608983</v>
      </c>
    </row>
    <row r="85" spans="1:33" x14ac:dyDescent="0.2">
      <c r="A85" s="22"/>
      <c r="B85" s="28" t="s">
        <v>7</v>
      </c>
      <c r="C85" s="324">
        <v>39.56</v>
      </c>
      <c r="D85" s="221">
        <f>+$D$84</f>
        <v>0.65081849678525516</v>
      </c>
      <c r="E85" s="184">
        <f t="shared" si="19"/>
        <v>25.745999999999999</v>
      </c>
      <c r="H85" s="175">
        <f t="shared" ref="H85:I87" si="20">H84</f>
        <v>0.93682383966970639</v>
      </c>
      <c r="I85" s="178">
        <f t="shared" si="20"/>
        <v>0.88157773942706075</v>
      </c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4"/>
        <v>178641.35353369999</v>
      </c>
      <c r="W85" s="55">
        <f t="shared" si="15"/>
        <v>239342.6621208</v>
      </c>
      <c r="X85" s="289">
        <v>3333.7620565000002</v>
      </c>
      <c r="Y85" s="288">
        <v>234511.71598469999</v>
      </c>
      <c r="Z85" s="288">
        <v>1497.1840795999999</v>
      </c>
      <c r="AA85" s="55"/>
      <c r="AB85" s="307">
        <f t="shared" si="16"/>
        <v>90.034007508957856</v>
      </c>
      <c r="AC85" s="307">
        <f t="shared" si="17"/>
        <v>327.95000814554214</v>
      </c>
      <c r="AF85" s="63">
        <f t="shared" si="18"/>
        <v>13.656023813534699</v>
      </c>
      <c r="AG85" s="63">
        <f t="shared" si="18"/>
        <v>657.58944345300199</v>
      </c>
    </row>
    <row r="86" spans="1:33" x14ac:dyDescent="0.2">
      <c r="A86" s="22"/>
      <c r="B86" s="28" t="s">
        <v>8</v>
      </c>
      <c r="C86" s="324">
        <v>36.56</v>
      </c>
      <c r="D86" s="221">
        <f>+$D$84</f>
        <v>0.65081849678525516</v>
      </c>
      <c r="E86" s="184">
        <f t="shared" si="19"/>
        <v>23.794</v>
      </c>
      <c r="H86" s="175">
        <f t="shared" si="20"/>
        <v>0.93682383966970639</v>
      </c>
      <c r="I86" s="178">
        <f t="shared" si="20"/>
        <v>0.88157773942706075</v>
      </c>
      <c r="N86" s="51"/>
      <c r="O86" s="52"/>
      <c r="P86" s="114" t="s">
        <v>147</v>
      </c>
      <c r="Q86" s="53">
        <f>Q76-Q65</f>
        <v>9096.4815000000017</v>
      </c>
      <c r="R86" s="47"/>
      <c r="S86" s="114" t="s">
        <v>147</v>
      </c>
      <c r="T86" s="53">
        <f>T76-T65</f>
        <v>6678.8824999999997</v>
      </c>
      <c r="U86" s="48"/>
      <c r="V86" s="55">
        <f t="shared" si="14"/>
        <v>176547.76464739998</v>
      </c>
      <c r="W86" s="55">
        <f t="shared" si="15"/>
        <v>235035.92444459998</v>
      </c>
      <c r="X86" s="309">
        <v>3285.9983014999998</v>
      </c>
      <c r="Y86" s="306">
        <v>230325.223631</v>
      </c>
      <c r="Z86" s="306">
        <v>1424.7025120999999</v>
      </c>
      <c r="AA86" s="55"/>
      <c r="AB86" s="307">
        <f t="shared" si="16"/>
        <v>88.547372434665959</v>
      </c>
      <c r="AC86" s="307">
        <f t="shared" si="17"/>
        <v>323.03631665733394</v>
      </c>
      <c r="AF86" s="63">
        <f>AA70/1000</f>
        <v>14.345676869766899</v>
      </c>
      <c r="AG86" s="63">
        <f>AB70/1000</f>
        <v>572.28567680189303</v>
      </c>
    </row>
    <row r="87" spans="1:33" x14ac:dyDescent="0.2">
      <c r="A87" s="22"/>
      <c r="B87" s="28" t="s">
        <v>9</v>
      </c>
      <c r="C87" s="325">
        <v>35.130000000000003</v>
      </c>
      <c r="D87" s="222">
        <f>+$D$84</f>
        <v>0.65081849678525516</v>
      </c>
      <c r="E87" s="185">
        <f t="shared" si="19"/>
        <v>22.863</v>
      </c>
      <c r="H87" s="176">
        <f t="shared" si="20"/>
        <v>0.93682383966970639</v>
      </c>
      <c r="I87" s="179">
        <f t="shared" si="20"/>
        <v>0.88157773942706075</v>
      </c>
      <c r="N87" s="64"/>
      <c r="O87" s="65"/>
      <c r="P87" s="117" t="s">
        <v>150</v>
      </c>
      <c r="Q87" s="141">
        <f>Q86*(E113-E114)</f>
        <v>134371.24374087213</v>
      </c>
      <c r="R87" s="58"/>
      <c r="S87" s="117" t="s">
        <v>150</v>
      </c>
      <c r="T87" s="141">
        <f>T86*(H113-H114)</f>
        <v>98109.763700497642</v>
      </c>
      <c r="U87" s="59"/>
      <c r="V87" s="55">
        <f>SUM(V75:V86)</f>
        <v>2261725.2174515002</v>
      </c>
      <c r="W87" s="55">
        <f>SUM(W75:W86)</f>
        <v>3111978.6244206</v>
      </c>
      <c r="X87" s="55">
        <f>SUM(X75:X86)</f>
        <v>41341.130711800011</v>
      </c>
      <c r="Y87" s="55">
        <f>SUM(Y75:Y86)</f>
        <v>3048626.1189338998</v>
      </c>
      <c r="Z87" s="55">
        <f>SUM(Z75:Z86)</f>
        <v>22011.374774899999</v>
      </c>
      <c r="AA87" s="55"/>
      <c r="AB87" s="55">
        <f>SUM(AB75:AB86)</f>
        <v>1163.3768971434597</v>
      </c>
      <c r="AC87" s="55">
        <f>SUM(AC75:AC86)</f>
        <v>4210.3269447286402</v>
      </c>
      <c r="AF87" s="63">
        <f t="shared" si="18"/>
        <v>19.616346837006201</v>
      </c>
      <c r="AG87" s="63">
        <f t="shared" si="18"/>
        <v>676.62910559600698</v>
      </c>
    </row>
    <row r="88" spans="1:33" x14ac:dyDescent="0.2">
      <c r="A88" s="22"/>
      <c r="B88" s="28" t="s">
        <v>10</v>
      </c>
      <c r="C88" s="69">
        <v>33.979999999999997</v>
      </c>
      <c r="D88" s="111">
        <f>+$D$79</f>
        <v>0.77923598230200686</v>
      </c>
      <c r="E88" s="182">
        <f t="shared" si="19"/>
        <v>26.478000000000002</v>
      </c>
      <c r="H88" s="177">
        <f>H79</f>
        <v>0.89737928961232749</v>
      </c>
      <c r="I88" s="177">
        <f>I79</f>
        <v>0.91688492871560512</v>
      </c>
    </row>
    <row r="89" spans="1:33" x14ac:dyDescent="0.2">
      <c r="A89" s="22"/>
      <c r="B89" s="28" t="s">
        <v>11</v>
      </c>
      <c r="C89" s="69">
        <v>33.799999999999997</v>
      </c>
      <c r="D89" s="111">
        <f>+$D$79</f>
        <v>0.77923598230200686</v>
      </c>
      <c r="E89" s="182">
        <f t="shared" si="19"/>
        <v>26.338000000000001</v>
      </c>
      <c r="H89" s="177">
        <f>H79</f>
        <v>0.89737928961232749</v>
      </c>
      <c r="I89" s="177">
        <f>I79</f>
        <v>0.91688492871560512</v>
      </c>
    </row>
    <row r="90" spans="1:33" x14ac:dyDescent="0.2">
      <c r="A90" s="22"/>
      <c r="B90" s="28" t="s">
        <v>12</v>
      </c>
      <c r="C90" s="69">
        <v>36</v>
      </c>
      <c r="D90" s="111">
        <f>+$D$79</f>
        <v>0.77923598230200686</v>
      </c>
      <c r="E90" s="182">
        <f t="shared" si="19"/>
        <v>28.052</v>
      </c>
      <c r="G90" s="70"/>
      <c r="H90" s="177">
        <f>H79</f>
        <v>0.89737928961232749</v>
      </c>
      <c r="I90" s="177">
        <f>I79</f>
        <v>0.91688492871560512</v>
      </c>
    </row>
    <row r="91" spans="1:33" x14ac:dyDescent="0.2">
      <c r="A91" s="22"/>
      <c r="B91" s="28"/>
      <c r="C91" s="69"/>
      <c r="D91" s="69"/>
      <c r="G91" s="70"/>
      <c r="L91" s="70"/>
      <c r="X91" s="13" t="s">
        <v>210</v>
      </c>
    </row>
    <row r="92" spans="1:33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P92" s="270">
        <v>2018</v>
      </c>
      <c r="Q92" s="13" t="s">
        <v>215</v>
      </c>
      <c r="R92" s="13" t="s">
        <v>216</v>
      </c>
      <c r="S92" s="13" t="s">
        <v>217</v>
      </c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33" x14ac:dyDescent="0.2">
      <c r="A93" s="22"/>
      <c r="C93" s="71"/>
      <c r="D93" s="71"/>
      <c r="E93" s="71"/>
      <c r="F93" s="71"/>
      <c r="P93" s="13" t="s">
        <v>0</v>
      </c>
      <c r="Q93" s="203">
        <v>1816199875.461694</v>
      </c>
      <c r="R93" s="203">
        <v>1698297731</v>
      </c>
      <c r="S93" s="50">
        <f>SUM(Q93:R93)</f>
        <v>3514497606.4616938</v>
      </c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33" x14ac:dyDescent="0.2">
      <c r="A94" s="22"/>
      <c r="B94" s="28" t="s">
        <v>278</v>
      </c>
      <c r="C94" s="72"/>
      <c r="D94" s="72"/>
      <c r="E94" s="154">
        <v>0.105545</v>
      </c>
      <c r="F94" s="154">
        <v>0.105545</v>
      </c>
      <c r="G94" s="154">
        <v>0.105545</v>
      </c>
      <c r="H94" s="154">
        <v>0.105545</v>
      </c>
      <c r="I94" s="154">
        <v>0.105545</v>
      </c>
      <c r="J94" s="72"/>
      <c r="K94" s="72"/>
      <c r="L94" s="72"/>
      <c r="M94" s="72"/>
      <c r="P94" s="13" t="s">
        <v>253</v>
      </c>
      <c r="Q94" s="203">
        <v>150033770.98620459</v>
      </c>
      <c r="R94" s="203">
        <v>91503557</v>
      </c>
      <c r="S94" s="50">
        <f>SUM(Q94:R94)</f>
        <v>241537327.98620459</v>
      </c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33" x14ac:dyDescent="0.2">
      <c r="A95" s="22"/>
      <c r="B95" s="13" t="s">
        <v>279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P95" s="13" t="s">
        <v>254</v>
      </c>
      <c r="Q95" s="50">
        <f>SUM(Q93:Q94)</f>
        <v>1966233646.4478986</v>
      </c>
      <c r="R95" s="50">
        <f>SUM(R93:R94)</f>
        <v>1789801288</v>
      </c>
      <c r="S95" s="50">
        <f>SUM(S93:S94)</f>
        <v>3756034934.4478984</v>
      </c>
      <c r="T95" s="55">
        <f>SUM(F65:F68)</f>
        <v>3756035</v>
      </c>
      <c r="W95" s="13" t="s">
        <v>204</v>
      </c>
      <c r="X95" s="13">
        <f>(9*18+10*34)/52</f>
        <v>9.6538461538461533</v>
      </c>
      <c r="Y95" s="13">
        <f>X95*365*5/7</f>
        <v>2516.8956043956036</v>
      </c>
      <c r="Z95" s="13">
        <f>365*24</f>
        <v>8760</v>
      </c>
      <c r="AA95" s="13">
        <f>Y95/Z95</f>
        <v>0.28731684981684974</v>
      </c>
    </row>
    <row r="96" spans="1:33" x14ac:dyDescent="0.2">
      <c r="A96" s="22"/>
      <c r="C96" s="73"/>
      <c r="D96" s="73"/>
      <c r="E96" s="73"/>
      <c r="F96" s="73"/>
      <c r="G96" s="73"/>
      <c r="H96" s="73"/>
      <c r="I96" s="73"/>
      <c r="J96" s="73" t="s">
        <v>255</v>
      </c>
      <c r="K96" s="73"/>
      <c r="L96" s="73"/>
      <c r="M96" s="73" t="s">
        <v>255</v>
      </c>
      <c r="Q96" s="50"/>
      <c r="R96" s="50"/>
      <c r="S96" s="50"/>
      <c r="T96" s="55"/>
    </row>
    <row r="97" spans="1:31" x14ac:dyDescent="0.2">
      <c r="A97" s="22"/>
      <c r="B97" s="237" t="s">
        <v>280</v>
      </c>
      <c r="C97" s="242"/>
      <c r="D97" s="242"/>
      <c r="E97" s="246">
        <f>ROUND(1-1/E98,6)</f>
        <v>9.8737000000000005E-2</v>
      </c>
      <c r="F97" s="246">
        <f>ROUND(1-1/F98,6)</f>
        <v>9.8737000000000005E-2</v>
      </c>
      <c r="G97" s="246">
        <f>ROUND(1-1/G98,6)</f>
        <v>9.8737000000000005E-2</v>
      </c>
      <c r="H97" s="246">
        <f>ROUND(1-1/H98,6)</f>
        <v>9.8737000000000005E-2</v>
      </c>
      <c r="I97" s="246">
        <f>ROUND(1-1/I98,6)</f>
        <v>9.8737000000000005E-2</v>
      </c>
      <c r="Q97" s="50"/>
      <c r="R97" s="50"/>
      <c r="S97" s="50"/>
      <c r="T97" s="55"/>
    </row>
    <row r="98" spans="1:31" x14ac:dyDescent="0.2">
      <c r="A98" s="22"/>
      <c r="B98" s="237" t="s">
        <v>281</v>
      </c>
      <c r="C98" s="242"/>
      <c r="D98" s="242"/>
      <c r="E98" s="242">
        <v>1.1095543166709658</v>
      </c>
      <c r="F98" s="242">
        <v>1.1095543166709658</v>
      </c>
      <c r="G98" s="242">
        <v>1.1095543166709658</v>
      </c>
      <c r="H98" s="242">
        <v>1.1095543166709658</v>
      </c>
      <c r="I98" s="242">
        <v>1.1095543166709658</v>
      </c>
      <c r="M98" s="47"/>
      <c r="N98" s="47"/>
      <c r="O98" s="47"/>
      <c r="P98" s="47"/>
      <c r="Q98" s="158"/>
      <c r="R98" s="158"/>
      <c r="S98" s="158"/>
      <c r="T98" s="53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</row>
    <row r="99" spans="1:31" x14ac:dyDescent="0.2">
      <c r="A99" s="22"/>
      <c r="C99" s="73"/>
      <c r="D99" s="73"/>
      <c r="E99" s="89"/>
      <c r="F99" s="265"/>
      <c r="G99" s="73"/>
      <c r="H99" s="73"/>
      <c r="I99" s="73"/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53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</row>
    <row r="100" spans="1:31" x14ac:dyDescent="0.2">
      <c r="A100" s="22"/>
      <c r="C100" s="73"/>
      <c r="D100" s="73"/>
      <c r="E100" s="266"/>
      <c r="F100" s="267"/>
      <c r="G100" s="73"/>
      <c r="H100" s="73"/>
      <c r="I100" s="73"/>
      <c r="J100" s="73"/>
      <c r="K100" s="73"/>
      <c r="L100" s="264"/>
      <c r="M100" s="47"/>
      <c r="N100" s="47"/>
      <c r="O100" s="47"/>
      <c r="P100" s="47"/>
      <c r="Q100" s="47"/>
      <c r="R100" s="47"/>
      <c r="S100" s="47"/>
      <c r="T100" s="371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</row>
    <row r="101" spans="1:31" x14ac:dyDescent="0.2">
      <c r="A101" s="22"/>
      <c r="B101" s="36" t="s">
        <v>286</v>
      </c>
      <c r="C101" s="73"/>
      <c r="D101" s="73"/>
      <c r="E101" s="73"/>
      <c r="F101" s="73"/>
      <c r="G101" s="73"/>
      <c r="H101" s="73"/>
      <c r="I101" s="73"/>
      <c r="J101" s="265"/>
      <c r="K101" s="265"/>
      <c r="L101" s="251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1:31" x14ac:dyDescent="0.2">
      <c r="A102" s="22"/>
      <c r="B102" s="13" t="s">
        <v>255</v>
      </c>
      <c r="I102" s="73"/>
      <c r="J102" s="265"/>
      <c r="K102" s="265"/>
      <c r="L102" s="73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pans="1:31" ht="15.75" x14ac:dyDescent="0.25">
      <c r="A103" s="22"/>
      <c r="B103" s="435" t="str">
        <f>$B$1</f>
        <v xml:space="preserve">Jersey Central Power &amp; Light </v>
      </c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ht="15.75" x14ac:dyDescent="0.25">
      <c r="A104" s="22"/>
      <c r="B104" s="435" t="str">
        <f>$B$2</f>
        <v>Attachment 2</v>
      </c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1:31" x14ac:dyDescent="0.2">
      <c r="A105" s="2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pans="1:31" x14ac:dyDescent="0.2">
      <c r="A106" s="22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1:31" x14ac:dyDescent="0.2">
      <c r="A107" s="18" t="s">
        <v>34</v>
      </c>
      <c r="B107" s="16" t="s">
        <v>51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x14ac:dyDescent="0.2">
      <c r="A108" s="22"/>
      <c r="B108" s="17" t="s">
        <v>171</v>
      </c>
      <c r="M108" s="47"/>
      <c r="N108" s="47"/>
      <c r="O108" s="47"/>
      <c r="P108" s="47"/>
      <c r="Q108" s="47"/>
      <c r="R108" s="47"/>
      <c r="S108" s="423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x14ac:dyDescent="0.2">
      <c r="A109" s="22"/>
      <c r="B109" s="17" t="s">
        <v>21</v>
      </c>
      <c r="M109" s="47"/>
      <c r="N109" s="47"/>
      <c r="O109" s="47"/>
      <c r="P109" s="47"/>
      <c r="Q109" s="47"/>
      <c r="R109" s="47"/>
      <c r="S109" s="425"/>
      <c r="T109" s="47"/>
      <c r="U109" s="47"/>
      <c r="V109" s="47"/>
      <c r="W109" s="47"/>
      <c r="X109" s="47"/>
      <c r="Y109" s="47"/>
      <c r="Z109" s="47"/>
      <c r="AA109" s="47"/>
      <c r="AB109" s="47"/>
      <c r="AC109" s="426"/>
      <c r="AD109" s="47"/>
      <c r="AE109" s="47"/>
    </row>
    <row r="110" spans="1:31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416"/>
      <c r="O110" s="47"/>
      <c r="P110" s="131"/>
      <c r="Q110" s="47"/>
      <c r="R110" s="47"/>
      <c r="S110" s="47"/>
      <c r="T110" s="47"/>
      <c r="U110" s="47"/>
      <c r="V110" s="47"/>
      <c r="W110" s="420"/>
      <c r="X110" s="47"/>
      <c r="Y110" s="47"/>
      <c r="Z110" s="47"/>
      <c r="AA110" s="47"/>
      <c r="AB110" s="47"/>
      <c r="AC110" s="423"/>
      <c r="AD110" s="47"/>
      <c r="AE110" s="47"/>
    </row>
    <row r="111" spans="1:31" x14ac:dyDescent="0.2">
      <c r="A111" s="22"/>
      <c r="M111" s="47"/>
      <c r="N111" s="47"/>
      <c r="O111" s="47"/>
      <c r="P111" s="47"/>
      <c r="Q111" s="47"/>
      <c r="R111" s="114"/>
      <c r="S111" s="417"/>
      <c r="T111" s="47"/>
      <c r="U111" s="47"/>
      <c r="V111" s="47"/>
      <c r="W111" s="44"/>
      <c r="X111" s="416"/>
      <c r="Y111" s="47"/>
      <c r="Z111" s="131"/>
      <c r="AA111" s="47"/>
      <c r="AB111" s="47"/>
      <c r="AC111" s="47"/>
      <c r="AD111" s="47"/>
      <c r="AE111" s="47"/>
    </row>
    <row r="112" spans="1:31" x14ac:dyDescent="0.2">
      <c r="A112" s="22"/>
      <c r="B112" s="28" t="s">
        <v>17</v>
      </c>
      <c r="C112" s="74"/>
      <c r="D112" s="74"/>
      <c r="E112" s="75">
        <f>(SUMPRODUCT(E20:E23,E65:E68,$C84:$C87,$H84:$H87)*E95+SUMPRODUCT(Q20:Q23,E65:E68,$E84:$E87,$I84:$I87)*E95)/SUM(E65:E68)</f>
        <v>31.056366003906984</v>
      </c>
      <c r="F112" s="75">
        <f>(SUMPRODUCT(F20:F23,F65:F68,$C84:$C87,$H84:$H87)*F95+SUMPRODUCT(R20:R23,F65:F68,$E84:$E87,$I84:$I87)*F95)/SUM(F65:F68)</f>
        <v>31.075613588551199</v>
      </c>
      <c r="G112" s="75">
        <f>(SUMPRODUCT(G20:G23,G65:G68,$C84:$C87,$H84:$H87)*G95+SUMPRODUCT(S20:S23,G65:G68,$E84:$E87,$I84:$I87)*G95)/SUM(G65:G68)</f>
        <v>32.046625814294337</v>
      </c>
      <c r="H112" s="75">
        <f>(SUMPRODUCT(H20:H23,H65:H68,$C84:$C87,$H84:$H87)*H95+SUMPRODUCT(T20:T23,H65:H68,$E84:$E87,$I84:$I87)*H95)/SUM(H65:H68)</f>
        <v>31.8884094773268</v>
      </c>
      <c r="I112" s="75">
        <f>(SUMPRODUCT(I20:I23,I65:I68,$C84:$C87,$H84:$H87)*I95+SUMPRODUCT(U20:U23,I65:I68,$E84:$E87,$I84:$I87)*I95)/SUM(I65:I68)</f>
        <v>27.099138297426371</v>
      </c>
      <c r="J112" s="76"/>
      <c r="K112" s="76"/>
      <c r="L112" s="74"/>
      <c r="M112" s="418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334"/>
      <c r="AA112" s="47"/>
      <c r="AB112" s="114"/>
      <c r="AC112" s="417"/>
      <c r="AD112" s="47"/>
      <c r="AE112" s="47"/>
    </row>
    <row r="113" spans="1:31" x14ac:dyDescent="0.2">
      <c r="A113" s="22"/>
      <c r="B113" s="77" t="s">
        <v>41</v>
      </c>
      <c r="C113" s="74"/>
      <c r="D113" s="74"/>
      <c r="E113" s="75">
        <f>(SUMPRODUCT(E20:E23,E65:E68,$C84:$C87,$H84:$H87)*E95)/SUMPRODUCT(E20:E23,E65:E68)</f>
        <v>38.198183584929396</v>
      </c>
      <c r="F113" s="75">
        <f>(SUMPRODUCT(F20:F23,F65:F68,$C84:$C87,$H84:$H87)*F95)/SUMPRODUCT(F20:F23,F65:F68)</f>
        <v>38.267878354091025</v>
      </c>
      <c r="G113" s="75">
        <f>(SUMPRODUCT(G20:G23,G65:G68,$C84:$C87,$H84:$H87)*G95)/SUMPRODUCT(G20:G23,G65:G68)</f>
        <v>38.095801047461741</v>
      </c>
      <c r="H113" s="75">
        <f>(SUMPRODUCT(H20:H23,H65:H68,$C84:$C87,$H84:$H87)*H95)/SUMPRODUCT(H20:H23,H65:H68)</f>
        <v>38.048445679304514</v>
      </c>
      <c r="I113" s="75">
        <f>(SUMPRODUCT(I20:I23,I65:I68,$C84:$C87,$H84:$H87)*I95)/SUMPRODUCT(I20:I23,I65:I68)</f>
        <v>37.980456828374152</v>
      </c>
      <c r="J113" s="76"/>
      <c r="K113" s="76"/>
      <c r="L113" s="74"/>
      <c r="M113" s="418"/>
      <c r="N113" s="47"/>
      <c r="O113" s="47"/>
      <c r="P113" s="47"/>
      <c r="Q113" s="47"/>
      <c r="R113" s="47"/>
      <c r="S113" s="423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x14ac:dyDescent="0.2">
      <c r="A114" s="22"/>
      <c r="B114" s="77" t="s">
        <v>42</v>
      </c>
      <c r="C114" s="74"/>
      <c r="D114" s="74"/>
      <c r="E114" s="75">
        <f>(SUMPRODUCT(Q20:Q23,E65:E68,$E84:$E87,$I84:$I87)*E95)/SUMPRODUCT(Q20:Q23,E65:E68)</f>
        <v>23.426401358925627</v>
      </c>
      <c r="F114" s="75">
        <f>(SUMPRODUCT(R20:R23,F65:F68,$E84:$E87,$I84:$I87)*F95)/SUMPRODUCT(R20:R23,F65:F68)</f>
        <v>23.450437454692398</v>
      </c>
      <c r="G114" s="75">
        <f>(SUMPRODUCT(S20:S23,G65:G68,$E84:$E87,$I84:$I87)*G95)/SUMPRODUCT(S20:S23,G65:G68)</f>
        <v>23.392901739431345</v>
      </c>
      <c r="H114" s="75">
        <f>(SUMPRODUCT(T20:T23,H65:H68,$E84:$E87,$I84:$I87)*H95)/SUMPRODUCT(T20:T23,H65:H68)</f>
        <v>23.358897884370609</v>
      </c>
      <c r="I114" s="75">
        <f>(SUMPRODUCT(U20:U23,I65:I68,$E84:$E87,$I84:$I87)*I95)/SUMPRODUCT(U20:U23,I65:I68)</f>
        <v>23.331501075102832</v>
      </c>
      <c r="J114" s="76"/>
      <c r="K114" s="76"/>
      <c r="L114" s="74"/>
      <c r="M114" s="44"/>
      <c r="N114" s="416"/>
      <c r="O114" s="47"/>
      <c r="P114" s="131"/>
      <c r="Q114" s="47"/>
      <c r="R114" s="47"/>
      <c r="S114" s="47"/>
      <c r="T114" s="47"/>
      <c r="U114" s="47"/>
      <c r="V114" s="47"/>
      <c r="W114" s="420"/>
      <c r="X114" s="47"/>
      <c r="Y114" s="47"/>
      <c r="Z114" s="47"/>
      <c r="AA114" s="47"/>
      <c r="AB114" s="47"/>
      <c r="AC114" s="423"/>
      <c r="AD114" s="47"/>
      <c r="AE114" s="47"/>
    </row>
    <row r="115" spans="1:31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76"/>
      <c r="L115" s="142"/>
      <c r="M115" s="47"/>
      <c r="N115" s="47"/>
      <c r="O115" s="47"/>
      <c r="P115" s="47"/>
      <c r="Q115" s="47"/>
      <c r="R115" s="114"/>
      <c r="S115" s="417"/>
      <c r="T115" s="47"/>
      <c r="U115" s="47"/>
      <c r="V115" s="47"/>
      <c r="W115" s="44"/>
      <c r="X115" s="416"/>
      <c r="Y115" s="47"/>
      <c r="Z115" s="131"/>
      <c r="AA115" s="47"/>
      <c r="AB115" s="47"/>
      <c r="AC115" s="47"/>
      <c r="AD115" s="47"/>
      <c r="AE115" s="47"/>
    </row>
    <row r="116" spans="1:31" x14ac:dyDescent="0.2">
      <c r="A116" s="22"/>
      <c r="B116" s="28" t="s">
        <v>18</v>
      </c>
      <c r="C116" s="74"/>
      <c r="D116" s="74"/>
      <c r="E116" s="75">
        <f>(SUMPRODUCT(E15:E19,E60:E64,$C79:$C83,$H79:$H83)*E95+SUMPRODUCT(Q15:Q19,E60:E64,$E79:$E83,$I79:$I83)*E95+SUMPRODUCT(E24:E26,E69:E71,$C88:$C90,$H88:$H90)*E95+SUMPRODUCT(Q24:Q26,E69:E71,$E88:$E90,$I88:$I90)*E95)/SUM(E60:E64,E69:E71)</f>
        <v>36.17447022689295</v>
      </c>
      <c r="F116" s="75">
        <f>(SUMPRODUCT(F15:F19,F60:F64,$C79:$C83,$H79:$H83)*F95+SUMPRODUCT(R15:R19,F60:F64,$E79:$E83,$I79:$I83)*F95+SUMPRODUCT(F24:F26,F69:F71,$C88:$C90,$H88:$H90)*F95+SUMPRODUCT(R24:R26,F69:F71,$E88:$E90,$I88:$I90)*F95)/SUM(F60:F64,F69:F71)</f>
        <v>35.365594925586144</v>
      </c>
      <c r="G116" s="75">
        <f>(SUMPRODUCT(G15:G19,G60:G64,$C79:$C83,$H79:$H83)*G95+SUMPRODUCT(S15:S19,G60:G64,$E79:$E83,$I79:$I83)*G95+SUMPRODUCT(G24:G26,G69:G71,$C88:$C90,$H88:$H90)*G95+SUMPRODUCT(S24:S26,G69:G71,$E88:$E90,$I88:$I90)*G95)/SUM(G60:G64,G69:G71)</f>
        <v>35.732141193342642</v>
      </c>
      <c r="H116" s="75">
        <f>(SUMPRODUCT(H15:H19,H60:H64,$C79:$C83,$H79:$H83)*H95+SUMPRODUCT(T15:T19,H60:H64,$E79:$E83,$I79:$I83)*H95+SUMPRODUCT(H24:H26,H69:H71,$C88:$C90,$H88:$H90)*H95+SUMPRODUCT(T24:T26,H69:H71,$E88:$E90,$I88:$I90)*H95)/SUM(H60:H64,H69:H71)</f>
        <v>35.818328420072213</v>
      </c>
      <c r="I116" s="75">
        <f>(SUMPRODUCT(I15:I19,I60:I64,$C79:$C83,$H79:$H83)*I95+SUMPRODUCT(U15:U19,I60:I64,$E79:$E83,$I79:$I83)*I95+SUMPRODUCT(I24:I26,I69:I71,$C88:$C90,$H88:$H90)*I95+SUMPRODUCT(U24:U26,I69:I71,$E88:$E90,$I88:$I90)*I95)/SUM(I60:I64,I69:I71)</f>
        <v>33.319425155661548</v>
      </c>
      <c r="J116" s="76"/>
      <c r="K116" s="76"/>
      <c r="L116" s="74"/>
      <c r="M116" s="419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334"/>
      <c r="AA116" s="47"/>
      <c r="AB116" s="114"/>
      <c r="AC116" s="417"/>
      <c r="AD116" s="47"/>
      <c r="AE116" s="47"/>
    </row>
    <row r="117" spans="1:31" x14ac:dyDescent="0.2">
      <c r="A117" s="22"/>
      <c r="B117" s="77" t="s">
        <v>41</v>
      </c>
      <c r="C117" s="74"/>
      <c r="D117" s="74"/>
      <c r="E117" s="75">
        <f>(SUMPRODUCT(E15:E19,E60:E64,$C79:$C83,$H79:$H83)*E95+SUMPRODUCT(E24:E26,E69:E71,$C88:$C90,$H88:$H90)*E95)/(SUMPRODUCT(E15:E19,E60:E64)+SUMPRODUCT(E24:E26,E69:E71))</f>
        <v>40.325281607350853</v>
      </c>
      <c r="F117" s="75">
        <f>(SUMPRODUCT(F15:F19,F60:F64,$C79:$C83,$H79:$H83)*F95+SUMPRODUCT(F24:F26,F69:F71,$C88:$C90,$H88:$H90)*F95)/(SUMPRODUCT(F15:F19,F60:F64)+SUMPRODUCT(F24:F26,F69:F71))</f>
        <v>39.624047016589415</v>
      </c>
      <c r="G117" s="75">
        <f>(SUMPRODUCT(G15:G19,G60:G64,$C79:$C83,$H79:$H83)*G95+SUMPRODUCT(G24:G26,G69:G71,$C88:$C90,$H88:$H90)*G95)/(SUMPRODUCT(G15:G19,G60:G64)+SUMPRODUCT(G24:G26,G69:G71))</f>
        <v>39.010225184749864</v>
      </c>
      <c r="H117" s="75">
        <f>(SUMPRODUCT(H15:H19,H60:H64,$C79:$C83,$H79:$H83)*H95+SUMPRODUCT(H24:H26,H69:H71,$C88:$C90,$H88:$H90)*H95)/(SUMPRODUCT(H15:H19,H60:H64)+SUMPRODUCT(H24:H26,H69:H71))</f>
        <v>39.294887648936928</v>
      </c>
      <c r="I117" s="75">
        <f>(SUMPRODUCT(I15:I19,I60:I64,$C79:$C83,$H79:$H83)*I95+SUMPRODUCT(I24:I26,I69:I71,$C88:$C90,$H88:$H90)*I95)/(SUMPRODUCT(I15:I19,I60:I64)+SUMPRODUCT(I24:I26,I69:I71))</f>
        <v>39.11885359055254</v>
      </c>
      <c r="J117" s="76"/>
      <c r="K117" s="76"/>
      <c r="L117" s="74"/>
      <c r="M117" s="418"/>
      <c r="N117" s="47"/>
      <c r="O117" s="47"/>
      <c r="P117" s="47"/>
      <c r="Q117" s="47"/>
      <c r="R117" s="47"/>
      <c r="S117" s="423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x14ac:dyDescent="0.2">
      <c r="A118" s="22"/>
      <c r="B118" s="77" t="s">
        <v>42</v>
      </c>
      <c r="C118" s="74"/>
      <c r="D118" s="74"/>
      <c r="E118" s="75">
        <f>(SUMPRODUCT(Q15:Q19,E60:E64,$E79:$E83,$I79:$I83)*E95+SUMPRODUCT(Q24:Q26,E69:E71,$E88:$E90,$I88:$I90)*E95)/(SUMPRODUCT(Q15:Q19,E60:E64)+SUMPRODUCT(Q24:Q26,E69:E71))</f>
        <v>32.09449292210325</v>
      </c>
      <c r="F118" s="75">
        <f>(SUMPRODUCT(R15:R19,F60:F64,$E79:$E83,$I79:$I83)*F95+SUMPRODUCT(R24:R26,F69:F71,$E88:$E90,$I88:$I90)*F95)/(SUMPRODUCT(R15:R19,F60:F64)+SUMPRODUCT(R24:R26,F69:F71))</f>
        <v>31.566979078110041</v>
      </c>
      <c r="G118" s="75">
        <f>(SUMPRODUCT(S15:S19,G60:G64,$E79:$E83,$I79:$I83)*G95+SUMPRODUCT(S24:S26,G69:G71,$E88:$E90,$I88:$I90)*G95)/(SUMPRODUCT(S15:S19,G60:G64)+SUMPRODUCT(S24:S26,G69:G71))</f>
        <v>31.269549747687581</v>
      </c>
      <c r="H118" s="75">
        <f>(SUMPRODUCT(T15:T19,H60:H64,$E79:$E83,$I79:$I83)*H95+SUMPRODUCT(T24:T26,H69:H71,$E88:$E90,$I88:$I90)*H95)/(SUMPRODUCT(T15:T19,H60:H64)+SUMPRODUCT(T24:T26,H69:H71))</f>
        <v>31.479284759491534</v>
      </c>
      <c r="I118" s="75">
        <f>(SUMPRODUCT(U15:U19,I60:I64,$E79:$E83,$I79:$I83)*I95+SUMPRODUCT(U24:U26,I69:I71,$E88:$E90,$I88:$I90)*I95)/(SUMPRODUCT(U15:U19,I60:I64)+SUMPRODUCT(U24:U26,I69:I71))</f>
        <v>30.86511458309262</v>
      </c>
      <c r="J118" s="76"/>
      <c r="K118" s="76"/>
      <c r="L118" s="74"/>
      <c r="M118" s="44"/>
      <c r="N118" s="416"/>
      <c r="O118" s="47"/>
      <c r="P118" s="131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76"/>
      <c r="L119" s="142"/>
      <c r="M119" s="47"/>
      <c r="N119" s="47"/>
      <c r="O119" s="47"/>
      <c r="P119" s="47"/>
      <c r="Q119" s="47"/>
      <c r="R119" s="114"/>
      <c r="S119" s="41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x14ac:dyDescent="0.2">
      <c r="A120" s="22"/>
      <c r="B120" s="13" t="s">
        <v>16</v>
      </c>
      <c r="C120" s="74"/>
      <c r="D120" s="78"/>
      <c r="E120" s="79">
        <f>(E112*SUM(E65:E68)+E116*SUM(E60:E64,E69:E71))/E72</f>
        <v>34.52611712341983</v>
      </c>
      <c r="F120" s="79">
        <f>(F112*SUM(F65:F68)+F116*SUM(F60:F64,F69:F71))/F72</f>
        <v>33.5868291180063</v>
      </c>
      <c r="G120" s="79">
        <f>(G112*SUM(G65:G68)+G116*SUM(G60:G64,G69:G71))/G72</f>
        <v>34.381183228439497</v>
      </c>
      <c r="H120" s="79">
        <f>(H112*SUM(H65:H68)+H116*SUM(H60:H64,H69:H71))/H72</f>
        <v>34.451409295054667</v>
      </c>
      <c r="I120" s="79">
        <f>(I112*SUM(I65:I68)+I116*SUM(I60:I64,I69:I71))/I72</f>
        <v>31.247110115163771</v>
      </c>
      <c r="J120" s="76"/>
      <c r="K120" s="76"/>
      <c r="L120" s="78"/>
      <c r="M120" s="418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418"/>
      <c r="N121" s="47"/>
      <c r="O121" s="47"/>
      <c r="P121" s="47"/>
      <c r="Q121" s="47"/>
      <c r="R121" s="47"/>
      <c r="S121" s="423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x14ac:dyDescent="0.2">
      <c r="A122" s="22"/>
      <c r="B122" s="13" t="s">
        <v>44</v>
      </c>
      <c r="C122" s="80">
        <f>SUMPRODUCT(C120:I120,C72:I72)/SUM(C72:I72)</f>
        <v>33.900324722756224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416"/>
      <c r="O122" s="47"/>
      <c r="P122" s="131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41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418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418"/>
      <c r="N125" s="47"/>
      <c r="O125" s="47"/>
      <c r="P125" s="47"/>
      <c r="Q125" s="47"/>
      <c r="R125" s="47"/>
      <c r="S125" s="423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416"/>
      <c r="O126" s="47"/>
      <c r="P126" s="131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41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x14ac:dyDescent="0.2">
      <c r="A129" s="22"/>
      <c r="C129" s="81"/>
      <c r="M129" s="418"/>
      <c r="N129" s="47"/>
      <c r="O129" s="47"/>
      <c r="P129" s="47"/>
      <c r="Q129" s="47"/>
      <c r="R129" s="47"/>
      <c r="S129" s="423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1:31" x14ac:dyDescent="0.2">
      <c r="A130" s="22"/>
      <c r="B130" s="28" t="s">
        <v>17</v>
      </c>
      <c r="C130" s="76"/>
      <c r="D130" s="76"/>
      <c r="E130" s="76">
        <f>SUM(E65:E68)*E112/1000</f>
        <v>2411.3094256413501</v>
      </c>
      <c r="F130" s="76">
        <f>SUM(F65:F68)*F112/1000</f>
        <v>116721.0922850739</v>
      </c>
      <c r="G130" s="76">
        <f>SUM(G65:G68)*G112/1000</f>
        <v>70799.937432378385</v>
      </c>
      <c r="H130" s="76">
        <f>SUM(H65:H68)*H112/1000</f>
        <v>1853.386247231711</v>
      </c>
      <c r="I130" s="76">
        <f>SUM(I65:I68)*I112/1000</f>
        <v>1025.1062035150449</v>
      </c>
      <c r="J130" s="76">
        <f>SUM(E130:I130)</f>
        <v>192810.83159384038</v>
      </c>
      <c r="K130" s="76"/>
      <c r="L130" s="76"/>
      <c r="M130" s="44"/>
      <c r="N130" s="416"/>
      <c r="O130" s="47"/>
      <c r="P130" s="131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1:31" x14ac:dyDescent="0.2">
      <c r="A131" s="22"/>
      <c r="B131" s="77" t="s">
        <v>41</v>
      </c>
      <c r="C131" s="76"/>
      <c r="D131" s="76"/>
      <c r="E131" s="76">
        <f>SUMPRODUCT(E65:E68,E20:E23)*E113/1000</f>
        <v>1531.9149281779737</v>
      </c>
      <c r="F131" s="76">
        <f>SUMPRODUCT(F65:F68,F20:F23)*F113/1000</f>
        <v>73967.457605522912</v>
      </c>
      <c r="G131" s="76">
        <f>SUMPRODUCT(G65:G68,G20:G23)*G113/1000</f>
        <v>49536.77565677555</v>
      </c>
      <c r="H131" s="76">
        <f>SUMPRODUCT(H65:H68,H20:H23)*H113/1000</f>
        <v>1284.0612353015986</v>
      </c>
      <c r="I131" s="76">
        <f>SUMPRODUCT(I65:I68,I20:I23)*I113/1000</f>
        <v>369.51832116091293</v>
      </c>
      <c r="J131" s="76">
        <f>SUM(E131:I131)</f>
        <v>126689.72774693895</v>
      </c>
      <c r="K131" s="76"/>
      <c r="L131" s="76"/>
      <c r="M131" s="47"/>
      <c r="N131" s="47"/>
      <c r="O131" s="47"/>
      <c r="P131" s="47"/>
      <c r="Q131" s="47"/>
      <c r="R131" s="114"/>
      <c r="S131" s="41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</row>
    <row r="132" spans="1:31" x14ac:dyDescent="0.2">
      <c r="A132" s="22"/>
      <c r="B132" s="77" t="s">
        <v>42</v>
      </c>
      <c r="C132" s="76"/>
      <c r="D132" s="76"/>
      <c r="E132" s="76">
        <f>SUMPRODUCT(E65:E68,Q20:Q23)*E114/1000</f>
        <v>879.39449746337641</v>
      </c>
      <c r="F132" s="76">
        <f>SUMPRODUCT(F65:F68,R20:R23)*F114/1000</f>
        <v>42753.634679550989</v>
      </c>
      <c r="G132" s="76">
        <f>SUMPRODUCT(G65:G68,S20:S23)*G114/1000</f>
        <v>21263.161775602835</v>
      </c>
      <c r="H132" s="76">
        <f>SUMPRODUCT(H65:H68,T20:T23)*H114/1000</f>
        <v>569.32501193011228</v>
      </c>
      <c r="I132" s="76">
        <f>SUMPRODUCT(I65:I68,U20:U23)*I114/1000</f>
        <v>655.58788235413181</v>
      </c>
      <c r="J132" s="76">
        <f>SUM(E132:I132)</f>
        <v>66121.103846901446</v>
      </c>
      <c r="K132" s="76"/>
      <c r="L132" s="76"/>
      <c r="M132" s="422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</row>
    <row r="133" spans="1:31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76"/>
      <c r="L133" s="82"/>
      <c r="M133" s="420"/>
      <c r="N133" s="47"/>
      <c r="O133" s="47"/>
      <c r="P133" s="47"/>
      <c r="Q133" s="47"/>
      <c r="R133" s="47"/>
      <c r="S133" s="423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</row>
    <row r="134" spans="1:31" x14ac:dyDescent="0.2">
      <c r="A134" s="22"/>
      <c r="B134" s="28" t="s">
        <v>18</v>
      </c>
      <c r="C134" s="82"/>
      <c r="D134" s="82"/>
      <c r="E134" s="82">
        <f>SUM(E60:E64,E69:E71)*E116/1000</f>
        <v>5912.2468904727029</v>
      </c>
      <c r="F134" s="82">
        <f>SUM(F60:F64,F69:F71)*F116/1000</f>
        <v>187532.18534084267</v>
      </c>
      <c r="G134" s="82">
        <f>SUM(G60:G64,G69:G71)*G116/1000</f>
        <v>136418.20438008473</v>
      </c>
      <c r="H134" s="82">
        <f>SUM(H60:H64,H69:H71)*H116/1000</f>
        <v>3903.4097945626295</v>
      </c>
      <c r="I134" s="82">
        <f>SUM(I60:I64,I69:I71)*I116/1000</f>
        <v>2522.8469145112258</v>
      </c>
      <c r="J134" s="76">
        <f>SUM(E134:I134)</f>
        <v>336288.89332047396</v>
      </c>
      <c r="K134" s="76"/>
      <c r="L134" s="82"/>
      <c r="M134" s="44"/>
      <c r="N134" s="416"/>
      <c r="O134" s="47"/>
      <c r="P134" s="131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</row>
    <row r="135" spans="1:31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3266.9620247222215</v>
      </c>
      <c r="F135" s="76">
        <f>(SUMPRODUCT(F60:F64,F15:F19)+SUMPRODUCT(F69:F71,F24:F26))*F117/1000</f>
        <v>99060.844634811481</v>
      </c>
      <c r="G135" s="76">
        <f>(SUMPRODUCT(G60:G64,G15:G19)+SUMPRODUCT(G69:G71,G24:G26))*G117/1000</f>
        <v>85861.805222361814</v>
      </c>
      <c r="H135" s="76">
        <f>(SUMPRODUCT(H60:H64,H15:H19)+SUMPRODUCT(H69:H71,H24:H26))*H117/1000</f>
        <v>2377.422781922005</v>
      </c>
      <c r="I135" s="76">
        <f>(SUMPRODUCT(I60:I64,I15:I19)+SUMPRODUCT(I69:I71,I24:I26))*I117/1000</f>
        <v>880.76146192941883</v>
      </c>
      <c r="J135" s="76">
        <f>SUM(E135:I135)</f>
        <v>191447.79612574694</v>
      </c>
      <c r="K135" s="76"/>
      <c r="L135" s="76"/>
      <c r="M135" s="47"/>
      <c r="N135" s="47"/>
      <c r="O135" s="47"/>
      <c r="P135" s="334"/>
      <c r="Q135" s="47"/>
      <c r="R135" s="114"/>
      <c r="S135" s="41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</row>
    <row r="136" spans="1:31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2645.2848657504828</v>
      </c>
      <c r="F136" s="76">
        <f>+(SUMPRODUCT(F60:F64,R15:R19)+SUMPRODUCT(F69:F71,R24:R26))*F118/1000</f>
        <v>88471.340706031202</v>
      </c>
      <c r="G136" s="76">
        <f>+(SUMPRODUCT(G60:G64,S15:S19)+SUMPRODUCT(G69:G71,S24:S26))*G118/1000</f>
        <v>50556.399157722873</v>
      </c>
      <c r="H136" s="76">
        <f>+(SUMPRODUCT(H60:H64,T15:T19)+SUMPRODUCT(H69:H71,T24:T26))*H118/1000</f>
        <v>1525.9870126406249</v>
      </c>
      <c r="I136" s="76">
        <f>+(SUMPRODUCT(I60:I64,U15:U19)+SUMPRODUCT(I69:I71,U24:U26))*I118/1000</f>
        <v>1642.085452581807</v>
      </c>
      <c r="J136" s="76">
        <f>SUM(E136:I136)</f>
        <v>144841.09719472699</v>
      </c>
      <c r="K136" s="76"/>
      <c r="L136" s="76"/>
      <c r="M136" s="422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</row>
    <row r="137" spans="1:31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76"/>
      <c r="L137" s="142"/>
      <c r="M137" s="420"/>
      <c r="N137" s="47"/>
      <c r="O137" s="47"/>
      <c r="P137" s="47"/>
      <c r="Q137" s="47"/>
      <c r="R137" s="47"/>
      <c r="S137" s="423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</row>
    <row r="138" spans="1:31" x14ac:dyDescent="0.2">
      <c r="A138" s="22"/>
      <c r="B138" s="13" t="s">
        <v>16</v>
      </c>
      <c r="C138" s="82"/>
      <c r="D138" s="82"/>
      <c r="E138" s="82">
        <f>+E130+E134</f>
        <v>8323.5563161140526</v>
      </c>
      <c r="F138" s="82">
        <f>+F130+F134</f>
        <v>304253.27762591658</v>
      </c>
      <c r="G138" s="82">
        <f>+G130+G134</f>
        <v>207218.14181246312</v>
      </c>
      <c r="H138" s="82">
        <f>+H130+H134</f>
        <v>5756.7960417943405</v>
      </c>
      <c r="I138" s="82">
        <f>+I130+I134</f>
        <v>3547.9531180262707</v>
      </c>
      <c r="J138" s="76">
        <f>SUM(E138:I138)</f>
        <v>529099.72491431434</v>
      </c>
      <c r="K138" s="76"/>
      <c r="L138" s="82"/>
      <c r="M138" s="44"/>
      <c r="N138" s="416"/>
      <c r="O138" s="47"/>
      <c r="P138" s="131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</row>
    <row r="139" spans="1:31" x14ac:dyDescent="0.2">
      <c r="A139" s="22"/>
      <c r="M139" s="47"/>
      <c r="N139" s="47"/>
      <c r="O139" s="47"/>
      <c r="P139" s="334"/>
      <c r="Q139" s="47"/>
      <c r="R139" s="114"/>
      <c r="S139" s="41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</row>
    <row r="140" spans="1:31" x14ac:dyDescent="0.2">
      <c r="A140" s="22"/>
      <c r="B140" s="13" t="s">
        <v>44</v>
      </c>
      <c r="C140" s="76">
        <f>SUM(C138:I138)</f>
        <v>529099.72491431434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</row>
    <row r="141" spans="1:31" x14ac:dyDescent="0.2">
      <c r="A141" s="22"/>
      <c r="M141" s="420"/>
      <c r="N141" s="47"/>
      <c r="O141" s="47"/>
      <c r="P141" s="47"/>
      <c r="Q141" s="47"/>
      <c r="R141" s="47"/>
      <c r="S141" s="423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</row>
    <row r="142" spans="1:31" x14ac:dyDescent="0.2">
      <c r="A142" s="22"/>
      <c r="M142" s="44"/>
      <c r="N142" s="416"/>
      <c r="O142" s="47"/>
      <c r="P142" s="131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</row>
    <row r="143" spans="1:31" ht="15.75" x14ac:dyDescent="0.25">
      <c r="A143" s="22"/>
      <c r="B143" s="435" t="str">
        <f>$B$1</f>
        <v xml:space="preserve">Jersey Central Power &amp; Light </v>
      </c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7"/>
      <c r="N143" s="47"/>
      <c r="O143" s="47"/>
      <c r="P143" s="334"/>
      <c r="Q143" s="47"/>
      <c r="R143" s="114"/>
      <c r="S143" s="41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</row>
    <row r="144" spans="1:31" ht="15.75" x14ac:dyDescent="0.25">
      <c r="A144" s="22"/>
      <c r="B144" s="435" t="str">
        <f>$B$2</f>
        <v>Attachment 2</v>
      </c>
      <c r="C144" s="435"/>
      <c r="D144" s="435"/>
      <c r="E144" s="435"/>
      <c r="F144" s="435"/>
      <c r="G144" s="435"/>
      <c r="H144" s="435"/>
      <c r="I144" s="435"/>
      <c r="J144" s="435"/>
      <c r="K144" s="435"/>
      <c r="L144" s="435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31.056366003906987</v>
      </c>
      <c r="F152" s="75">
        <f>+F130/SUM(F65:F68)*1000</f>
        <v>31.075613588551199</v>
      </c>
      <c r="G152" s="75">
        <f>+G130/SUM(G65:G68)*1000</f>
        <v>32.046625814294345</v>
      </c>
      <c r="H152" s="75">
        <f>+H130/SUM(H65:H68)*1000</f>
        <v>31.888409477326803</v>
      </c>
      <c r="I152" s="75">
        <f>+I130/SUM(I65:I68)*1000</f>
        <v>27.099138297426375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40.149733028190212</v>
      </c>
      <c r="F153" s="75"/>
      <c r="G153" s="75"/>
      <c r="H153" s="75">
        <f>+(H131*1000-W153*AVERAGE(H$113,H$114))/Q153</f>
        <v>39.86065003933016</v>
      </c>
      <c r="I153" s="75"/>
      <c r="J153" s="76"/>
      <c r="K153" s="76"/>
      <c r="L153" s="76"/>
      <c r="M153" s="80"/>
      <c r="P153" s="13" t="s">
        <v>14</v>
      </c>
      <c r="Q153" s="55">
        <f>T65</f>
        <v>27069.1777</v>
      </c>
      <c r="R153" s="55"/>
      <c r="T153" s="55">
        <f>T76</f>
        <v>33748.0602</v>
      </c>
      <c r="U153" s="55"/>
      <c r="W153" s="55">
        <f>+T153-Q153</f>
        <v>6678.8824999999997</v>
      </c>
      <c r="X153" s="55"/>
      <c r="Z153" s="144">
        <f>+H153*Q153/1000</f>
        <v>1078.99501915214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24.773017760408287</v>
      </c>
      <c r="F154" s="75"/>
      <c r="G154" s="75"/>
      <c r="H154" s="75">
        <f>+(H132*1000-W154*AVERAGE(H$113,H$114))/Q154</f>
        <v>24.938672539021034</v>
      </c>
      <c r="I154" s="75"/>
      <c r="J154" s="76"/>
      <c r="K154" s="76"/>
      <c r="L154" s="76"/>
      <c r="M154" s="80"/>
      <c r="P154" s="13" t="s">
        <v>15</v>
      </c>
      <c r="Q154" s="55">
        <f>T66</f>
        <v>31051.8223</v>
      </c>
      <c r="R154" s="55"/>
      <c r="T154" s="55">
        <f>T77</f>
        <v>24372.9398</v>
      </c>
      <c r="U154" s="55"/>
      <c r="W154" s="55">
        <f>+T154-Q154</f>
        <v>-6678.8824999999997</v>
      </c>
      <c r="X154" s="55"/>
      <c r="Z154" s="85">
        <f>+H154*Q154/1000</f>
        <v>774.39122807957096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1853.386247231711</v>
      </c>
      <c r="AA155" s="144"/>
      <c r="AC155" s="81">
        <f>+H130</f>
        <v>1853.386247231711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36.17447022689295</v>
      </c>
      <c r="F156" s="79">
        <f>+F134/SUM(F60:F64,F69:F71)*1000</f>
        <v>35.365594925586151</v>
      </c>
      <c r="G156" s="79">
        <f>+G134/SUM(G60:G64,G69:G71)*1000</f>
        <v>35.732141193342642</v>
      </c>
      <c r="H156" s="79">
        <f>+H134/SUM(H60:H64,H69:H71)*1000</f>
        <v>35.818328420072213</v>
      </c>
      <c r="I156" s="79">
        <f>+I134/SUM(I60:I64,I69:I71)*1000</f>
        <v>33.319425155661555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44.088726760567255</v>
      </c>
      <c r="F157" s="75"/>
      <c r="G157" s="75"/>
      <c r="H157" s="75">
        <f>+(H135*1000-W157*AVERAGE(H$117,H$118))/Q157</f>
        <v>40.324770673829121</v>
      </c>
      <c r="I157" s="75"/>
      <c r="J157" s="76"/>
      <c r="K157" s="76"/>
      <c r="L157" s="76"/>
      <c r="M157" s="80"/>
      <c r="P157" s="13" t="s">
        <v>14</v>
      </c>
      <c r="Q157" s="55">
        <f>T61</f>
        <v>47882.7984</v>
      </c>
      <c r="R157" s="55"/>
      <c r="T157" s="55">
        <f>T72</f>
        <v>60502.088799999998</v>
      </c>
      <c r="U157" s="55"/>
      <c r="W157" s="55">
        <f>+T157-Q157</f>
        <v>12619.290399999998</v>
      </c>
      <c r="X157" s="55"/>
      <c r="Z157" s="144">
        <f>+H157*Q157/1000</f>
        <v>1930.8628647011919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31.815723303581112</v>
      </c>
      <c r="F158" s="75"/>
      <c r="G158" s="75"/>
      <c r="H158" s="75">
        <f>+(H136*1000-W158*AVERAGE(H$117,H$118))/Q158</f>
        <v>32.28644604163869</v>
      </c>
      <c r="I158" s="75"/>
      <c r="J158" s="76"/>
      <c r="K158" s="76"/>
      <c r="L158" s="76"/>
      <c r="M158" s="80"/>
      <c r="P158" s="13" t="s">
        <v>15</v>
      </c>
      <c r="Q158" s="55">
        <f>T62</f>
        <v>61095.2016</v>
      </c>
      <c r="R158" s="55"/>
      <c r="T158" s="55">
        <f>T73</f>
        <v>48475.911200000002</v>
      </c>
      <c r="U158" s="55"/>
      <c r="W158" s="55">
        <f>+T158-Q158</f>
        <v>-12619.290399999998</v>
      </c>
      <c r="X158" s="55"/>
      <c r="Z158" s="85">
        <f>+H158*Q158/1000</f>
        <v>1972.5469298614378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3903.4097945626299</v>
      </c>
      <c r="AA159" s="144"/>
      <c r="AC159" s="81">
        <f>+H134</f>
        <v>3903.4097945626295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34.52611712341983</v>
      </c>
      <c r="F160" s="75">
        <f>(F152*SUM(F65:F68)+F156*SUM(F60:F64,F69:F71))/F72</f>
        <v>33.5868291180063</v>
      </c>
      <c r="G160" s="75">
        <f>(G152*SUM(G65:G68)+G156*SUM(G60:G64,G69:G71))/G72</f>
        <v>34.381183228439497</v>
      </c>
      <c r="H160" s="75">
        <f>(H152*SUM(H65:H68)+H156*SUM(H60:H64,H69:H71))/H72</f>
        <v>34.451409295054674</v>
      </c>
      <c r="I160" s="75">
        <f>(I152*SUM(I65:I68)+I156*SUM(I60:I64,I69:I71))/I72</f>
        <v>31.247110115163775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33.900324722756217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">
        <v>311</v>
      </c>
      <c r="J165" s="26" t="s">
        <v>290</v>
      </c>
      <c r="K165" s="26"/>
      <c r="P165" s="13" t="s">
        <v>14</v>
      </c>
      <c r="Q165" s="55">
        <f>SUMPRODUCT(E38:E41,M65:M68)</f>
        <v>31007.910499999998</v>
      </c>
      <c r="R165" s="55">
        <f>SUMPRODUCT(E38:E41,E65:E68)</f>
        <v>31727.347899999997</v>
      </c>
      <c r="T165" s="55">
        <f>Q76</f>
        <v>40104.392</v>
      </c>
      <c r="U165" s="55">
        <f>T165-($Q$167*$Q165/($Q$165+$Q$166))</f>
        <v>39383.476210846908</v>
      </c>
      <c r="W165" s="55">
        <f>+T165-Q165</f>
        <v>9096.4815000000017</v>
      </c>
      <c r="X165" s="55">
        <f>-Q165+U165</f>
        <v>8375.5657108469095</v>
      </c>
      <c r="Z165" s="144">
        <f>+E153*Q165/1000</f>
        <v>1244.9593283370161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44871.089500000002</v>
      </c>
      <c r="R166" s="202">
        <f>SUMPRODUCT(Q38:Q41,E65:E68)</f>
        <v>45915.652100000007</v>
      </c>
      <c r="T166" s="55">
        <f>Q77</f>
        <v>37538.608</v>
      </c>
      <c r="U166" s="55">
        <f>T166-($Q$167*$Q166/($Q$165+$Q$166))</f>
        <v>36495.381404739688</v>
      </c>
      <c r="W166" s="55">
        <f>+T166-Q166</f>
        <v>-7332.4815000000017</v>
      </c>
      <c r="X166" s="55">
        <f>-Q166+U166</f>
        <v>-8375.7080952603137</v>
      </c>
      <c r="Z166" s="144">
        <f>+E154*Q166/1000</f>
        <v>1111.5922971123698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202">
        <f>SUM(W65:W68)/1000</f>
        <v>1764.1423844134001</v>
      </c>
      <c r="R167" s="55">
        <f>SUM(R165:R166)</f>
        <v>77643</v>
      </c>
      <c r="T167" s="55">
        <v>0</v>
      </c>
      <c r="U167" s="55">
        <v>0</v>
      </c>
      <c r="W167" s="55">
        <f>+T167-Q167</f>
        <v>-1764.1423844134001</v>
      </c>
      <c r="X167" s="55"/>
      <c r="Z167" s="85">
        <f>+E152*Q167/1000</f>
        <v>54.78785157334773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87">
        <v>89.59</v>
      </c>
      <c r="F168" s="87">
        <v>2933.9</v>
      </c>
      <c r="G168" s="87">
        <v>1449.23</v>
      </c>
      <c r="H168" s="87">
        <v>46.07</v>
      </c>
      <c r="I168" s="87">
        <v>0.18</v>
      </c>
      <c r="J168" s="87">
        <f>SUM(E168:I168)</f>
        <v>4518.97</v>
      </c>
      <c r="K168" s="87"/>
      <c r="L168" s="87"/>
      <c r="M168" s="87"/>
      <c r="Q168" s="55">
        <f>SUM(Q165:Q167)</f>
        <v>77643.142384413397</v>
      </c>
      <c r="Z168" s="144">
        <f>SUM(Z165:Z167)</f>
        <v>2411.3394770227337</v>
      </c>
      <c r="AA168" s="144"/>
      <c r="AC168" s="81">
        <f>+E130</f>
        <v>2411.3094256413501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K170" s="86"/>
      <c r="L170" s="86"/>
      <c r="M170" s="86"/>
      <c r="P170" s="13" t="s">
        <v>14</v>
      </c>
      <c r="Q170" s="55">
        <f>SUMPRODUCT(E33:E37,M60:M64)+SUMPRODUCT(E42:E44,M69:M71)</f>
        <v>56758.725399999996</v>
      </c>
      <c r="R170" s="55">
        <f>SUMPRODUCT(E33:E37,E60:E64)+SUMPRODUCT(E42:E44,E69:E71)</f>
        <v>58043.413</v>
      </c>
      <c r="T170" s="55">
        <f>Q72</f>
        <v>81015.231499999994</v>
      </c>
      <c r="U170" s="55">
        <f>T170-($Q$172*$Q170/($Q$170+$Q$171))</f>
        <v>79733.382328218489</v>
      </c>
      <c r="W170" s="55">
        <f>+T170-Q170</f>
        <v>24256.506099999999</v>
      </c>
      <c r="X170" s="55">
        <f>-Q170+U170</f>
        <v>22974.656928218494</v>
      </c>
      <c r="Z170" s="144">
        <f>+E157*Q170/1000</f>
        <v>2502.4199354386683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B171" s="13" t="s">
        <v>79</v>
      </c>
      <c r="C171" s="88" t="s">
        <v>80</v>
      </c>
      <c r="D171" s="86"/>
      <c r="E171" s="67"/>
      <c r="F171" s="67"/>
      <c r="G171" s="67"/>
      <c r="H171" s="67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103068.2746</v>
      </c>
      <c r="R171" s="202">
        <f>SUMPRODUCT(Q33:Q37,E60:E64)+SUMPRODUCT(Q42:Q44,E69:E71)</f>
        <v>105393.587</v>
      </c>
      <c r="T171" s="55">
        <f>Q73</f>
        <v>82421.768500000006</v>
      </c>
      <c r="U171" s="55">
        <f>T171-($Q$172*$Q171/($Q$170+$Q$171))</f>
        <v>80094.056214322802</v>
      </c>
      <c r="W171" s="55">
        <f>+T171-Q171</f>
        <v>-20646.506099999999</v>
      </c>
      <c r="X171" s="55">
        <f>-Q171+U171</f>
        <v>-22974.218385677203</v>
      </c>
      <c r="Z171" s="144">
        <f>+E158*Q171/1000</f>
        <v>3279.1917060511173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202">
        <f>SUM(W60:W64,W69:W71)/1000</f>
        <v>3609.5614574587003</v>
      </c>
      <c r="R172" s="55">
        <f>SUM(R170:R171)</f>
        <v>163437</v>
      </c>
      <c r="T172" s="13">
        <v>0</v>
      </c>
      <c r="U172" s="55">
        <v>0</v>
      </c>
      <c r="W172" s="55">
        <f>+T172-Q172</f>
        <v>-3609.5614574587003</v>
      </c>
      <c r="X172" s="55"/>
      <c r="Z172" s="85">
        <f>+E156*Q172/1000</f>
        <v>130.57397347498008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273"/>
      <c r="N173" s="274"/>
      <c r="Q173" s="161">
        <f>SUM(Q170:Q172)</f>
        <v>163436.56145745871</v>
      </c>
      <c r="R173" s="26"/>
      <c r="S173" s="26"/>
      <c r="T173" s="26"/>
      <c r="U173" s="26"/>
      <c r="V173" s="26"/>
      <c r="W173" s="26"/>
      <c r="X173" s="26"/>
      <c r="Z173" s="144">
        <f>SUM(Z170:Z172)</f>
        <v>5912.1856149647665</v>
      </c>
      <c r="AA173" s="144"/>
      <c r="AC173" s="81">
        <f>+E134</f>
        <v>5912.2468904727029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f>31+30+31+31+28+31+30+31</f>
        <v>243</v>
      </c>
      <c r="G174" s="91" t="s">
        <v>85</v>
      </c>
      <c r="H174" s="90">
        <v>8</v>
      </c>
      <c r="I174" s="86"/>
      <c r="J174" s="86"/>
      <c r="K174" s="86"/>
      <c r="L174" s="86"/>
      <c r="M174" s="273"/>
      <c r="N174" s="274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D175" s="283"/>
      <c r="E175" s="283"/>
      <c r="F175" s="284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N175" s="86"/>
      <c r="O175" s="87" t="s">
        <v>255</v>
      </c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8323.5563161140526</v>
      </c>
    </row>
    <row r="176" spans="1:51" x14ac:dyDescent="0.2">
      <c r="A176" s="22"/>
      <c r="B176" s="21" t="s">
        <v>158</v>
      </c>
      <c r="C176" s="92"/>
      <c r="D176" s="93"/>
      <c r="L176" s="94"/>
      <c r="N176" s="275" t="s">
        <v>255</v>
      </c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321"/>
      <c r="C177" s="92"/>
      <c r="D177" s="361"/>
      <c r="E177" s="93"/>
      <c r="G177" s="328"/>
      <c r="H177" s="84"/>
      <c r="L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115.68</v>
      </c>
      <c r="E179" s="93" t="s">
        <v>88</v>
      </c>
      <c r="G179" s="89" t="s">
        <v>162</v>
      </c>
      <c r="H179" s="81">
        <f>ROUND(D179*E173*J$168,0)</f>
        <v>63776043</v>
      </c>
      <c r="I179" s="89"/>
      <c r="J179" s="89"/>
      <c r="K179" s="89"/>
      <c r="L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326">
        <f>D179</f>
        <v>115.68</v>
      </c>
      <c r="E180" s="93" t="s">
        <v>88</v>
      </c>
      <c r="G180" s="121" t="s">
        <v>163</v>
      </c>
      <c r="H180" s="122">
        <f>ROUND(D180*E174*J$168,0)</f>
        <v>127029331</v>
      </c>
      <c r="I180" s="89"/>
      <c r="J180" s="89"/>
      <c r="K180" s="89"/>
      <c r="L180" s="142"/>
      <c r="P180" s="321"/>
      <c r="Z180" s="144"/>
      <c r="AA180" s="144"/>
      <c r="AC180" s="81"/>
    </row>
    <row r="181" spans="1:50" x14ac:dyDescent="0.2">
      <c r="A181" s="22"/>
      <c r="B181" s="389"/>
      <c r="C181" s="389"/>
      <c r="D181" s="389"/>
      <c r="E181" s="389"/>
      <c r="F181" s="389"/>
      <c r="G181" s="89" t="s">
        <v>164</v>
      </c>
      <c r="H181" s="81">
        <f>SUM(H179:H180)</f>
        <v>190805374</v>
      </c>
      <c r="I181" s="89"/>
      <c r="J181" s="89"/>
      <c r="K181" s="89"/>
      <c r="L181" s="142"/>
      <c r="P181" s="342"/>
      <c r="Q181" s="342"/>
      <c r="R181" s="342"/>
      <c r="S181" s="342"/>
      <c r="T181" s="342"/>
      <c r="U181" s="342"/>
    </row>
    <row r="182" spans="1:50" x14ac:dyDescent="0.2">
      <c r="A182" s="22"/>
      <c r="B182" s="21"/>
      <c r="D182" s="11"/>
      <c r="E182" s="93"/>
      <c r="G182" s="89"/>
      <c r="H182" s="81"/>
      <c r="I182" s="89"/>
      <c r="J182" s="89"/>
      <c r="K182" s="89"/>
      <c r="L182" s="142"/>
      <c r="P182" s="342"/>
      <c r="Q182" s="342"/>
      <c r="R182" s="342"/>
      <c r="S182" s="342"/>
      <c r="T182" s="342"/>
      <c r="U182" s="342"/>
    </row>
    <row r="183" spans="1:50" x14ac:dyDescent="0.2">
      <c r="A183" s="22"/>
      <c r="B183" s="13" t="s">
        <v>153</v>
      </c>
      <c r="I183" s="89"/>
      <c r="J183" s="89"/>
      <c r="K183" s="89"/>
      <c r="L183" s="142"/>
      <c r="P183" s="342"/>
      <c r="Q183" s="342"/>
      <c r="R183" s="342"/>
      <c r="S183" s="342"/>
      <c r="T183" s="342"/>
      <c r="U183" s="342"/>
    </row>
    <row r="184" spans="1:50" x14ac:dyDescent="0.2">
      <c r="A184" s="22"/>
      <c r="B184" s="17" t="s">
        <v>154</v>
      </c>
      <c r="I184" s="89"/>
      <c r="J184" s="89"/>
      <c r="K184" s="89"/>
      <c r="L184" s="142"/>
      <c r="P184" s="342"/>
      <c r="Q184" s="342"/>
      <c r="R184" s="342"/>
      <c r="S184" s="342"/>
      <c r="T184" s="342"/>
      <c r="U184" s="342"/>
    </row>
    <row r="185" spans="1:50" x14ac:dyDescent="0.2">
      <c r="A185" s="22"/>
      <c r="B185" s="17"/>
      <c r="C185" s="105" t="str">
        <f>" ---------- Rate "&amp;C30&amp;" ----------"</f>
        <v xml:space="preserve"> ---------- Rate  ----------</v>
      </c>
      <c r="D185" s="106"/>
      <c r="E185" s="106"/>
      <c r="I185" s="89"/>
      <c r="J185" s="89"/>
      <c r="K185" s="89"/>
      <c r="L185" s="142"/>
      <c r="P185" s="282"/>
      <c r="Q185" s="282"/>
      <c r="R185" s="282"/>
      <c r="S185" s="282"/>
      <c r="T185" s="282"/>
      <c r="U185" s="282"/>
    </row>
    <row r="186" spans="1:50" x14ac:dyDescent="0.2">
      <c r="A186" s="22"/>
      <c r="C186" s="38" t="s">
        <v>140</v>
      </c>
      <c r="E186" s="38" t="s">
        <v>141</v>
      </c>
      <c r="I186" s="89"/>
      <c r="J186" s="89"/>
      <c r="K186" s="89"/>
      <c r="L186" s="142"/>
      <c r="P186" s="282"/>
      <c r="Q186" s="282"/>
      <c r="R186" s="282"/>
      <c r="S186" s="282"/>
      <c r="T186" s="282"/>
      <c r="U186" s="282"/>
    </row>
    <row r="187" spans="1:50" x14ac:dyDescent="0.2">
      <c r="A187" s="22"/>
      <c r="B187" s="89" t="s">
        <v>142</v>
      </c>
      <c r="C187" s="107"/>
      <c r="E187" s="118">
        <f>SUM(R65/(R65+R66))</f>
        <v>0.52348651723520678</v>
      </c>
      <c r="F187" s="112"/>
      <c r="I187" s="89"/>
      <c r="J187" s="89"/>
      <c r="K187" s="89"/>
      <c r="L187" s="142"/>
      <c r="AX187" s="118"/>
    </row>
    <row r="188" spans="1:50" x14ac:dyDescent="0.2">
      <c r="A188" s="22"/>
      <c r="B188" s="89" t="s">
        <v>144</v>
      </c>
      <c r="C188" s="108"/>
      <c r="E188" s="109">
        <f>1-E187</f>
        <v>0.47651348276479322</v>
      </c>
      <c r="G188" s="53"/>
      <c r="I188" s="89"/>
      <c r="J188" s="89"/>
      <c r="K188" s="89"/>
      <c r="L188" s="142"/>
    </row>
    <row r="189" spans="1:50" x14ac:dyDescent="0.2">
      <c r="A189" s="22"/>
      <c r="B189" s="110" t="s">
        <v>155</v>
      </c>
      <c r="C189" s="111">
        <v>0.86519999999999997</v>
      </c>
      <c r="D189" s="13" t="s">
        <v>143</v>
      </c>
      <c r="J189" s="89"/>
      <c r="K189" s="89"/>
      <c r="L189" s="142"/>
      <c r="P189" s="321"/>
    </row>
    <row r="190" spans="1:50" x14ac:dyDescent="0.2">
      <c r="A190" s="13"/>
      <c r="J190" s="89"/>
      <c r="K190" s="89"/>
      <c r="L190" s="142"/>
      <c r="P190" s="87"/>
      <c r="Q190" s="87"/>
      <c r="R190" s="87"/>
      <c r="S190" s="87"/>
      <c r="T190" s="87"/>
      <c r="U190" s="341"/>
    </row>
    <row r="191" spans="1:50" x14ac:dyDescent="0.2">
      <c r="A191" s="18" t="s">
        <v>89</v>
      </c>
      <c r="B191" s="16" t="s">
        <v>90</v>
      </c>
      <c r="Q191" s="341"/>
      <c r="R191" s="341"/>
      <c r="S191" s="341"/>
      <c r="T191" s="341"/>
      <c r="U191" s="341"/>
    </row>
    <row r="192" spans="1:50" x14ac:dyDescent="0.2">
      <c r="A192" s="18"/>
      <c r="B192" s="17" t="s">
        <v>296</v>
      </c>
      <c r="F192" s="364">
        <v>2</v>
      </c>
      <c r="G192" s="13" t="s">
        <v>92</v>
      </c>
      <c r="Q192" s="341"/>
      <c r="R192" s="341"/>
      <c r="S192" s="341"/>
      <c r="T192" s="341"/>
      <c r="U192" s="341"/>
    </row>
    <row r="193" spans="1:21" x14ac:dyDescent="0.2">
      <c r="A193" s="18"/>
      <c r="B193" s="17" t="s">
        <v>298</v>
      </c>
      <c r="F193" s="365">
        <v>17.509999999999998</v>
      </c>
      <c r="G193" s="13" t="s">
        <v>92</v>
      </c>
      <c r="Q193" s="341"/>
      <c r="R193" s="341"/>
      <c r="S193" s="341"/>
      <c r="T193" s="341"/>
      <c r="U193" s="341"/>
    </row>
    <row r="194" spans="1:21" x14ac:dyDescent="0.2">
      <c r="A194" s="22"/>
      <c r="B194" s="17" t="s">
        <v>295</v>
      </c>
      <c r="F194" s="362">
        <f>F192+F193</f>
        <v>19.509999999999998</v>
      </c>
      <c r="G194" s="13" t="s">
        <v>92</v>
      </c>
      <c r="P194" s="333"/>
      <c r="Q194" s="333"/>
      <c r="R194" s="333"/>
      <c r="S194" s="333"/>
      <c r="T194" s="333"/>
      <c r="U194" s="333"/>
    </row>
    <row r="195" spans="1:21" x14ac:dyDescent="0.2">
      <c r="A195" s="22"/>
      <c r="B195" s="17"/>
      <c r="F195" s="93"/>
    </row>
    <row r="196" spans="1:21" x14ac:dyDescent="0.2">
      <c r="A196" s="22"/>
      <c r="B196" s="16"/>
      <c r="E196" s="92"/>
      <c r="F196" s="93"/>
    </row>
    <row r="197" spans="1:21" x14ac:dyDescent="0.2">
      <c r="A197" s="18" t="s">
        <v>93</v>
      </c>
      <c r="B197" s="16" t="s">
        <v>167</v>
      </c>
    </row>
    <row r="198" spans="1:21" x14ac:dyDescent="0.2">
      <c r="A198" s="18"/>
      <c r="B198" s="16"/>
    </row>
    <row r="199" spans="1:21" x14ac:dyDescent="0.2">
      <c r="A199" s="18"/>
      <c r="B199" s="16"/>
      <c r="C199" s="26"/>
      <c r="D199" s="26"/>
      <c r="E199" s="26" t="str">
        <f>+E$13</f>
        <v>RT{1}</v>
      </c>
      <c r="F199" s="26" t="str">
        <f>+F$13</f>
        <v>RS{2}</v>
      </c>
      <c r="G199" s="26" t="str">
        <f>+G$13</f>
        <v>GS{3}</v>
      </c>
      <c r="H199" s="155" t="str">
        <f>+H$58</f>
        <v>GST {4}</v>
      </c>
      <c r="I199" s="26" t="str">
        <f>+I$13</f>
        <v>OL/SL</v>
      </c>
      <c r="J199" s="26"/>
      <c r="K199" s="26"/>
    </row>
    <row r="200" spans="1:21" x14ac:dyDescent="0.2">
      <c r="A200" s="18"/>
      <c r="B200" s="16"/>
    </row>
    <row r="201" spans="1:21" x14ac:dyDescent="0.2">
      <c r="A201" s="22"/>
      <c r="B201" s="410" t="s">
        <v>94</v>
      </c>
      <c r="C201" s="411"/>
      <c r="D201" s="411"/>
      <c r="E201" s="412">
        <v>7.4649999999999999</v>
      </c>
      <c r="F201" s="412">
        <v>7.4649999999999999</v>
      </c>
      <c r="G201" s="412">
        <v>7.4649999999999999</v>
      </c>
      <c r="H201" s="412">
        <v>7.4649999999999999</v>
      </c>
      <c r="I201" s="412">
        <v>0</v>
      </c>
      <c r="J201" s="145"/>
      <c r="K201" s="145"/>
      <c r="L201" s="145"/>
      <c r="M201" s="145"/>
    </row>
    <row r="202" spans="1:21" x14ac:dyDescent="0.2">
      <c r="A202" s="22"/>
      <c r="B202" s="89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</row>
    <row r="203" spans="1:21" x14ac:dyDescent="0.2">
      <c r="A203" s="22"/>
      <c r="B203" s="89" t="s">
        <v>131</v>
      </c>
      <c r="C203" s="145"/>
      <c r="D203" s="145"/>
      <c r="E203" s="146">
        <f>$H$181*(E$168/$J$168)/E$72</f>
        <v>15.69095937422502</v>
      </c>
      <c r="F203" s="146">
        <f>$H$181*(F$168/$J$168)/F$72</f>
        <v>13.675089914861916</v>
      </c>
      <c r="G203" s="146">
        <f>$H$181*(G$168/$J$168)/G$72</f>
        <v>10.152698836359777</v>
      </c>
      <c r="H203" s="146">
        <f>$H$181*(H$168/$J$168)/H$72</f>
        <v>11.641139820942918</v>
      </c>
      <c r="I203" s="146">
        <f>$H$181*(I$168/$J$168)/I$72</f>
        <v>6.6935364796842339E-2</v>
      </c>
      <c r="J203" s="145"/>
      <c r="K203" s="145"/>
      <c r="L203" s="145"/>
      <c r="M203" s="145"/>
    </row>
    <row r="204" spans="1:21" x14ac:dyDescent="0.2">
      <c r="A204" s="22"/>
      <c r="B204" s="89" t="s">
        <v>198</v>
      </c>
      <c r="C204" s="145"/>
      <c r="D204" s="145"/>
      <c r="E204" s="146">
        <f>$H$179*(E$168/$J$168)/SUM(E65:E68)</f>
        <v>16.284534205916913</v>
      </c>
      <c r="F204" s="146">
        <f>$H$179*(F$168/$J$168)/SUM(F65:F68)</f>
        <v>11.023862514754798</v>
      </c>
      <c r="G204" s="146">
        <f>$H$179*(G$168/$J$168)/SUM(G65:G68)</f>
        <v>9.2577375100745716</v>
      </c>
      <c r="H204" s="146"/>
      <c r="I204" s="146">
        <f>$H$179*(I$168/$J$168)/SUM(I65:I68)</f>
        <v>6.7154827268875283E-2</v>
      </c>
      <c r="J204" s="145"/>
      <c r="K204" s="145"/>
      <c r="L204" s="145"/>
      <c r="M204" s="145"/>
    </row>
    <row r="205" spans="1:21" x14ac:dyDescent="0.2">
      <c r="A205" s="22"/>
      <c r="B205" s="89" t="s">
        <v>199</v>
      </c>
      <c r="C205" s="145"/>
      <c r="D205" s="145"/>
      <c r="E205" s="146">
        <f>$H$179*(E$168/$J$168)/R165</f>
        <v>39.851427019212245</v>
      </c>
      <c r="F205" s="146"/>
      <c r="G205" s="146"/>
      <c r="H205" s="146">
        <f>$H$179*(H$168/$J$168)/Q153</f>
        <v>24.019350566271036</v>
      </c>
      <c r="I205" s="146"/>
      <c r="J205" s="145"/>
      <c r="K205" s="145"/>
      <c r="L205" s="145"/>
      <c r="M205" s="236"/>
    </row>
    <row r="206" spans="1:21" x14ac:dyDescent="0.2">
      <c r="A206" s="22"/>
      <c r="B206" s="89" t="s">
        <v>201</v>
      </c>
      <c r="C206" s="145"/>
      <c r="D206" s="145"/>
      <c r="E206" s="146">
        <f>$H$180*(E$168/$J$168)/(E72-SUM(E65:E68))</f>
        <v>15.40897346737985</v>
      </c>
      <c r="F206" s="146">
        <f>$H$180*(F$168/$J$168)/(F72-SUM(F65:F68))</f>
        <v>15.553030136286344</v>
      </c>
      <c r="G206" s="146">
        <f>$H$180*(G$168/$J$168)/(G72-SUM(G65:G68))</f>
        <v>10.670593630764737</v>
      </c>
      <c r="H206" s="146"/>
      <c r="I206" s="146">
        <f>$H$180*(I$168/$J$168)/(I72-SUM(I65:I68))</f>
        <v>6.6825721963765711E-2</v>
      </c>
      <c r="J206" s="145"/>
      <c r="K206" s="145"/>
      <c r="L206" s="145"/>
      <c r="M206" s="145"/>
    </row>
    <row r="207" spans="1:21" x14ac:dyDescent="0.2">
      <c r="A207" s="22"/>
      <c r="B207" s="89" t="s">
        <v>200</v>
      </c>
      <c r="C207" s="145"/>
      <c r="D207" s="145"/>
      <c r="E207" s="146">
        <f>$H$180*(E$168/$J$168)/R170</f>
        <v>43.38815149598733</v>
      </c>
      <c r="F207" s="147"/>
      <c r="G207" s="147"/>
      <c r="H207" s="146">
        <f>$H$180*(H$168/$J$168)/Q157</f>
        <v>27.046012294526925</v>
      </c>
      <c r="I207" s="146"/>
      <c r="J207" s="145"/>
      <c r="K207" s="145"/>
      <c r="L207" s="145"/>
      <c r="M207" s="236" t="s">
        <v>255</v>
      </c>
    </row>
    <row r="208" spans="1:21" x14ac:dyDescent="0.2">
      <c r="A208" s="22"/>
      <c r="B208" s="89"/>
      <c r="C208" s="145"/>
      <c r="D208" s="145"/>
      <c r="E208" s="146"/>
      <c r="F208" s="146"/>
      <c r="G208" s="146"/>
      <c r="H208" s="146"/>
      <c r="I208" s="146"/>
      <c r="J208" s="145"/>
      <c r="K208" s="145"/>
      <c r="L208" s="145"/>
      <c r="M208" s="145"/>
    </row>
    <row r="209" spans="1:18" ht="15.75" x14ac:dyDescent="0.25">
      <c r="A209" s="22"/>
      <c r="B209" s="435" t="str">
        <f>$B$1</f>
        <v xml:space="preserve">Jersey Central Power &amp; Light </v>
      </c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145"/>
    </row>
    <row r="210" spans="1:18" ht="15.75" x14ac:dyDescent="0.25">
      <c r="A210" s="22"/>
      <c r="B210" s="435" t="str">
        <f>$B$2</f>
        <v>Attachment 2</v>
      </c>
      <c r="C210" s="435"/>
      <c r="D210" s="435"/>
      <c r="E210" s="435"/>
      <c r="F210" s="435"/>
      <c r="G210" s="435"/>
      <c r="H210" s="435"/>
      <c r="I210" s="435"/>
      <c r="J210" s="435"/>
      <c r="K210" s="435"/>
      <c r="L210" s="435"/>
      <c r="M210" s="145"/>
      <c r="N210" s="145"/>
      <c r="O210" s="145"/>
      <c r="P210" s="145"/>
      <c r="Q210" s="145"/>
      <c r="R210" s="145"/>
    </row>
    <row r="211" spans="1:18" x14ac:dyDescent="0.2">
      <c r="A211" s="22"/>
      <c r="E211" s="145"/>
      <c r="F211" s="145"/>
      <c r="G211" s="145"/>
      <c r="H211" s="145"/>
      <c r="L211" s="145"/>
      <c r="M211" s="145"/>
      <c r="N211" s="145"/>
      <c r="O211" s="145"/>
      <c r="P211" s="145"/>
      <c r="Q211" s="145"/>
      <c r="R211" s="145"/>
    </row>
    <row r="212" spans="1:18" x14ac:dyDescent="0.2">
      <c r="A212" s="22"/>
      <c r="M212" s="145"/>
      <c r="N212" s="145"/>
      <c r="O212" s="145"/>
      <c r="P212" s="145"/>
      <c r="Q212" s="145"/>
      <c r="R212" s="145"/>
    </row>
    <row r="213" spans="1:18" x14ac:dyDescent="0.2">
      <c r="A213" s="18" t="s">
        <v>95</v>
      </c>
      <c r="B213" s="16" t="s">
        <v>96</v>
      </c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/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6" t="s">
        <v>97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219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B217" s="17" t="s">
        <v>21</v>
      </c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26" t="str">
        <f>+E$13</f>
        <v>RT{1}</v>
      </c>
      <c r="F218" s="26" t="str">
        <f>+F$13</f>
        <v>RS{2}</v>
      </c>
      <c r="G218" s="26" t="str">
        <f>+G$13</f>
        <v>GS{3}</v>
      </c>
      <c r="H218" s="155" t="str">
        <f>+H$58</f>
        <v>GST {4}</v>
      </c>
      <c r="I218" s="26" t="str">
        <f>+I$13</f>
        <v>OL/SL</v>
      </c>
      <c r="J218" s="26"/>
      <c r="K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C219" s="26"/>
      <c r="D219" s="26"/>
      <c r="E219" s="74"/>
      <c r="F219" s="26"/>
      <c r="G219" s="26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28" t="s">
        <v>17</v>
      </c>
      <c r="C220" s="74"/>
      <c r="D220" s="74"/>
      <c r="E220" s="74">
        <f>+E152+(E$95*$F$194)+E$201+E204</f>
        <v>76.618065159430088</v>
      </c>
      <c r="F220" s="74">
        <f>+F152+(F$95*$F$194)+F$201+F204</f>
        <v>71.376641052912177</v>
      </c>
      <c r="G220" s="74">
        <f>+G152+(G$95*$F$194)+G$201+G204</f>
        <v>70.58152827397511</v>
      </c>
      <c r="H220" s="74"/>
      <c r="I220" s="74">
        <f>+I152+(I$95*$F$194)+I$201+I204</f>
        <v>48.978458074301429</v>
      </c>
      <c r="J220" s="74"/>
      <c r="K220" s="74"/>
      <c r="L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72</v>
      </c>
      <c r="C221" s="74"/>
      <c r="D221" s="74"/>
      <c r="E221" s="74">
        <f>+E153+(E$95*$F$194)+E$201+E$205</f>
        <v>109.27832499700864</v>
      </c>
      <c r="F221" s="74"/>
      <c r="G221" s="74"/>
      <c r="H221" s="74">
        <f>+H153+(H$95*$F$194)+H$201+H$205</f>
        <v>93.157165555207371</v>
      </c>
      <c r="I221" s="74"/>
      <c r="J221" s="74"/>
      <c r="K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77" t="s">
        <v>73</v>
      </c>
      <c r="C222" s="74"/>
      <c r="D222" s="74"/>
      <c r="E222" s="74">
        <f>+E154+(E$95*$F$194)+E$201</f>
        <v>54.050182710014468</v>
      </c>
      <c r="F222" s="74"/>
      <c r="G222" s="74"/>
      <c r="H222" s="74">
        <f>+H154+(H$95*$F$194)+H$201</f>
        <v>54.215837488627216</v>
      </c>
      <c r="I222" s="74"/>
      <c r="J222" s="74"/>
      <c r="K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142</v>
      </c>
      <c r="C223" s="74"/>
      <c r="D223" s="74"/>
      <c r="E223" s="74"/>
      <c r="F223" s="74">
        <f>(F220*SUM(F65:F68)-C189*10*E188*SUM(F65:F68))/SUM(F65:F68)</f>
        <v>67.253846400031193</v>
      </c>
      <c r="G223" s="74"/>
      <c r="H223" s="74"/>
      <c r="I223" s="74"/>
      <c r="J223" s="74"/>
      <c r="K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B224" s="89" t="s">
        <v>144</v>
      </c>
      <c r="C224" s="74"/>
      <c r="D224" s="74"/>
      <c r="E224" s="74"/>
      <c r="F224" s="74">
        <f>+F223+C189*10</f>
        <v>75.905846400031194</v>
      </c>
      <c r="G224" s="119"/>
      <c r="H224" s="74"/>
      <c r="I224" s="74"/>
      <c r="J224" s="74"/>
      <c r="K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C225" s="74"/>
      <c r="D225" s="74"/>
      <c r="E225" s="74"/>
      <c r="F225" s="74"/>
      <c r="G225" s="74"/>
      <c r="H225" s="74"/>
      <c r="I225" s="74"/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28" t="s">
        <v>18</v>
      </c>
      <c r="C226" s="74"/>
      <c r="D226" s="74"/>
      <c r="E226" s="74">
        <f>+E156+(E$95*$F$194)+E$201+E206</f>
        <v>80.86060864387899</v>
      </c>
      <c r="F226" s="74">
        <f>+F156+(F$95*$F$194)+F$201+F206</f>
        <v>80.195790011478678</v>
      </c>
      <c r="G226" s="74">
        <f>+G156+(G$95*$F$194)+G$201+G206</f>
        <v>75.679899773713572</v>
      </c>
      <c r="H226" s="74"/>
      <c r="I226" s="74">
        <f>+I156+(I$95*$F$194)+I$201+I206</f>
        <v>55.1984158272315</v>
      </c>
      <c r="J226" s="74"/>
      <c r="K226" s="74"/>
      <c r="L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72</v>
      </c>
      <c r="C227" s="74"/>
      <c r="D227" s="74"/>
      <c r="E227" s="74">
        <f>+E157+(E$95*$F$194)+E$201+E$207</f>
        <v>116.75404320616077</v>
      </c>
      <c r="F227" s="74"/>
      <c r="G227" s="74"/>
      <c r="H227" s="74">
        <f>+H157+(H$95*$F$194)+H$201+H$207</f>
        <v>96.647947917962227</v>
      </c>
      <c r="I227" s="74"/>
      <c r="J227" s="74"/>
      <c r="K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B228" s="77" t="s">
        <v>73</v>
      </c>
      <c r="C228" s="74"/>
      <c r="D228" s="74"/>
      <c r="E228" s="74">
        <f>+E158+(E$95*$F$194)+E$201</f>
        <v>61.092888253187297</v>
      </c>
      <c r="F228" s="74"/>
      <c r="G228" s="74"/>
      <c r="H228" s="74">
        <f>+H158+(H$95*$F$194)+H$201</f>
        <v>61.563610991244872</v>
      </c>
      <c r="I228" s="74"/>
      <c r="J228" s="74"/>
      <c r="K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C229" s="74"/>
      <c r="D229" s="74"/>
      <c r="E229" s="74"/>
      <c r="F229" s="74"/>
      <c r="G229" s="74"/>
      <c r="H229" s="74"/>
      <c r="I229" s="74"/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B230" s="13" t="s">
        <v>98</v>
      </c>
      <c r="C230" s="74"/>
      <c r="D230" s="74"/>
      <c r="E230" s="74">
        <f>+E160+(E$95*$F$194)+E$201+E203</f>
        <v>79.494241447251028</v>
      </c>
      <c r="F230" s="74">
        <f>+F160+(F$95*$F$194)+F$201+F203</f>
        <v>76.539083982474395</v>
      </c>
      <c r="G230" s="74">
        <f>+G160+(G$95*$F$194)+G$201+G203</f>
        <v>73.81104701440546</v>
      </c>
      <c r="H230" s="74">
        <f>((H221*SUMPRODUCT(H38:H41,H65:H68)+H222*SUMPRODUCT(T38:T41,H65:H68))+(H227*(SUMPRODUCT(H33:H37,H60:H64)+SUMPRODUCT(H42:H44,H69:H71))+H228*(SUMPRODUCT(T33:T37,H60:H64)+SUMPRODUCT(T42:T44,H69:H71))))/H72</f>
        <v>75.369714065603773</v>
      </c>
      <c r="I230" s="74">
        <f>+I160+(I$95*$F$194)+I$201+I203</f>
        <v>53.126210429566797</v>
      </c>
      <c r="J230" s="74"/>
      <c r="K230" s="74"/>
      <c r="L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6" t="s">
        <v>99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100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17" t="s">
        <v>21</v>
      </c>
      <c r="M234" s="145"/>
      <c r="N234" s="145"/>
      <c r="O234" s="145"/>
      <c r="P234" s="145"/>
      <c r="Q234" s="145"/>
      <c r="R234" s="145"/>
    </row>
    <row r="235" spans="1:18" x14ac:dyDescent="0.2">
      <c r="A235" s="22"/>
      <c r="B235" s="77"/>
      <c r="C235" s="74"/>
      <c r="D235" s="74"/>
      <c r="I235" s="89"/>
      <c r="J235" s="80"/>
      <c r="K235" s="80"/>
      <c r="L235" s="93"/>
    </row>
    <row r="236" spans="1:18" x14ac:dyDescent="0.2">
      <c r="A236" s="22"/>
      <c r="C236" s="74"/>
      <c r="D236" s="74"/>
    </row>
    <row r="237" spans="1:18" x14ac:dyDescent="0.2">
      <c r="A237" s="22"/>
      <c r="B237" s="37" t="s">
        <v>101</v>
      </c>
      <c r="C237" s="74"/>
      <c r="D237" s="74"/>
      <c r="I237" s="96"/>
      <c r="L237" s="93"/>
    </row>
    <row r="238" spans="1:18" x14ac:dyDescent="0.2">
      <c r="A238" s="22"/>
      <c r="B238" s="77"/>
      <c r="C238" s="74"/>
      <c r="D238" s="74"/>
      <c r="I238" s="89"/>
      <c r="J238" s="97"/>
      <c r="K238" s="97"/>
      <c r="L238" s="93"/>
    </row>
    <row r="239" spans="1:18" ht="15.75" x14ac:dyDescent="0.25">
      <c r="A239" s="22"/>
      <c r="B239" s="435" t="str">
        <f>$B$1</f>
        <v xml:space="preserve">Jersey Central Power &amp; Light </v>
      </c>
      <c r="C239" s="435"/>
      <c r="D239" s="435"/>
      <c r="E239" s="435"/>
      <c r="F239" s="435"/>
      <c r="G239" s="435"/>
      <c r="H239" s="435"/>
      <c r="I239" s="435"/>
      <c r="J239" s="435"/>
      <c r="K239" s="435"/>
      <c r="L239" s="435"/>
    </row>
    <row r="240" spans="1:18" ht="15.75" x14ac:dyDescent="0.25">
      <c r="A240" s="22"/>
      <c r="B240" s="435" t="str">
        <f>$B$2</f>
        <v>Attachment 2</v>
      </c>
      <c r="C240" s="435"/>
      <c r="D240" s="435"/>
      <c r="E240" s="435"/>
      <c r="F240" s="435"/>
      <c r="G240" s="435"/>
      <c r="H240" s="435"/>
      <c r="I240" s="435"/>
      <c r="J240" s="435"/>
      <c r="K240" s="435"/>
      <c r="L240" s="435"/>
    </row>
    <row r="241" spans="1:14" ht="15.75" x14ac:dyDescent="0.25">
      <c r="A241" s="22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</row>
    <row r="242" spans="1:14" ht="15.75" x14ac:dyDescent="0.25">
      <c r="A242" s="18" t="s">
        <v>106</v>
      </c>
      <c r="B242" s="163" t="s">
        <v>240</v>
      </c>
      <c r="C242" s="20"/>
      <c r="E242" s="165"/>
      <c r="F242" s="38"/>
      <c r="L242" s="166"/>
    </row>
    <row r="243" spans="1:14" ht="15.75" x14ac:dyDescent="0.25">
      <c r="B243" s="13" t="s">
        <v>241</v>
      </c>
      <c r="L243" s="166"/>
    </row>
    <row r="244" spans="1:14" ht="15.75" x14ac:dyDescent="0.25">
      <c r="E244" s="26" t="s">
        <v>61</v>
      </c>
      <c r="F244" s="26" t="s">
        <v>62</v>
      </c>
      <c r="G244" s="26" t="s">
        <v>65</v>
      </c>
      <c r="H244" s="26" t="s">
        <v>203</v>
      </c>
      <c r="I244" s="26" t="s">
        <v>55</v>
      </c>
      <c r="L244" s="166"/>
    </row>
    <row r="245" spans="1:14" ht="15.75" x14ac:dyDescent="0.25">
      <c r="L245" s="166"/>
    </row>
    <row r="246" spans="1:14" ht="15.75" x14ac:dyDescent="0.25">
      <c r="B246" s="28" t="s">
        <v>17</v>
      </c>
      <c r="E246" s="55">
        <f>'Composite Cost Allocation'!E108</f>
        <v>1764142.3844134002</v>
      </c>
      <c r="G246" s="55">
        <f>'Composite Cost Allocation'!G108</f>
        <v>2209279000</v>
      </c>
      <c r="I246" s="55">
        <f>'Composite Cost Allocation'!I108</f>
        <v>37828000</v>
      </c>
      <c r="L246" s="166"/>
    </row>
    <row r="247" spans="1:14" ht="15.75" x14ac:dyDescent="0.25">
      <c r="B247" s="77" t="s">
        <v>72</v>
      </c>
      <c r="E247" s="55">
        <f>'Composite Cost Allocation'!E109</f>
        <v>31007842</v>
      </c>
      <c r="H247" s="55">
        <f>'Composite Cost Allocation'!H109</f>
        <v>27069177.699999999</v>
      </c>
      <c r="L247" s="166"/>
    </row>
    <row r="248" spans="1:14" ht="15.75" x14ac:dyDescent="0.25">
      <c r="B248" s="77" t="s">
        <v>73</v>
      </c>
      <c r="E248" s="55">
        <f>'Composite Cost Allocation'!E110</f>
        <v>44871015.615586594</v>
      </c>
      <c r="H248" s="55">
        <f>'Composite Cost Allocation'!H110</f>
        <v>31051822.300000001</v>
      </c>
      <c r="L248" s="166"/>
    </row>
    <row r="249" spans="1:14" ht="15.75" x14ac:dyDescent="0.25">
      <c r="B249" s="89" t="s">
        <v>142</v>
      </c>
      <c r="F249" s="55">
        <f>'Composite Cost Allocation'!F111</f>
        <v>1966234000</v>
      </c>
      <c r="L249" s="166"/>
    </row>
    <row r="250" spans="1:14" ht="15.75" x14ac:dyDescent="0.25">
      <c r="B250" s="89" t="s">
        <v>144</v>
      </c>
      <c r="F250" s="55">
        <f>'Composite Cost Allocation'!F112</f>
        <v>1789801000</v>
      </c>
      <c r="L250" s="166"/>
    </row>
    <row r="251" spans="1:14" ht="15.75" x14ac:dyDescent="0.25">
      <c r="L251" s="166"/>
    </row>
    <row r="252" spans="1:14" ht="15.75" x14ac:dyDescent="0.25">
      <c r="B252" s="28" t="s">
        <v>18</v>
      </c>
      <c r="E252" s="55">
        <f>'Composite Cost Allocation'!E114</f>
        <v>3609561.4574586996</v>
      </c>
      <c r="F252" s="55">
        <f>'Composite Cost Allocation'!F114</f>
        <v>5302673000</v>
      </c>
      <c r="G252" s="55">
        <f>'Composite Cost Allocation'!G114</f>
        <v>3817801000</v>
      </c>
      <c r="I252" s="55">
        <f>'Composite Cost Allocation'!I114</f>
        <v>75717000</v>
      </c>
      <c r="L252" s="166"/>
    </row>
    <row r="253" spans="1:14" ht="15.75" x14ac:dyDescent="0.25">
      <c r="B253" s="77" t="s">
        <v>72</v>
      </c>
      <c r="E253" s="55">
        <f>'Composite Cost Allocation'!E115</f>
        <v>56758896.659629665</v>
      </c>
      <c r="H253" s="55">
        <f>'Composite Cost Allocation'!H115</f>
        <v>47882798.399999991</v>
      </c>
      <c r="L253" s="166"/>
    </row>
    <row r="254" spans="1:14" ht="15.75" x14ac:dyDescent="0.25">
      <c r="B254" s="77" t="s">
        <v>73</v>
      </c>
      <c r="E254" s="55">
        <f>'Composite Cost Allocation'!E116</f>
        <v>103068541.88291162</v>
      </c>
      <c r="H254" s="55">
        <f>'Composite Cost Allocation'!H116</f>
        <v>61095201.600000024</v>
      </c>
      <c r="L254" s="166"/>
    </row>
    <row r="255" spans="1:14" ht="15.75" x14ac:dyDescent="0.25">
      <c r="J255" s="26" t="s">
        <v>13</v>
      </c>
      <c r="K255" s="26"/>
      <c r="M255" s="262" t="s">
        <v>276</v>
      </c>
      <c r="N255" s="262" t="s">
        <v>277</v>
      </c>
    </row>
    <row r="256" spans="1:14" x14ac:dyDescent="0.2">
      <c r="B256" s="89" t="s">
        <v>162</v>
      </c>
      <c r="E256" s="55">
        <f>SUM(E246:E250)</f>
        <v>77643000</v>
      </c>
      <c r="F256" s="55">
        <f>SUM(F246:F250)</f>
        <v>3756035000</v>
      </c>
      <c r="G256" s="55">
        <f>SUM(G246:G250)</f>
        <v>2209279000</v>
      </c>
      <c r="H256" s="55">
        <f>SUM(H246:H250)</f>
        <v>58121000</v>
      </c>
      <c r="I256" s="55">
        <f>SUM(I246:I250)</f>
        <v>37828000</v>
      </c>
      <c r="J256" s="55">
        <f>SUM(E256:I256)</f>
        <v>6138906000</v>
      </c>
      <c r="K256" s="55"/>
      <c r="M256" s="277">
        <f>ROUND(J256*$E$95/1000,0)</f>
        <v>6863292</v>
      </c>
      <c r="N256" s="277">
        <f>ROUND(J256*$E$98/1000,0)</f>
        <v>6811450</v>
      </c>
    </row>
    <row r="257" spans="1:15" x14ac:dyDescent="0.2">
      <c r="B257" s="89" t="s">
        <v>163</v>
      </c>
      <c r="E257" s="138">
        <f>SUM(E252:E254)</f>
        <v>163437000</v>
      </c>
      <c r="F257" s="138">
        <f>SUM(F252:F254)</f>
        <v>5302673000</v>
      </c>
      <c r="G257" s="138">
        <f>SUM(G252:G254)</f>
        <v>3817801000</v>
      </c>
      <c r="H257" s="138">
        <f>SUM(H252:H254)</f>
        <v>108978000.00000001</v>
      </c>
      <c r="I257" s="138">
        <f>SUM(I252:I254)</f>
        <v>75717000</v>
      </c>
      <c r="J257" s="138">
        <f>SUM(E257:I257)</f>
        <v>9468606000</v>
      </c>
      <c r="K257" s="138"/>
      <c r="M257" s="277">
        <f>ROUND(J257*$E$95/1000,0)</f>
        <v>10585894</v>
      </c>
      <c r="N257" s="277">
        <f>ROUND(J257*$E$98/1000,0)</f>
        <v>10505933</v>
      </c>
    </row>
    <row r="258" spans="1:15" x14ac:dyDescent="0.2">
      <c r="B258" s="89" t="s">
        <v>164</v>
      </c>
      <c r="E258" s="55">
        <f>SUM(E256:E257)</f>
        <v>241080000</v>
      </c>
      <c r="F258" s="55">
        <f>SUM(F256:F257)</f>
        <v>9058708000</v>
      </c>
      <c r="G258" s="55">
        <f>SUM(G256:G257)</f>
        <v>6027080000</v>
      </c>
      <c r="H258" s="55">
        <f>SUM(H256:H257)</f>
        <v>167099000</v>
      </c>
      <c r="I258" s="55">
        <f>SUM(I256:I257)</f>
        <v>113545000</v>
      </c>
      <c r="J258" s="55">
        <f>SUM(E258:I258)</f>
        <v>15607512000</v>
      </c>
      <c r="K258" s="55"/>
      <c r="M258" s="278">
        <f>SUM(M256:M257)</f>
        <v>17449186</v>
      </c>
      <c r="N258" s="278">
        <f>SUM(N256:N257)</f>
        <v>17317383</v>
      </c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276" t="s">
        <v>255</v>
      </c>
      <c r="K259" s="276"/>
      <c r="L259" s="166"/>
    </row>
    <row r="260" spans="1:15" ht="15.75" x14ac:dyDescent="0.25">
      <c r="A260" s="22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</row>
    <row r="262" spans="1:15" x14ac:dyDescent="0.2">
      <c r="A262" s="6" t="s">
        <v>133</v>
      </c>
      <c r="B262" s="1" t="s">
        <v>168</v>
      </c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 s="1"/>
      <c r="C263"/>
      <c r="D263"/>
      <c r="E263"/>
      <c r="F263"/>
      <c r="G263"/>
      <c r="H263"/>
      <c r="I263"/>
      <c r="J263"/>
      <c r="K263"/>
      <c r="L263"/>
    </row>
    <row r="264" spans="1:15" x14ac:dyDescent="0.2">
      <c r="A264" s="7"/>
      <c r="B264"/>
      <c r="C264" s="2"/>
      <c r="D264" s="2"/>
      <c r="E264" s="26" t="str">
        <f>+E$13</f>
        <v>RT{1}</v>
      </c>
      <c r="F264" s="26" t="str">
        <f>+F$13</f>
        <v>RS{2}</v>
      </c>
      <c r="G264" s="26" t="str">
        <f>+G$13</f>
        <v>GS{3}</v>
      </c>
      <c r="H264" s="155" t="str">
        <f>+H$58</f>
        <v>GST {4}</v>
      </c>
      <c r="I264" s="26" t="str">
        <f>+I$13</f>
        <v>OL/SL</v>
      </c>
      <c r="J264" s="2" t="s">
        <v>13</v>
      </c>
      <c r="K264" s="2"/>
      <c r="L264" s="2"/>
    </row>
    <row r="265" spans="1:15" x14ac:dyDescent="0.2">
      <c r="A265" s="7"/>
      <c r="B265" t="s">
        <v>134</v>
      </c>
      <c r="C265"/>
      <c r="D265"/>
      <c r="E265"/>
      <c r="F265"/>
      <c r="G265"/>
      <c r="H265"/>
      <c r="I265"/>
      <c r="J265"/>
      <c r="K265"/>
      <c r="L265"/>
    </row>
    <row r="266" spans="1:15" x14ac:dyDescent="0.2">
      <c r="A266" s="7"/>
      <c r="B266" s="28" t="s">
        <v>17</v>
      </c>
      <c r="C266" s="149"/>
      <c r="D266" s="149"/>
      <c r="E266" s="149">
        <f>+E220*E246/1000000</f>
        <v>135.16517615949829</v>
      </c>
      <c r="F266" s="149"/>
      <c r="G266" s="149">
        <f>+G220*G246/1000000</f>
        <v>155934.28820359946</v>
      </c>
      <c r="H266" s="144"/>
      <c r="I266" s="149">
        <f>+I220*I246/1000000</f>
        <v>1852.7571120346745</v>
      </c>
      <c r="J266" s="149"/>
      <c r="K266" s="149"/>
      <c r="L266" s="149"/>
    </row>
    <row r="267" spans="1:15" x14ac:dyDescent="0.2">
      <c r="A267" s="7"/>
      <c r="B267" s="77" t="s">
        <v>72</v>
      </c>
      <c r="C267" s="149"/>
      <c r="D267" s="149"/>
      <c r="E267" s="149">
        <f>+E221*E247/1000000</f>
        <v>3388.485035531894</v>
      </c>
      <c r="F267" s="149"/>
      <c r="G267" s="149"/>
      <c r="H267" s="149">
        <f>+H221*H247/1000000</f>
        <v>2521.6878684422272</v>
      </c>
      <c r="I267" s="149"/>
      <c r="J267" s="149"/>
      <c r="K267" s="149"/>
      <c r="L267" s="149"/>
    </row>
    <row r="268" spans="1:15" x14ac:dyDescent="0.2">
      <c r="A268" s="7"/>
      <c r="B268" s="77" t="s">
        <v>73</v>
      </c>
      <c r="C268" s="149"/>
      <c r="D268" s="149"/>
      <c r="E268" s="149">
        <f>+E222*E248/1000000</f>
        <v>2425.2865924063676</v>
      </c>
      <c r="F268" s="149"/>
      <c r="G268" s="149"/>
      <c r="H268" s="149">
        <f>+H222*H248/1000000</f>
        <v>1683.5005515425305</v>
      </c>
      <c r="I268" s="149"/>
      <c r="J268" s="149"/>
      <c r="K268" s="149"/>
      <c r="L268" s="81"/>
      <c r="M268" s="81"/>
      <c r="N268" s="81"/>
      <c r="O268" s="81"/>
    </row>
    <row r="269" spans="1:15" x14ac:dyDescent="0.2">
      <c r="A269" s="7"/>
      <c r="B269" s="89" t="s">
        <v>142</v>
      </c>
      <c r="C269" s="149"/>
      <c r="D269" s="149"/>
      <c r="E269" s="149"/>
      <c r="F269" s="149">
        <f>+F223*F249/1000000</f>
        <v>132236.79942251893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B270" s="89" t="s">
        <v>144</v>
      </c>
      <c r="C270" s="149"/>
      <c r="D270" s="149"/>
      <c r="E270" s="149"/>
      <c r="F270" s="149">
        <f>+F224*F250/1000000</f>
        <v>135856.35979262224</v>
      </c>
      <c r="G270" s="149"/>
      <c r="H270" s="144"/>
      <c r="I270" s="149"/>
      <c r="J270" s="149"/>
      <c r="K270" s="149"/>
      <c r="L270" s="149"/>
    </row>
    <row r="271" spans="1:15" x14ac:dyDescent="0.2">
      <c r="A271" s="7"/>
      <c r="C271" s="149"/>
      <c r="D271" s="149"/>
      <c r="E271" s="149"/>
      <c r="F271" s="149"/>
      <c r="G271" s="149"/>
      <c r="H271" s="144"/>
      <c r="I271" s="149"/>
      <c r="J271" s="149"/>
      <c r="K271" s="149"/>
      <c r="L271" s="149"/>
    </row>
    <row r="272" spans="1:15" x14ac:dyDescent="0.2">
      <c r="A272" s="7"/>
      <c r="B272" s="28" t="s">
        <v>18</v>
      </c>
      <c r="C272" s="149"/>
      <c r="D272" s="149"/>
      <c r="E272" s="149">
        <f>+E226*E252/1000000</f>
        <v>291.87133638759741</v>
      </c>
      <c r="F272" s="149">
        <f>+F226*F252/1000000</f>
        <v>425252.05040753767</v>
      </c>
      <c r="G272" s="149">
        <f>+G226*G252/1000000</f>
        <v>288930.79703598347</v>
      </c>
      <c r="I272" s="149">
        <f>+I226*I252/1000000</f>
        <v>4179.4584511904877</v>
      </c>
      <c r="J272" s="149"/>
      <c r="K272" s="149"/>
      <c r="L272" s="149"/>
    </row>
    <row r="273" spans="1:12" x14ac:dyDescent="0.2">
      <c r="A273" s="7"/>
      <c r="B273" s="77" t="s">
        <v>72</v>
      </c>
      <c r="C273" s="149"/>
      <c r="D273" s="149"/>
      <c r="E273" s="149">
        <f>+E227*E253/1000000</f>
        <v>6626.8306729324158</v>
      </c>
      <c r="F273" s="3"/>
      <c r="G273" s="3"/>
      <c r="H273" s="149">
        <f>+H227*H253/1000000</f>
        <v>4627.7742059294842</v>
      </c>
      <c r="I273" s="3"/>
      <c r="J273" s="149"/>
      <c r="K273" s="149"/>
      <c r="L273" s="149"/>
    </row>
    <row r="274" spans="1:12" x14ac:dyDescent="0.2">
      <c r="A274" s="7"/>
      <c r="B274" s="77" t="s">
        <v>73</v>
      </c>
      <c r="C274" s="3"/>
      <c r="D274" s="3"/>
      <c r="E274" s="149">
        <f>+E228*E254/1000000</f>
        <v>6296.7549116716746</v>
      </c>
      <c r="H274" s="149">
        <f>+H228*H254/1000000</f>
        <v>3761.2412247340826</v>
      </c>
      <c r="J274" s="149"/>
      <c r="K274" s="149"/>
      <c r="L274" s="149"/>
    </row>
    <row r="275" spans="1:12" x14ac:dyDescent="0.2">
      <c r="A275" s="7"/>
      <c r="B275" s="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t="s">
        <v>135</v>
      </c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 s="7"/>
      <c r="B277" s="5" t="s">
        <v>25</v>
      </c>
      <c r="D277"/>
      <c r="E277" s="3">
        <f>SUM(E266:E270)</f>
        <v>5948.9368040977606</v>
      </c>
      <c r="F277" s="3">
        <f>SUM(F266:F270)</f>
        <v>268093.1592151412</v>
      </c>
      <c r="G277" s="3">
        <f>SUM(G266:G270)</f>
        <v>155934.28820359946</v>
      </c>
      <c r="H277" s="3">
        <f>SUM(H266:H270)</f>
        <v>4205.1884199847573</v>
      </c>
      <c r="I277" s="3">
        <f>SUM(I266:I270)</f>
        <v>1852.7571120346745</v>
      </c>
      <c r="J277" s="151">
        <f>SUM(E277:I277)</f>
        <v>436034.32975485787</v>
      </c>
      <c r="K277" s="151"/>
      <c r="L277"/>
    </row>
    <row r="278" spans="1:12" x14ac:dyDescent="0.2">
      <c r="A278" s="7"/>
      <c r="B278" s="5" t="s">
        <v>26</v>
      </c>
      <c r="D278"/>
      <c r="E278" s="3">
        <f>SUM(E272:E274)</f>
        <v>13215.456920991688</v>
      </c>
      <c r="F278" s="3">
        <f>SUM(F272:F274)</f>
        <v>425252.05040753767</v>
      </c>
      <c r="G278" s="3">
        <f>SUM(G272:G274)</f>
        <v>288930.79703598347</v>
      </c>
      <c r="H278" s="3">
        <f>SUM(H272:H274)</f>
        <v>8389.0154306635668</v>
      </c>
      <c r="I278" s="3">
        <f>SUM(I272:I274)</f>
        <v>4179.4584511904877</v>
      </c>
      <c r="J278" s="151">
        <f>SUM(E278:I278)</f>
        <v>739966.778246367</v>
      </c>
      <c r="K278" s="151"/>
      <c r="L278"/>
    </row>
    <row r="279" spans="1:12" x14ac:dyDescent="0.2">
      <c r="A279" s="7"/>
      <c r="B279" s="5" t="s">
        <v>13</v>
      </c>
      <c r="D279"/>
      <c r="E279" s="3">
        <f>SUM(E277:E278)</f>
        <v>19164.393725089449</v>
      </c>
      <c r="F279" s="3">
        <f>SUM(F277:F278)</f>
        <v>693345.20962267881</v>
      </c>
      <c r="G279" s="3">
        <f>SUM(G277:G278)</f>
        <v>444865.08523958293</v>
      </c>
      <c r="H279" s="3">
        <f>SUM(H277:H278)</f>
        <v>12594.203850648324</v>
      </c>
      <c r="I279" s="3">
        <f>SUM(I277:I278)</f>
        <v>6032.2155632251624</v>
      </c>
      <c r="J279" s="3">
        <f>SUM(E279:I279)</f>
        <v>1176001.1080012247</v>
      </c>
      <c r="K279" s="3"/>
    </row>
    <row r="280" spans="1:12" x14ac:dyDescent="0.2">
      <c r="A280" s="7"/>
      <c r="B280"/>
      <c r="C280"/>
      <c r="D280"/>
      <c r="E280"/>
      <c r="F280"/>
      <c r="G280"/>
      <c r="H280"/>
      <c r="J280"/>
      <c r="K280"/>
    </row>
    <row r="281" spans="1:12" x14ac:dyDescent="0.2">
      <c r="A281" s="7"/>
      <c r="B281" t="s">
        <v>136</v>
      </c>
      <c r="C281"/>
      <c r="D281"/>
      <c r="E281"/>
      <c r="F281"/>
      <c r="G281"/>
      <c r="H281"/>
      <c r="J281"/>
      <c r="K281"/>
    </row>
    <row r="282" spans="1:12" x14ac:dyDescent="0.2">
      <c r="A282" s="7"/>
      <c r="B282" s="5" t="s">
        <v>25</v>
      </c>
      <c r="C282"/>
      <c r="D282"/>
      <c r="E282" s="150">
        <f t="shared" ref="E282:J282" si="21">+E277/E279</f>
        <v>0.31041612322489448</v>
      </c>
      <c r="F282" s="150">
        <f t="shared" si="21"/>
        <v>0.38666620248380823</v>
      </c>
      <c r="G282" s="150">
        <f t="shared" si="21"/>
        <v>0.35052040130238754</v>
      </c>
      <c r="H282" s="150">
        <f t="shared" si="21"/>
        <v>0.33389871006163541</v>
      </c>
      <c r="I282" s="150">
        <f t="shared" si="21"/>
        <v>0.30714371736478296</v>
      </c>
      <c r="J282" s="150">
        <f t="shared" si="21"/>
        <v>0.37077714195011097</v>
      </c>
      <c r="K282" s="150"/>
    </row>
    <row r="283" spans="1:12" x14ac:dyDescent="0.2">
      <c r="A283" s="7"/>
      <c r="B283" s="5" t="s">
        <v>26</v>
      </c>
      <c r="C283"/>
      <c r="D283"/>
      <c r="E283" s="150">
        <f t="shared" ref="E283:J283" si="22">+E278/E279</f>
        <v>0.68958387677510558</v>
      </c>
      <c r="F283" s="150">
        <f t="shared" si="22"/>
        <v>0.61333379751619188</v>
      </c>
      <c r="G283" s="150">
        <f t="shared" si="22"/>
        <v>0.6494795986976124</v>
      </c>
      <c r="H283" s="150">
        <f t="shared" si="22"/>
        <v>0.66610128993836459</v>
      </c>
      <c r="I283" s="150">
        <f t="shared" si="22"/>
        <v>0.69285628263521692</v>
      </c>
      <c r="J283" s="150">
        <f t="shared" si="22"/>
        <v>0.6292228580498892</v>
      </c>
      <c r="K283" s="150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K284" s="150"/>
    </row>
    <row r="285" spans="1:12" ht="15.75" x14ac:dyDescent="0.25">
      <c r="A285" s="22"/>
      <c r="B285" s="435" t="str">
        <f>$B$1</f>
        <v xml:space="preserve">Jersey Central Power &amp; Light </v>
      </c>
      <c r="C285" s="435"/>
      <c r="D285" s="435"/>
      <c r="E285" s="435"/>
      <c r="F285" s="435"/>
      <c r="G285" s="435"/>
      <c r="H285" s="435"/>
      <c r="I285" s="435"/>
      <c r="J285" s="435"/>
      <c r="K285" s="435"/>
      <c r="L285" s="435"/>
    </row>
    <row r="286" spans="1:12" ht="15.75" x14ac:dyDescent="0.25">
      <c r="A286" s="22"/>
      <c r="B286" s="435" t="str">
        <f>$B$2</f>
        <v>Attachment 2</v>
      </c>
      <c r="C286" s="435"/>
      <c r="D286" s="435"/>
      <c r="E286" s="435"/>
      <c r="F286" s="435"/>
      <c r="G286" s="435"/>
      <c r="H286" s="435"/>
      <c r="I286" s="435"/>
      <c r="J286" s="435"/>
      <c r="K286" s="435"/>
      <c r="L286" s="435"/>
    </row>
    <row r="287" spans="1:12" x14ac:dyDescent="0.2">
      <c r="F287"/>
      <c r="G287"/>
      <c r="H287"/>
      <c r="J287"/>
      <c r="K287"/>
    </row>
    <row r="288" spans="1:12" x14ac:dyDescent="0.2">
      <c r="F288"/>
      <c r="G288"/>
      <c r="H288"/>
      <c r="J288"/>
      <c r="K288"/>
    </row>
    <row r="289" spans="1:21" x14ac:dyDescent="0.2">
      <c r="A289" s="6" t="s">
        <v>245</v>
      </c>
      <c r="C289" s="279" t="s">
        <v>303</v>
      </c>
      <c r="D289" s="235"/>
      <c r="E289" s="235"/>
      <c r="F289"/>
      <c r="G289"/>
      <c r="H289"/>
      <c r="J289"/>
      <c r="K289"/>
    </row>
    <row r="290" spans="1:21" x14ac:dyDescent="0.2">
      <c r="F290"/>
      <c r="G290"/>
      <c r="H290"/>
      <c r="J290"/>
      <c r="K290"/>
    </row>
    <row r="291" spans="1:21" x14ac:dyDescent="0.2">
      <c r="A291" s="13"/>
      <c r="J291"/>
      <c r="K291"/>
    </row>
    <row r="292" spans="1:21" x14ac:dyDescent="0.2">
      <c r="A292" s="13"/>
      <c r="J292"/>
      <c r="K292"/>
    </row>
    <row r="293" spans="1:21" x14ac:dyDescent="0.2">
      <c r="A293" s="6" t="s">
        <v>243</v>
      </c>
      <c r="B293" s="1" t="s">
        <v>246</v>
      </c>
      <c r="C293"/>
      <c r="D293"/>
      <c r="E293"/>
      <c r="G293" s="81"/>
      <c r="J293"/>
      <c r="K293"/>
    </row>
    <row r="294" spans="1:21" x14ac:dyDescent="0.2">
      <c r="A294" s="7"/>
      <c r="C294" s="74"/>
      <c r="D294" s="74"/>
      <c r="J294"/>
      <c r="K294"/>
    </row>
    <row r="295" spans="1:21" x14ac:dyDescent="0.2">
      <c r="A295" s="7"/>
      <c r="B295" s="16" t="s">
        <v>102</v>
      </c>
      <c r="C295" s="74"/>
      <c r="D295" s="74"/>
      <c r="J295"/>
      <c r="K295"/>
    </row>
    <row r="296" spans="1:21" x14ac:dyDescent="0.2">
      <c r="A296" s="7"/>
      <c r="B296" s="89" t="s">
        <v>103</v>
      </c>
      <c r="C296" s="144">
        <f>(+SUMPRODUCT(C230:I230,C72:I72))/1000</f>
        <v>1176001.1887662725</v>
      </c>
      <c r="J296"/>
      <c r="K296"/>
    </row>
    <row r="297" spans="1:21" x14ac:dyDescent="0.2">
      <c r="A297" s="7"/>
      <c r="C297" s="89" t="s">
        <v>104</v>
      </c>
      <c r="D297" s="296">
        <f>+C296/SUMPRODUCT(E72:I72,E95:I95)*1000</f>
        <v>67.395760663066383</v>
      </c>
      <c r="E297" s="13" t="s">
        <v>105</v>
      </c>
      <c r="J297"/>
      <c r="K297"/>
      <c r="M297" s="271"/>
      <c r="N297" s="272"/>
      <c r="O297" s="271"/>
      <c r="P297" s="271"/>
      <c r="Q297" s="271"/>
      <c r="R297" s="271"/>
    </row>
    <row r="298" spans="1:21" x14ac:dyDescent="0.2">
      <c r="A298" s="7"/>
      <c r="J298"/>
      <c r="K298"/>
    </row>
    <row r="299" spans="1:21" x14ac:dyDescent="0.2">
      <c r="A299" s="7"/>
      <c r="C299" s="89"/>
      <c r="D299" s="263"/>
      <c r="I299" s="13" t="s">
        <v>255</v>
      </c>
      <c r="J299"/>
      <c r="K299"/>
    </row>
    <row r="300" spans="1:21" x14ac:dyDescent="0.2">
      <c r="A300" s="6" t="s">
        <v>244</v>
      </c>
      <c r="B300" s="1" t="s">
        <v>220</v>
      </c>
      <c r="C300" s="89"/>
      <c r="D300" s="250"/>
      <c r="J300"/>
      <c r="K300"/>
    </row>
    <row r="301" spans="1:21" x14ac:dyDescent="0.2">
      <c r="A301" s="7"/>
      <c r="B301"/>
      <c r="C301"/>
      <c r="D301"/>
      <c r="E301"/>
      <c r="F301"/>
      <c r="G301"/>
      <c r="H301"/>
      <c r="J301"/>
      <c r="K301"/>
    </row>
    <row r="302" spans="1:21" x14ac:dyDescent="0.2">
      <c r="A302" s="7"/>
      <c r="B302" s="13" t="s">
        <v>275</v>
      </c>
      <c r="G302" s="248" t="s">
        <v>176</v>
      </c>
      <c r="H302" s="133"/>
      <c r="I302" s="133"/>
      <c r="J302" s="10"/>
      <c r="K302" s="10"/>
      <c r="R302" s="248"/>
      <c r="S302" s="133"/>
      <c r="T302" s="133"/>
      <c r="U302" s="10"/>
    </row>
    <row r="303" spans="1:21" x14ac:dyDescent="0.2">
      <c r="A303" s="7"/>
      <c r="B303" s="71" t="s">
        <v>25</v>
      </c>
      <c r="C303" s="297">
        <f>+J277/SUMPRODUCT(Q64:U64,E$95:I$95)*1000</f>
        <v>63.531366406470696</v>
      </c>
      <c r="D303" s="13" t="s">
        <v>137</v>
      </c>
      <c r="H303" s="26" t="s">
        <v>25</v>
      </c>
      <c r="I303" s="249">
        <f>ROUND(C303/$D$297,4)</f>
        <v>0.94269999999999998</v>
      </c>
      <c r="M303" s="238"/>
      <c r="N303" s="239"/>
      <c r="O303" s="237"/>
      <c r="P303" s="237"/>
      <c r="Q303" s="247"/>
      <c r="S303" s="240"/>
      <c r="T303" s="241"/>
    </row>
    <row r="304" spans="1:21" x14ac:dyDescent="0.2">
      <c r="A304" s="7"/>
      <c r="B304" s="71" t="s">
        <v>26</v>
      </c>
      <c r="C304" s="142">
        <f>+J278/SUMPRODUCT(Q60:U60,E$95:I$95)*1000</f>
        <v>69.901206643972117</v>
      </c>
      <c r="D304" s="13" t="s">
        <v>137</v>
      </c>
      <c r="H304" s="26" t="s">
        <v>26</v>
      </c>
      <c r="I304" s="249">
        <f>ROUND(C304/$D$297,4)</f>
        <v>1.0371999999999999</v>
      </c>
      <c r="M304" s="238"/>
      <c r="N304" s="239"/>
      <c r="O304" s="237"/>
      <c r="P304" s="237"/>
      <c r="Q304" s="247"/>
      <c r="S304" s="240"/>
      <c r="T304" s="241"/>
    </row>
    <row r="305" spans="1:14" x14ac:dyDescent="0.2">
      <c r="A305" s="7"/>
    </row>
    <row r="306" spans="1:14" x14ac:dyDescent="0.2">
      <c r="A306" s="7"/>
      <c r="G306" s="248" t="s">
        <v>292</v>
      </c>
    </row>
    <row r="307" spans="1:14" x14ac:dyDescent="0.2">
      <c r="A307" s="7"/>
      <c r="B307"/>
      <c r="C307"/>
      <c r="D307"/>
      <c r="E307" s="137"/>
      <c r="F307" s="4"/>
      <c r="G307"/>
      <c r="H307" s="26" t="s">
        <v>25</v>
      </c>
      <c r="I307" s="360">
        <f>IF(I304&gt;I303,1,I303)</f>
        <v>1</v>
      </c>
      <c r="J307"/>
      <c r="K307"/>
      <c r="L307"/>
    </row>
    <row r="308" spans="1:14" x14ac:dyDescent="0.2">
      <c r="A308" s="16" t="s">
        <v>108</v>
      </c>
      <c r="E308" s="98"/>
      <c r="F308" s="101"/>
      <c r="H308" s="26" t="s">
        <v>26</v>
      </c>
      <c r="I308" s="360">
        <f>IF(I304&gt;I303,1,I304)</f>
        <v>1</v>
      </c>
      <c r="J308"/>
      <c r="K308"/>
      <c r="L308"/>
    </row>
    <row r="309" spans="1:14" x14ac:dyDescent="0.2">
      <c r="A309" s="22"/>
      <c r="B309" s="89" t="s">
        <v>132</v>
      </c>
      <c r="C309" s="102">
        <f>D179</f>
        <v>115.68</v>
      </c>
      <c r="D309" s="93" t="s">
        <v>160</v>
      </c>
      <c r="E309" s="98"/>
      <c r="F309" s="101"/>
      <c r="I309"/>
      <c r="J309"/>
      <c r="K309"/>
      <c r="L309"/>
    </row>
    <row r="310" spans="1:14" x14ac:dyDescent="0.2">
      <c r="A310" s="22"/>
      <c r="B310" s="89"/>
      <c r="C310" s="102">
        <f>D180</f>
        <v>115.68</v>
      </c>
      <c r="D310" s="93" t="s">
        <v>161</v>
      </c>
      <c r="E310" s="98"/>
      <c r="F310" s="101"/>
      <c r="I310"/>
      <c r="J310"/>
      <c r="K310"/>
      <c r="L310"/>
    </row>
    <row r="311" spans="1:14" x14ac:dyDescent="0.2">
      <c r="A311" s="22"/>
      <c r="B311" s="89" t="s">
        <v>159</v>
      </c>
      <c r="C311" s="81" t="s">
        <v>158</v>
      </c>
      <c r="D311" s="93"/>
      <c r="E311" s="98"/>
      <c r="F311" s="101"/>
      <c r="I311"/>
      <c r="J311"/>
      <c r="K311"/>
      <c r="L311"/>
      <c r="N311" s="321" t="s">
        <v>255</v>
      </c>
    </row>
    <row r="312" spans="1:14" x14ac:dyDescent="0.2">
      <c r="A312" s="22"/>
      <c r="B312" s="89" t="s">
        <v>109</v>
      </c>
      <c r="C312" s="148">
        <f>+H173</f>
        <v>4</v>
      </c>
      <c r="D312" s="13" t="s">
        <v>110</v>
      </c>
      <c r="E312" s="98"/>
      <c r="F312" s="101"/>
      <c r="I312"/>
      <c r="J312"/>
      <c r="K312"/>
      <c r="L312"/>
    </row>
    <row r="313" spans="1:14" x14ac:dyDescent="0.2">
      <c r="A313" s="22"/>
      <c r="B313" s="89"/>
      <c r="C313" s="148">
        <f>+H174</f>
        <v>8</v>
      </c>
      <c r="D313" s="13" t="s">
        <v>111</v>
      </c>
      <c r="E313" s="98"/>
      <c r="F313" s="101"/>
      <c r="I313"/>
      <c r="J313"/>
      <c r="K313"/>
      <c r="L313"/>
    </row>
    <row r="314" spans="1:14" x14ac:dyDescent="0.2">
      <c r="A314" s="22"/>
      <c r="B314" s="328" t="s">
        <v>297</v>
      </c>
      <c r="C314" s="102">
        <f>+F194</f>
        <v>19.509999999999998</v>
      </c>
      <c r="D314" s="13" t="s">
        <v>113</v>
      </c>
      <c r="E314" s="98"/>
      <c r="F314" s="101"/>
      <c r="I314"/>
      <c r="J314"/>
      <c r="K314"/>
      <c r="L314"/>
    </row>
    <row r="315" spans="1:14" x14ac:dyDescent="0.2">
      <c r="A315" s="22"/>
      <c r="B315" s="89" t="s">
        <v>114</v>
      </c>
      <c r="C315" s="321" t="s">
        <v>304</v>
      </c>
      <c r="E315" s="98"/>
      <c r="F315" s="101"/>
      <c r="I315"/>
      <c r="J315"/>
      <c r="K315"/>
      <c r="L315"/>
    </row>
    <row r="316" spans="1:14" x14ac:dyDescent="0.2">
      <c r="A316" s="22"/>
      <c r="B316" s="89" t="s">
        <v>115</v>
      </c>
      <c r="C316" s="327" t="s">
        <v>320</v>
      </c>
      <c r="E316" s="98"/>
      <c r="F316" s="101"/>
      <c r="I316"/>
      <c r="J316"/>
      <c r="K316"/>
      <c r="L316"/>
    </row>
    <row r="317" spans="1:14" x14ac:dyDescent="0.2">
      <c r="A317" s="22"/>
      <c r="B317" s="89"/>
      <c r="C317" s="327" t="s">
        <v>321</v>
      </c>
      <c r="E317" s="98"/>
      <c r="F317" s="101"/>
      <c r="I317"/>
      <c r="J317"/>
      <c r="K317"/>
      <c r="L317"/>
    </row>
    <row r="318" spans="1:14" x14ac:dyDescent="0.2">
      <c r="A318" s="22"/>
      <c r="B318" s="89" t="s">
        <v>116</v>
      </c>
      <c r="C318" s="321" t="s">
        <v>322</v>
      </c>
      <c r="E318" s="98"/>
      <c r="F318" s="101"/>
      <c r="I318"/>
      <c r="J318"/>
      <c r="K318"/>
      <c r="L318"/>
    </row>
    <row r="319" spans="1:14" x14ac:dyDescent="0.2">
      <c r="A319" s="22"/>
      <c r="B319" s="89" t="s">
        <v>273</v>
      </c>
      <c r="C319" s="13" t="s">
        <v>274</v>
      </c>
      <c r="E319" s="98"/>
      <c r="F319" s="101"/>
      <c r="I319"/>
      <c r="J319"/>
      <c r="K319"/>
      <c r="L319"/>
    </row>
    <row r="320" spans="1:14" x14ac:dyDescent="0.2">
      <c r="A320" s="22"/>
      <c r="B320" s="89" t="s">
        <v>270</v>
      </c>
      <c r="C320" s="13" t="s">
        <v>271</v>
      </c>
      <c r="E320" s="98"/>
      <c r="F320" s="101"/>
      <c r="I320"/>
      <c r="J320"/>
      <c r="K320"/>
      <c r="L320"/>
    </row>
    <row r="321" spans="1:12" x14ac:dyDescent="0.2">
      <c r="A321" s="22"/>
      <c r="B321" s="89" t="s">
        <v>118</v>
      </c>
      <c r="C321" s="13" t="s">
        <v>214</v>
      </c>
      <c r="E321" s="100"/>
      <c r="F321" s="101"/>
      <c r="I321"/>
      <c r="J321"/>
      <c r="K321"/>
      <c r="L321"/>
    </row>
    <row r="322" spans="1:12" x14ac:dyDescent="0.2">
      <c r="C322" s="13" t="s">
        <v>119</v>
      </c>
      <c r="E322" s="98"/>
      <c r="F322" s="101"/>
      <c r="I322"/>
      <c r="J322"/>
      <c r="K322"/>
      <c r="L322"/>
    </row>
    <row r="323" spans="1:12" x14ac:dyDescent="0.2">
      <c r="B323" s="89" t="s">
        <v>120</v>
      </c>
      <c r="C323" s="103" t="s">
        <v>189</v>
      </c>
      <c r="E323" s="98"/>
      <c r="F323" s="101"/>
      <c r="I323"/>
      <c r="J323"/>
      <c r="K323"/>
      <c r="L323"/>
    </row>
    <row r="324" spans="1:12" x14ac:dyDescent="0.2">
      <c r="A324" s="22"/>
      <c r="C324" s="103" t="s">
        <v>121</v>
      </c>
      <c r="E324" s="99"/>
      <c r="I324"/>
      <c r="J324"/>
      <c r="K324"/>
      <c r="L324"/>
    </row>
    <row r="325" spans="1:12" x14ac:dyDescent="0.2">
      <c r="C325" s="103" t="s">
        <v>188</v>
      </c>
      <c r="I325"/>
      <c r="J325"/>
      <c r="K325"/>
      <c r="L325"/>
    </row>
    <row r="326" spans="1:12" x14ac:dyDescent="0.2">
      <c r="A326" s="7"/>
      <c r="B326" s="391" t="s">
        <v>299</v>
      </c>
      <c r="C326" s="392" t="s">
        <v>300</v>
      </c>
      <c r="D326"/>
      <c r="E326" s="137"/>
      <c r="F326" s="4"/>
      <c r="G326"/>
      <c r="H326"/>
      <c r="I326"/>
      <c r="J326"/>
      <c r="K326"/>
      <c r="L326"/>
    </row>
    <row r="327" spans="1:12" x14ac:dyDescent="0.2">
      <c r="A327" s="7"/>
      <c r="B327" s="390" t="s">
        <v>255</v>
      </c>
      <c r="C327" s="9"/>
      <c r="D327"/>
      <c r="E327" s="137"/>
      <c r="F327" s="137"/>
      <c r="G327"/>
      <c r="H327"/>
      <c r="I327"/>
      <c r="J327"/>
      <c r="K327"/>
      <c r="L327"/>
    </row>
  </sheetData>
  <sheetProtection password="D6B5" sheet="1" objects="1" scenarios="1"/>
  <mergeCells count="17">
    <mergeCell ref="B1:L1"/>
    <mergeCell ref="B2:L2"/>
    <mergeCell ref="B52:L52"/>
    <mergeCell ref="B53:L53"/>
    <mergeCell ref="B5:L5"/>
    <mergeCell ref="M30:N30"/>
    <mergeCell ref="B285:L285"/>
    <mergeCell ref="B286:L286"/>
    <mergeCell ref="B3:L3"/>
    <mergeCell ref="B239:L239"/>
    <mergeCell ref="B240:L240"/>
    <mergeCell ref="B103:L103"/>
    <mergeCell ref="B104:L104"/>
    <mergeCell ref="B143:L143"/>
    <mergeCell ref="B144:L144"/>
    <mergeCell ref="B209:L209"/>
    <mergeCell ref="B210:L210"/>
  </mergeCells>
  <phoneticPr fontId="33" type="noConversion"/>
  <pageMargins left="0.97" right="0.79" top="0.69" bottom="0.69" header="0.33" footer="0.5"/>
  <pageSetup scale="60" orientation="landscape" r:id="rId1"/>
  <headerFooter alignWithMargins="0">
    <oddFooter>&amp;L&amp;F    &amp;A&amp;CPage &amp;P of &amp;N&amp;R&amp;D</oddFooter>
  </headerFooter>
  <rowBreaks count="6" manualBreakCount="6">
    <brk id="51" max="11" man="1"/>
    <brk id="102" max="11" man="1"/>
    <brk id="142" max="11" man="1"/>
    <brk id="207" max="11" man="1"/>
    <brk id="238" max="11" man="1"/>
    <brk id="284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F215"/>
  <sheetViews>
    <sheetView view="pageBreakPreview" zoomScaleNormal="60" zoomScaleSheetLayoutView="10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1.85546875" style="13" customWidth="1"/>
    <col min="4" max="4" width="9.5703125" style="13" customWidth="1"/>
    <col min="5" max="5" width="14.42578125" style="13" customWidth="1"/>
    <col min="6" max="6" width="15" style="13" customWidth="1"/>
    <col min="7" max="7" width="16.85546875" style="13" bestFit="1" customWidth="1"/>
    <col min="8" max="9" width="14.140625" style="13" customWidth="1"/>
    <col min="10" max="10" width="15.85546875" style="13" customWidth="1"/>
    <col min="11" max="11" width="3.140625" style="13" customWidth="1"/>
    <col min="12" max="12" width="5.5703125" style="13" customWidth="1"/>
    <col min="13" max="14" width="4.5703125" style="13" customWidth="1"/>
    <col min="15" max="15" width="20.140625" style="13" hidden="1" customWidth="1"/>
    <col min="16" max="16" width="21.42578125" style="13" hidden="1" customWidth="1"/>
    <col min="17" max="17" width="14.85546875" style="13" hidden="1" customWidth="1"/>
    <col min="18" max="19" width="13.5703125" style="13" hidden="1" customWidth="1"/>
    <col min="20" max="21" width="14.140625" style="13" customWidth="1"/>
    <col min="22" max="22" width="13.5703125" style="13" customWidth="1"/>
    <col min="23" max="23" width="14.85546875" style="13" bestFit="1" customWidth="1"/>
    <col min="24" max="24" width="14.42578125" style="13" bestFit="1" customWidth="1"/>
    <col min="25" max="25" width="18" style="13" customWidth="1"/>
    <col min="26" max="26" width="14.140625" style="13" customWidth="1"/>
    <col min="27" max="29" width="13.5703125" style="13" customWidth="1"/>
    <col min="30" max="30" width="17.5703125" style="13" customWidth="1"/>
    <col min="31" max="31" width="16.5703125" style="13" customWidth="1"/>
    <col min="32" max="32" width="14.42578125" style="13" customWidth="1"/>
    <col min="33" max="16384" width="9.140625" style="13"/>
  </cols>
  <sheetData>
    <row r="1" spans="1:16" ht="15.75" x14ac:dyDescent="0.25">
      <c r="B1" s="435" t="s">
        <v>69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1:16" ht="15.75" x14ac:dyDescent="0.25">
      <c r="B2" s="435" t="s">
        <v>187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6" ht="15.75" x14ac:dyDescent="0.25">
      <c r="B3" s="435" t="str">
        <f>'BGS PTY17 Cost Alloc'!$B$3</f>
        <v>2019 BGS Auction Cost and Bid Factor Tables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6" ht="15.75" x14ac:dyDescent="0.25">
      <c r="B5" s="435" t="s">
        <v>291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</row>
    <row r="6" spans="1:16" x14ac:dyDescent="0.2">
      <c r="N6" s="120" t="s">
        <v>255</v>
      </c>
    </row>
    <row r="7" spans="1:16" x14ac:dyDescent="0.2">
      <c r="A7" s="18" t="s">
        <v>256</v>
      </c>
      <c r="B7" s="172" t="s">
        <v>294</v>
      </c>
      <c r="C7" s="20"/>
      <c r="E7" s="165" t="s">
        <v>284</v>
      </c>
      <c r="F7" s="301">
        <v>15</v>
      </c>
      <c r="G7" s="16"/>
      <c r="P7" s="285" t="s">
        <v>255</v>
      </c>
    </row>
    <row r="8" spans="1:16" ht="14.25" customHeight="1" x14ac:dyDescent="0.2">
      <c r="A8" s="22"/>
      <c r="B8" s="13" t="s">
        <v>238</v>
      </c>
      <c r="C8" s="23"/>
      <c r="D8" s="23"/>
      <c r="M8" s="23"/>
      <c r="N8" s="23"/>
    </row>
    <row r="9" spans="1:16" x14ac:dyDescent="0.2">
      <c r="A9" s="22"/>
    </row>
    <row r="10" spans="1:16" x14ac:dyDescent="0.2">
      <c r="A10" s="22"/>
      <c r="B10" t="s">
        <v>134</v>
      </c>
      <c r="C10"/>
      <c r="D10"/>
      <c r="E10" s="26" t="s">
        <v>61</v>
      </c>
      <c r="F10" s="26" t="s">
        <v>62</v>
      </c>
      <c r="G10" s="26" t="s">
        <v>65</v>
      </c>
      <c r="H10" s="26" t="s">
        <v>203</v>
      </c>
      <c r="I10" s="26" t="s">
        <v>55</v>
      </c>
      <c r="J10"/>
      <c r="K10"/>
      <c r="L10"/>
      <c r="M10" s="30"/>
      <c r="N10" s="30"/>
    </row>
    <row r="11" spans="1:16" x14ac:dyDescent="0.2">
      <c r="A11" s="22"/>
      <c r="B11" s="28" t="s">
        <v>17</v>
      </c>
      <c r="C11" s="149"/>
      <c r="D11" s="149"/>
      <c r="E11" s="149">
        <f>'BGS PTY15 Cost Alloc'!E265</f>
        <v>148.33010182708145</v>
      </c>
      <c r="F11" s="149"/>
      <c r="G11" s="149">
        <f>'BGS PTY15 Cost Alloc'!G265</f>
        <v>169195.8385337462</v>
      </c>
      <c r="H11" s="144"/>
      <c r="I11" s="149">
        <f>'BGS PTY15 Cost Alloc'!I265</f>
        <v>2096.2886192336969</v>
      </c>
      <c r="J11" s="149"/>
      <c r="K11" s="149"/>
      <c r="L11" s="149"/>
      <c r="M11" s="30"/>
      <c r="N11" s="30"/>
    </row>
    <row r="12" spans="1:16" x14ac:dyDescent="0.2">
      <c r="A12" s="22"/>
      <c r="B12" s="77" t="s">
        <v>72</v>
      </c>
      <c r="C12" s="149"/>
      <c r="D12" s="149"/>
      <c r="E12" s="149">
        <f>'BGS PTY15 Cost Alloc'!E266</f>
        <v>4034.5158601797757</v>
      </c>
      <c r="F12" s="149"/>
      <c r="G12" s="149"/>
      <c r="H12" s="149">
        <f>'BGS PTY15 Cost Alloc'!H266</f>
        <v>2911.6947085653628</v>
      </c>
      <c r="I12" s="149"/>
      <c r="J12" s="149"/>
      <c r="K12" s="149"/>
      <c r="L12" s="149"/>
      <c r="M12" s="30"/>
      <c r="N12" s="30"/>
    </row>
    <row r="13" spans="1:16" x14ac:dyDescent="0.2">
      <c r="A13" s="22"/>
      <c r="B13" s="77" t="s">
        <v>73</v>
      </c>
      <c r="C13" s="149"/>
      <c r="D13" s="149"/>
      <c r="E13" s="149">
        <f>'BGS PTY15 Cost Alloc'!E267</f>
        <v>2345.5354453010568</v>
      </c>
      <c r="F13" s="149"/>
      <c r="G13" s="149"/>
      <c r="H13" s="149">
        <f>'BGS PTY15 Cost Alloc'!H267</f>
        <v>1624.3572981140567</v>
      </c>
      <c r="I13" s="149"/>
      <c r="J13" s="149"/>
      <c r="K13" s="149"/>
      <c r="L13" s="149"/>
      <c r="M13" s="30"/>
      <c r="N13" s="30"/>
    </row>
    <row r="14" spans="1:16" x14ac:dyDescent="0.2">
      <c r="A14" s="22"/>
      <c r="B14" s="89" t="s">
        <v>142</v>
      </c>
      <c r="C14" s="149"/>
      <c r="D14" s="149"/>
      <c r="E14" s="149"/>
      <c r="F14" s="149">
        <f>'BGS PTY15 Cost Alloc'!F268</f>
        <v>144625.76203729343</v>
      </c>
      <c r="G14" s="149"/>
      <c r="H14" s="144"/>
      <c r="I14" s="149"/>
      <c r="J14" s="149"/>
      <c r="K14" s="149"/>
      <c r="L14" s="149"/>
      <c r="M14" s="30"/>
      <c r="N14" s="30"/>
    </row>
    <row r="15" spans="1:16" x14ac:dyDescent="0.2">
      <c r="A15" s="22"/>
      <c r="B15" s="89" t="s">
        <v>144</v>
      </c>
      <c r="C15" s="149"/>
      <c r="D15" s="149"/>
      <c r="E15" s="149"/>
      <c r="F15" s="149">
        <f>'BGS PTY15 Cost Alloc'!F269</f>
        <v>147133.64300351474</v>
      </c>
      <c r="G15" s="149"/>
      <c r="H15" s="144"/>
      <c r="I15" s="149"/>
      <c r="J15" s="149"/>
      <c r="K15" s="149"/>
      <c r="L15" s="149"/>
      <c r="M15" s="30"/>
      <c r="N15" s="30"/>
    </row>
    <row r="16" spans="1:16" x14ac:dyDescent="0.2">
      <c r="A16" s="22"/>
      <c r="C16" s="149"/>
      <c r="D16" s="149"/>
      <c r="E16" s="149"/>
      <c r="F16" s="149"/>
      <c r="G16" s="149"/>
      <c r="H16" s="144"/>
      <c r="I16" s="149"/>
      <c r="J16" s="149"/>
      <c r="K16" s="149"/>
      <c r="L16" s="149"/>
      <c r="M16" s="30"/>
      <c r="N16" s="30"/>
    </row>
    <row r="17" spans="1:16" x14ac:dyDescent="0.2">
      <c r="A17" s="22"/>
      <c r="B17" s="28" t="s">
        <v>18</v>
      </c>
      <c r="C17" s="149"/>
      <c r="D17" s="149"/>
      <c r="E17" s="149">
        <f>'BGS PTY15 Cost Alloc'!E271</f>
        <v>288.7019873920807</v>
      </c>
      <c r="F17" s="149">
        <f>'BGS PTY15 Cost Alloc'!F271</f>
        <v>423243.13657855906</v>
      </c>
      <c r="G17" s="149">
        <f>'BGS PTY15 Cost Alloc'!G271</f>
        <v>282720.50607469457</v>
      </c>
      <c r="I17" s="149">
        <f>'BGS PTY15 Cost Alloc'!I271</f>
        <v>4086.0051638690829</v>
      </c>
      <c r="J17" s="149"/>
      <c r="K17" s="149"/>
      <c r="L17" s="149"/>
      <c r="M17" s="30"/>
      <c r="N17" s="30"/>
    </row>
    <row r="18" spans="1:16" x14ac:dyDescent="0.2">
      <c r="A18" s="22"/>
      <c r="B18" s="77" t="s">
        <v>72</v>
      </c>
      <c r="C18" s="149"/>
      <c r="D18" s="149"/>
      <c r="E18" s="149">
        <f>'BGS PTY15 Cost Alloc'!E272</f>
        <v>7286.0766570853493</v>
      </c>
      <c r="F18" s="3"/>
      <c r="G18" s="3"/>
      <c r="H18" s="149">
        <f>'BGS PTY15 Cost Alloc'!H272</f>
        <v>4989.4212571030603</v>
      </c>
      <c r="I18" s="3"/>
      <c r="J18" s="149"/>
      <c r="K18" s="149"/>
      <c r="L18" s="149"/>
      <c r="M18" s="30"/>
      <c r="N18" s="30"/>
    </row>
    <row r="19" spans="1:16" x14ac:dyDescent="0.2">
      <c r="A19" s="22"/>
      <c r="B19" s="77" t="s">
        <v>73</v>
      </c>
      <c r="C19" s="3"/>
      <c r="D19" s="3"/>
      <c r="E19" s="149">
        <f>'BGS PTY15 Cost Alloc'!E273</f>
        <v>5497.1169663182109</v>
      </c>
      <c r="H19" s="149">
        <f>'BGS PTY15 Cost Alloc'!H273</f>
        <v>3162.0859745534672</v>
      </c>
      <c r="J19" s="149"/>
      <c r="K19" s="149"/>
      <c r="L19" s="149"/>
      <c r="M19" s="30"/>
      <c r="N19" s="30"/>
    </row>
    <row r="20" spans="1:16" x14ac:dyDescent="0.2">
      <c r="A20" s="22"/>
      <c r="B20" s="5"/>
      <c r="C20"/>
      <c r="D20"/>
      <c r="E20"/>
      <c r="F20"/>
      <c r="G20"/>
      <c r="H20"/>
      <c r="I20"/>
      <c r="J20"/>
      <c r="K20"/>
      <c r="L20"/>
      <c r="M20" s="30"/>
      <c r="N20" s="30"/>
    </row>
    <row r="21" spans="1:16" x14ac:dyDescent="0.2">
      <c r="A21" s="22"/>
      <c r="B21" t="s">
        <v>135</v>
      </c>
      <c r="C21"/>
      <c r="D21"/>
      <c r="E21"/>
      <c r="F21"/>
      <c r="G21"/>
      <c r="H21"/>
      <c r="I21"/>
      <c r="J21"/>
      <c r="K21"/>
      <c r="L21"/>
      <c r="M21" s="30"/>
      <c r="N21" s="30"/>
    </row>
    <row r="22" spans="1:16" x14ac:dyDescent="0.2">
      <c r="A22" s="22"/>
      <c r="B22" s="5" t="s">
        <v>25</v>
      </c>
      <c r="D22"/>
      <c r="E22" s="3">
        <f>SUM(E11:E15)</f>
        <v>6528.3814073079138</v>
      </c>
      <c r="F22" s="3">
        <f>SUM(F11:F15)</f>
        <v>291759.40504080814</v>
      </c>
      <c r="G22" s="3">
        <f>SUM(G11:G15)</f>
        <v>169195.8385337462</v>
      </c>
      <c r="H22" s="3">
        <f>SUM(H11:H15)</f>
        <v>4536.0520066794197</v>
      </c>
      <c r="I22" s="3">
        <f>SUM(I11:I15)</f>
        <v>2096.2886192336969</v>
      </c>
      <c r="J22" s="151">
        <f>SUM(E22:I22)</f>
        <v>474115.96560777538</v>
      </c>
      <c r="K22" s="151"/>
      <c r="L22" s="151"/>
      <c r="M22" s="31"/>
      <c r="N22" s="31"/>
    </row>
    <row r="23" spans="1:16" x14ac:dyDescent="0.2">
      <c r="A23" s="22"/>
      <c r="B23" s="5" t="s">
        <v>26</v>
      </c>
      <c r="D23"/>
      <c r="E23" s="3">
        <f>SUM(E17:E19)</f>
        <v>13071.89561079564</v>
      </c>
      <c r="F23" s="3">
        <f>SUM(F17:F19)</f>
        <v>423243.13657855906</v>
      </c>
      <c r="G23" s="3">
        <f>SUM(G17:G19)</f>
        <v>282720.50607469457</v>
      </c>
      <c r="H23" s="3">
        <f>SUM(H17:H19)</f>
        <v>8151.5072316565274</v>
      </c>
      <c r="I23" s="3">
        <f>SUM(I17:I19)</f>
        <v>4086.0051638690829</v>
      </c>
      <c r="J23" s="151">
        <f>SUM(E23:I23)</f>
        <v>731273.05065957492</v>
      </c>
      <c r="K23" s="151"/>
      <c r="L23" s="151"/>
      <c r="M23" s="31"/>
      <c r="N23" s="31"/>
    </row>
    <row r="24" spans="1:16" x14ac:dyDescent="0.2">
      <c r="A24" s="18"/>
      <c r="B24" s="5" t="s">
        <v>13</v>
      </c>
      <c r="D24"/>
      <c r="E24" s="3">
        <f>SUM(E22:E23)</f>
        <v>19600.277018103552</v>
      </c>
      <c r="F24" s="3">
        <f>SUM(F22:F23)</f>
        <v>715002.5416193672</v>
      </c>
      <c r="G24" s="3">
        <f>SUM(G22:G23)</f>
        <v>451916.34460844076</v>
      </c>
      <c r="H24" s="3">
        <f>SUM(H22:H23)</f>
        <v>12687.559238335947</v>
      </c>
      <c r="I24" s="3">
        <f>SUM(I22:I23)</f>
        <v>6182.2937831027793</v>
      </c>
      <c r="J24" s="3">
        <f>SUM(E24:I24)</f>
        <v>1205389.0162673504</v>
      </c>
      <c r="K24" s="3"/>
      <c r="L24" s="3"/>
      <c r="M24" s="31"/>
      <c r="N24" s="31"/>
    </row>
    <row r="25" spans="1:16" x14ac:dyDescent="0.2">
      <c r="A25" s="22"/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6" x14ac:dyDescent="0.2">
      <c r="A26" s="22"/>
      <c r="B26" s="2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6" x14ac:dyDescent="0.2">
      <c r="A27" s="22"/>
    </row>
    <row r="28" spans="1:16" x14ac:dyDescent="0.2">
      <c r="A28" s="18" t="s">
        <v>257</v>
      </c>
      <c r="B28" s="172" t="s">
        <v>307</v>
      </c>
      <c r="C28" s="20"/>
      <c r="E28" s="165" t="s">
        <v>284</v>
      </c>
      <c r="F28" s="301">
        <v>20</v>
      </c>
      <c r="G28" s="16" t="s">
        <v>255</v>
      </c>
      <c r="P28" s="285" t="s">
        <v>255</v>
      </c>
    </row>
    <row r="29" spans="1:16" x14ac:dyDescent="0.2">
      <c r="A29" s="22"/>
      <c r="B29" s="13" t="s">
        <v>238</v>
      </c>
      <c r="C29" s="23"/>
      <c r="D29" s="23"/>
    </row>
    <row r="30" spans="1:16" x14ac:dyDescent="0.2">
      <c r="A30" s="22"/>
    </row>
    <row r="31" spans="1:16" x14ac:dyDescent="0.2">
      <c r="A31" s="22"/>
      <c r="B31" t="s">
        <v>134</v>
      </c>
      <c r="C31"/>
      <c r="D31"/>
      <c r="E31" s="26" t="s">
        <v>61</v>
      </c>
      <c r="F31" s="26" t="s">
        <v>62</v>
      </c>
      <c r="G31" s="26" t="s">
        <v>65</v>
      </c>
      <c r="H31" s="26" t="s">
        <v>203</v>
      </c>
      <c r="I31" s="26" t="s">
        <v>55</v>
      </c>
      <c r="J31"/>
      <c r="K31"/>
      <c r="L31"/>
    </row>
    <row r="32" spans="1:16" x14ac:dyDescent="0.2">
      <c r="A32" s="22"/>
      <c r="B32" s="28" t="s">
        <v>17</v>
      </c>
      <c r="C32" s="149"/>
      <c r="D32" s="149"/>
      <c r="E32" s="149">
        <f>'BGS PTY16 Cost Alloc'!E265</f>
        <v>164.21366277245244</v>
      </c>
      <c r="F32" s="149"/>
      <c r="G32" s="149">
        <f>'BGS PTY16 Cost Alloc'!G265</f>
        <v>177735.03452994491</v>
      </c>
      <c r="H32" s="144"/>
      <c r="I32" s="149">
        <f>'BGS PTY16 Cost Alloc'!I265</f>
        <v>1801.240469247696</v>
      </c>
      <c r="J32" s="149"/>
      <c r="K32" s="149"/>
      <c r="L32" s="149"/>
    </row>
    <row r="33" spans="1:12" x14ac:dyDescent="0.2">
      <c r="A33" s="22"/>
      <c r="B33" s="77" t="s">
        <v>72</v>
      </c>
      <c r="C33" s="149"/>
      <c r="D33" s="149"/>
      <c r="E33" s="149">
        <f>'BGS PTY16 Cost Alloc'!E266</f>
        <v>4747.3021276009767</v>
      </c>
      <c r="F33" s="149"/>
      <c r="G33" s="149"/>
      <c r="H33" s="149">
        <f>'BGS PTY16 Cost Alloc'!H266</f>
        <v>3276.7053834355606</v>
      </c>
      <c r="I33" s="149"/>
      <c r="J33" s="149"/>
      <c r="K33" s="149"/>
      <c r="L33" s="149"/>
    </row>
    <row r="34" spans="1:12" x14ac:dyDescent="0.2">
      <c r="A34" s="22"/>
      <c r="B34" s="77" t="s">
        <v>73</v>
      </c>
      <c r="C34" s="149"/>
      <c r="D34" s="149"/>
      <c r="E34" s="149">
        <f>'BGS PTY16 Cost Alloc'!E267</f>
        <v>2315.9611499247512</v>
      </c>
      <c r="F34" s="149"/>
      <c r="G34" s="149"/>
      <c r="H34" s="149">
        <f>'BGS PTY16 Cost Alloc'!H267</f>
        <v>1610.5798758348744</v>
      </c>
      <c r="I34" s="149"/>
      <c r="J34" s="149"/>
      <c r="K34" s="149"/>
      <c r="L34" s="149"/>
    </row>
    <row r="35" spans="1:12" x14ac:dyDescent="0.2">
      <c r="A35" s="22"/>
      <c r="B35" s="89" t="s">
        <v>142</v>
      </c>
      <c r="C35" s="149"/>
      <c r="D35" s="149"/>
      <c r="E35" s="149"/>
      <c r="F35" s="149">
        <f>'BGS PTY16 Cost Alloc'!F268</f>
        <v>154239.44450412883</v>
      </c>
      <c r="G35" s="149"/>
      <c r="H35" s="144"/>
      <c r="I35" s="149"/>
      <c r="J35" s="149"/>
      <c r="K35" s="149"/>
      <c r="L35" s="149"/>
    </row>
    <row r="36" spans="1:12" x14ac:dyDescent="0.2">
      <c r="A36" s="22"/>
      <c r="B36" s="89" t="s">
        <v>144</v>
      </c>
      <c r="C36" s="149"/>
      <c r="D36" s="149"/>
      <c r="E36" s="149"/>
      <c r="F36" s="149">
        <f>'BGS PTY16 Cost Alloc'!F269</f>
        <v>155884.67593897635</v>
      </c>
      <c r="G36" s="149"/>
      <c r="H36" s="144"/>
      <c r="I36" s="149"/>
      <c r="J36" s="149"/>
      <c r="K36" s="149"/>
      <c r="L36" s="149"/>
    </row>
    <row r="37" spans="1:12" x14ac:dyDescent="0.2">
      <c r="A37" s="22"/>
      <c r="C37" s="149"/>
      <c r="D37" s="149"/>
      <c r="E37" s="149"/>
      <c r="F37" s="149"/>
      <c r="G37" s="149"/>
      <c r="H37" s="144"/>
      <c r="I37" s="149"/>
      <c r="J37" s="149"/>
      <c r="K37" s="149"/>
      <c r="L37" s="149"/>
    </row>
    <row r="38" spans="1:12" x14ac:dyDescent="0.2">
      <c r="A38" s="22"/>
      <c r="B38" s="28" t="s">
        <v>18</v>
      </c>
      <c r="C38" s="149"/>
      <c r="D38" s="149"/>
      <c r="E38" s="149">
        <f>'BGS PTY16 Cost Alloc'!E271</f>
        <v>311.79238854926842</v>
      </c>
      <c r="F38" s="149">
        <f>'BGS PTY16 Cost Alloc'!F271</f>
        <v>454967.23490817356</v>
      </c>
      <c r="G38" s="149">
        <f>'BGS PTY16 Cost Alloc'!G271</f>
        <v>292828.93526496633</v>
      </c>
      <c r="I38" s="149">
        <f>'BGS PTY16 Cost Alloc'!I271</f>
        <v>3396.2260539512822</v>
      </c>
      <c r="J38" s="149"/>
      <c r="K38" s="149"/>
      <c r="L38" s="149"/>
    </row>
    <row r="39" spans="1:12" x14ac:dyDescent="0.2">
      <c r="A39" s="22"/>
      <c r="B39" s="77" t="s">
        <v>72</v>
      </c>
      <c r="C39" s="149"/>
      <c r="D39" s="149"/>
      <c r="E39" s="149">
        <f>'BGS PTY16 Cost Alloc'!E272</f>
        <v>8418.5285850297441</v>
      </c>
      <c r="F39" s="3"/>
      <c r="G39" s="3"/>
      <c r="H39" s="149">
        <f>'BGS PTY16 Cost Alloc'!H272</f>
        <v>5534.8209011397294</v>
      </c>
      <c r="I39" s="3"/>
      <c r="J39" s="149"/>
      <c r="K39" s="149"/>
      <c r="L39" s="149"/>
    </row>
    <row r="40" spans="1:12" x14ac:dyDescent="0.2">
      <c r="A40" s="22"/>
      <c r="B40" s="77" t="s">
        <v>73</v>
      </c>
      <c r="C40" s="3"/>
      <c r="D40" s="3"/>
      <c r="E40" s="149">
        <f>'BGS PTY16 Cost Alloc'!E273</f>
        <v>5387.0292365682944</v>
      </c>
      <c r="H40" s="149">
        <f>'BGS PTY16 Cost Alloc'!H273</f>
        <v>3089.9553628184476</v>
      </c>
      <c r="J40" s="149"/>
      <c r="K40" s="149"/>
      <c r="L40" s="149"/>
    </row>
    <row r="41" spans="1:12" x14ac:dyDescent="0.2">
      <c r="A41" s="22"/>
      <c r="B41" s="5"/>
      <c r="C41"/>
      <c r="D41"/>
      <c r="E41"/>
      <c r="F41"/>
      <c r="G41"/>
      <c r="H41"/>
      <c r="I41"/>
      <c r="J41"/>
      <c r="K41"/>
      <c r="L41"/>
    </row>
    <row r="42" spans="1:12" x14ac:dyDescent="0.2">
      <c r="A42" s="22"/>
      <c r="B42" t="s">
        <v>135</v>
      </c>
      <c r="C42"/>
      <c r="D42"/>
      <c r="E42"/>
      <c r="F42"/>
      <c r="G42"/>
      <c r="H42"/>
      <c r="I42"/>
      <c r="J42"/>
      <c r="K42"/>
      <c r="L42"/>
    </row>
    <row r="43" spans="1:12" x14ac:dyDescent="0.2">
      <c r="A43" s="22"/>
      <c r="B43" s="5" t="s">
        <v>25</v>
      </c>
      <c r="D43"/>
      <c r="E43" s="3">
        <f>SUM(E32:E36)</f>
        <v>7227.4769402981801</v>
      </c>
      <c r="F43" s="3">
        <f>SUM(F32:F36)</f>
        <v>310124.12044310517</v>
      </c>
      <c r="G43" s="3">
        <f>SUM(G32:G36)</f>
        <v>177735.03452994491</v>
      </c>
      <c r="H43" s="3">
        <f>SUM(H32:H36)</f>
        <v>4887.2852592704348</v>
      </c>
      <c r="I43" s="3">
        <f>SUM(I32:I36)</f>
        <v>1801.240469247696</v>
      </c>
      <c r="J43" s="151">
        <f>SUM(E43:I43)</f>
        <v>501775.15764186636</v>
      </c>
      <c r="K43" s="151"/>
      <c r="L43" s="151"/>
    </row>
    <row r="44" spans="1:12" x14ac:dyDescent="0.2">
      <c r="A44" s="22"/>
      <c r="B44" s="5" t="s">
        <v>26</v>
      </c>
      <c r="D44"/>
      <c r="E44" s="3">
        <f>SUM(E38:E40)</f>
        <v>14117.350210147308</v>
      </c>
      <c r="F44" s="3">
        <f>SUM(F38:F40)</f>
        <v>454967.23490817356</v>
      </c>
      <c r="G44" s="3">
        <f>SUM(G38:G40)</f>
        <v>292828.93526496633</v>
      </c>
      <c r="H44" s="3">
        <f>SUM(H38:H40)</f>
        <v>8624.7762639581779</v>
      </c>
      <c r="I44" s="3">
        <f>SUM(I38:I40)</f>
        <v>3396.2260539512822</v>
      </c>
      <c r="J44" s="151">
        <f>SUM(E44:I44)</f>
        <v>773934.52270119672</v>
      </c>
      <c r="K44" s="151"/>
      <c r="L44" s="151"/>
    </row>
    <row r="45" spans="1:12" x14ac:dyDescent="0.2">
      <c r="A45" s="18"/>
      <c r="B45" s="5" t="s">
        <v>13</v>
      </c>
      <c r="D45"/>
      <c r="E45" s="3">
        <f>SUM(E43:E44)</f>
        <v>21344.82715044549</v>
      </c>
      <c r="F45" s="3">
        <f>SUM(F43:F44)</f>
        <v>765091.35535127879</v>
      </c>
      <c r="G45" s="3">
        <f>SUM(G43:G44)</f>
        <v>470563.96979491122</v>
      </c>
      <c r="H45" s="3">
        <f>SUM(H43:H44)</f>
        <v>13512.061523228613</v>
      </c>
      <c r="I45" s="3">
        <f>SUM(I43:I44)</f>
        <v>5197.4665231989784</v>
      </c>
      <c r="J45" s="3">
        <f>SUM(E45:I45)</f>
        <v>1275709.6803430628</v>
      </c>
      <c r="K45" s="3"/>
      <c r="L45" s="3"/>
    </row>
    <row r="46" spans="1:12" x14ac:dyDescent="0.2">
      <c r="A46" s="18"/>
      <c r="B46" s="5"/>
      <c r="D46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13"/>
      <c r="B47" s="36" t="str">
        <f>'BGS PTY17 Cost Alloc'!B46</f>
        <v>{1} For BGS purposes the RT rate class includes the RS and GS rate class Off-Peak (OPWH) and Controlled Water Heating (CTWH) provisions.  The RT rate class also includes the</v>
      </c>
      <c r="D47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13"/>
      <c r="B48" s="36" t="str">
        <f>'BGS PTY17 Cost Alloc'!B47</f>
        <v xml:space="preserve">  summer billing month RGT rate class usage.  OPWH and CTWH is billed on the average RT rates, while RT and Summer RGT use is billed at on-peak and off-peak rates.</v>
      </c>
      <c r="D48"/>
      <c r="E48" s="3"/>
      <c r="F48" s="3"/>
      <c r="G48" s="3"/>
      <c r="H48" s="3"/>
      <c r="I48" s="3"/>
      <c r="J48" s="3"/>
      <c r="K48" s="3"/>
      <c r="L48" s="3"/>
    </row>
    <row r="49" spans="1:16" x14ac:dyDescent="0.2">
      <c r="A49" s="13"/>
      <c r="B49" s="36" t="str">
        <f>'BGS PTY17 Cost Alloc'!B48</f>
        <v xml:space="preserve">{2} For BGS purposes the RS rate class excludes the Off-Peak and Controlled Water Heating provisions and includes  </v>
      </c>
      <c r="D49"/>
      <c r="E49" s="3"/>
      <c r="F49" s="3"/>
      <c r="G49" s="3"/>
      <c r="H49" s="3"/>
      <c r="I49" s="3"/>
      <c r="J49" s="3"/>
      <c r="K49" s="3"/>
      <c r="L49" s="3"/>
    </row>
    <row r="50" spans="1:16" x14ac:dyDescent="0.2">
      <c r="A50" s="13"/>
      <c r="B50" s="36" t="str">
        <f>'BGS PTY17 Cost Alloc'!B49</f>
        <v xml:space="preserve">     the winter billing month RGT rate class usage</v>
      </c>
      <c r="D50"/>
      <c r="E50" s="3"/>
      <c r="F50" s="3"/>
      <c r="G50" s="3"/>
      <c r="H50" s="3"/>
      <c r="I50" s="3"/>
      <c r="J50" s="3"/>
      <c r="K50" s="3"/>
      <c r="L50" s="3"/>
    </row>
    <row r="51" spans="1:16" x14ac:dyDescent="0.2">
      <c r="A51" s="13"/>
      <c r="B51" s="36" t="str">
        <f>'BGS PTY17 Cost Alloc'!B50</f>
        <v>{3} For BGS purposes the GS rate class excludes the Off-Peak and Controlled Water Heating provisions</v>
      </c>
      <c r="D51"/>
      <c r="E51" s="3"/>
      <c r="F51" s="3"/>
      <c r="G51" s="3"/>
      <c r="H51" s="3"/>
      <c r="I51" s="3"/>
      <c r="J51" s="3"/>
      <c r="K51" s="3"/>
      <c r="L51" s="3"/>
    </row>
    <row r="52" spans="1:16" x14ac:dyDescent="0.2">
      <c r="A52" s="36"/>
      <c r="B52" s="164" t="str">
        <f>'BGS PTY17 Cost Alloc'!B101</f>
        <v>{4} The GS and GST units exclude the units associated with the 500 kW and above PLS accounts that will be required to take service under BGS-CIEP</v>
      </c>
      <c r="D52"/>
      <c r="E52" s="3"/>
      <c r="F52" s="3"/>
      <c r="G52" s="3"/>
      <c r="H52" s="3"/>
      <c r="I52" s="3"/>
      <c r="J52" s="3"/>
      <c r="K52" s="3"/>
      <c r="L52" s="3"/>
    </row>
    <row r="53" spans="1:16" x14ac:dyDescent="0.2">
      <c r="A53" s="13"/>
      <c r="B53" s="164" t="str">
        <f>'BGS PTY17 Cost Alloc'!B102</f>
        <v xml:space="preserve"> </v>
      </c>
    </row>
    <row r="54" spans="1:16" ht="15.75" x14ac:dyDescent="0.25">
      <c r="B54" s="435" t="s">
        <v>69</v>
      </c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</row>
    <row r="55" spans="1:16" ht="15.75" x14ac:dyDescent="0.25">
      <c r="B55" s="435" t="s">
        <v>187</v>
      </c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</row>
    <row r="56" spans="1:16" ht="15.75" x14ac:dyDescent="0.25"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</row>
    <row r="57" spans="1:16" x14ac:dyDescent="0.2">
      <c r="N57" s="120" t="s">
        <v>255</v>
      </c>
    </row>
    <row r="59" spans="1:16" x14ac:dyDescent="0.2">
      <c r="E59" s="17"/>
    </row>
    <row r="60" spans="1:16" x14ac:dyDescent="0.2">
      <c r="A60" s="18" t="s">
        <v>258</v>
      </c>
      <c r="B60" s="172" t="s">
        <v>315</v>
      </c>
      <c r="C60" s="20"/>
      <c r="E60" s="165" t="s">
        <v>284</v>
      </c>
      <c r="F60" s="301">
        <v>18</v>
      </c>
      <c r="G60" s="13" t="s">
        <v>255</v>
      </c>
      <c r="P60" s="285" t="s">
        <v>255</v>
      </c>
    </row>
    <row r="61" spans="1:16" x14ac:dyDescent="0.2">
      <c r="A61" s="22"/>
      <c r="B61" s="13" t="s">
        <v>238</v>
      </c>
      <c r="C61" s="23"/>
      <c r="D61" s="23"/>
    </row>
    <row r="62" spans="1:16" x14ac:dyDescent="0.2">
      <c r="A62" s="22"/>
    </row>
    <row r="63" spans="1:16" x14ac:dyDescent="0.2">
      <c r="A63" s="22"/>
      <c r="B63" t="s">
        <v>134</v>
      </c>
      <c r="C63"/>
      <c r="D63"/>
      <c r="E63" s="26" t="s">
        <v>61</v>
      </c>
      <c r="F63" s="26" t="s">
        <v>62</v>
      </c>
      <c r="G63" s="26" t="s">
        <v>65</v>
      </c>
      <c r="H63" s="26" t="s">
        <v>203</v>
      </c>
      <c r="I63" s="26" t="s">
        <v>55</v>
      </c>
      <c r="J63"/>
      <c r="K63"/>
      <c r="L63"/>
    </row>
    <row r="64" spans="1:16" x14ac:dyDescent="0.2">
      <c r="A64" s="22"/>
      <c r="B64" s="28" t="s">
        <v>17</v>
      </c>
      <c r="C64" s="149"/>
      <c r="D64" s="149"/>
      <c r="E64" s="149">
        <f>'BGS PTY17 Cost Alloc'!E266</f>
        <v>135.16517615949829</v>
      </c>
      <c r="F64" s="149"/>
      <c r="G64" s="149">
        <f>'BGS PTY17 Cost Alloc'!G266</f>
        <v>155934.28820359946</v>
      </c>
      <c r="H64" s="144"/>
      <c r="I64" s="149">
        <f>'BGS PTY17 Cost Alloc'!I266</f>
        <v>1852.7571120346745</v>
      </c>
      <c r="J64" s="149"/>
      <c r="K64" s="149"/>
      <c r="L64" s="149"/>
    </row>
    <row r="65" spans="1:12" x14ac:dyDescent="0.2">
      <c r="A65" s="22"/>
      <c r="B65" s="77" t="s">
        <v>72</v>
      </c>
      <c r="C65" s="149"/>
      <c r="D65" s="149"/>
      <c r="E65" s="149">
        <f>'BGS PTY17 Cost Alloc'!E267</f>
        <v>3388.485035531894</v>
      </c>
      <c r="F65" s="149"/>
      <c r="G65" s="149"/>
      <c r="H65" s="149">
        <f>'BGS PTY17 Cost Alloc'!H267</f>
        <v>2521.6878684422272</v>
      </c>
      <c r="I65" s="149"/>
      <c r="J65" s="149"/>
      <c r="K65" s="149"/>
      <c r="L65" s="149"/>
    </row>
    <row r="66" spans="1:12" x14ac:dyDescent="0.2">
      <c r="A66" s="22"/>
      <c r="B66" s="77" t="s">
        <v>73</v>
      </c>
      <c r="C66" s="149"/>
      <c r="D66" s="149"/>
      <c r="E66" s="149">
        <f>'BGS PTY17 Cost Alloc'!E268</f>
        <v>2425.2865924063676</v>
      </c>
      <c r="F66" s="149"/>
      <c r="G66" s="149"/>
      <c r="H66" s="149">
        <f>'BGS PTY17 Cost Alloc'!H268</f>
        <v>1683.5005515425305</v>
      </c>
      <c r="I66" s="149"/>
      <c r="J66" s="149"/>
      <c r="K66" s="149"/>
      <c r="L66" s="149"/>
    </row>
    <row r="67" spans="1:12" x14ac:dyDescent="0.2">
      <c r="A67" s="22"/>
      <c r="B67" s="89" t="s">
        <v>142</v>
      </c>
      <c r="C67" s="149"/>
      <c r="D67" s="149"/>
      <c r="E67" s="149"/>
      <c r="F67" s="149">
        <f>'BGS PTY17 Cost Alloc'!F269</f>
        <v>132236.79942251893</v>
      </c>
      <c r="G67" s="149"/>
      <c r="H67" s="144"/>
      <c r="I67" s="149"/>
      <c r="J67" s="149"/>
      <c r="K67" s="149"/>
      <c r="L67" s="149"/>
    </row>
    <row r="68" spans="1:12" x14ac:dyDescent="0.2">
      <c r="A68" s="22"/>
      <c r="B68" s="89" t="s">
        <v>144</v>
      </c>
      <c r="C68" s="149"/>
      <c r="D68" s="149"/>
      <c r="E68" s="149"/>
      <c r="F68" s="149">
        <f>'BGS PTY17 Cost Alloc'!F270</f>
        <v>135856.35979262224</v>
      </c>
      <c r="G68" s="149"/>
      <c r="H68" s="144"/>
      <c r="I68" s="149"/>
      <c r="J68" s="149"/>
      <c r="K68" s="149"/>
      <c r="L68" s="149"/>
    </row>
    <row r="69" spans="1:12" x14ac:dyDescent="0.2">
      <c r="A69" s="22"/>
      <c r="C69" s="149"/>
      <c r="D69" s="149"/>
      <c r="E69" s="149"/>
      <c r="F69" s="149"/>
      <c r="G69" s="149"/>
      <c r="H69" s="144"/>
      <c r="I69" s="149"/>
      <c r="J69" s="149"/>
      <c r="K69" s="149"/>
      <c r="L69" s="149"/>
    </row>
    <row r="70" spans="1:12" x14ac:dyDescent="0.2">
      <c r="A70" s="22"/>
      <c r="B70" s="28" t="s">
        <v>18</v>
      </c>
      <c r="C70" s="149"/>
      <c r="D70" s="149"/>
      <c r="E70" s="149">
        <f>'BGS PTY17 Cost Alloc'!E272</f>
        <v>291.87133638759741</v>
      </c>
      <c r="F70" s="149">
        <f>'BGS PTY17 Cost Alloc'!F272</f>
        <v>425252.05040753767</v>
      </c>
      <c r="G70" s="149">
        <f>'BGS PTY17 Cost Alloc'!G272</f>
        <v>288930.79703598347</v>
      </c>
      <c r="I70" s="149">
        <f>'BGS PTY17 Cost Alloc'!I272</f>
        <v>4179.4584511904877</v>
      </c>
      <c r="J70" s="149"/>
      <c r="K70" s="149"/>
      <c r="L70" s="149"/>
    </row>
    <row r="71" spans="1:12" x14ac:dyDescent="0.2">
      <c r="A71" s="22"/>
      <c r="B71" s="77" t="s">
        <v>72</v>
      </c>
      <c r="C71" s="149"/>
      <c r="D71" s="149"/>
      <c r="E71" s="149">
        <f>'BGS PTY17 Cost Alloc'!E273</f>
        <v>6626.8306729324158</v>
      </c>
      <c r="F71" s="3"/>
      <c r="G71" s="3"/>
      <c r="H71" s="149">
        <f>'BGS PTY17 Cost Alloc'!H273</f>
        <v>4627.7742059294842</v>
      </c>
      <c r="I71" s="3"/>
      <c r="J71" s="149"/>
      <c r="K71" s="149"/>
      <c r="L71" s="149"/>
    </row>
    <row r="72" spans="1:12" x14ac:dyDescent="0.2">
      <c r="A72" s="22"/>
      <c r="B72" s="77" t="s">
        <v>73</v>
      </c>
      <c r="C72" s="3"/>
      <c r="D72" s="3"/>
      <c r="E72" s="149">
        <f>'BGS PTY17 Cost Alloc'!E274</f>
        <v>6296.7549116716746</v>
      </c>
      <c r="H72" s="149">
        <f>'BGS PTY17 Cost Alloc'!H274</f>
        <v>3761.2412247340826</v>
      </c>
      <c r="J72" s="149"/>
      <c r="K72" s="149"/>
      <c r="L72" s="149"/>
    </row>
    <row r="73" spans="1:12" x14ac:dyDescent="0.2">
      <c r="A73" s="22"/>
      <c r="B73" s="5"/>
      <c r="C73"/>
      <c r="D73"/>
      <c r="E73"/>
      <c r="F73"/>
      <c r="G73"/>
      <c r="H73"/>
      <c r="I73"/>
      <c r="J73"/>
      <c r="K73"/>
      <c r="L73"/>
    </row>
    <row r="74" spans="1:12" x14ac:dyDescent="0.2">
      <c r="A74" s="22"/>
      <c r="B74" t="s">
        <v>135</v>
      </c>
      <c r="C74"/>
      <c r="D74"/>
      <c r="E74"/>
      <c r="F74"/>
      <c r="G74"/>
      <c r="H74"/>
      <c r="I74"/>
      <c r="J74"/>
      <c r="K74"/>
      <c r="L74"/>
    </row>
    <row r="75" spans="1:12" x14ac:dyDescent="0.2">
      <c r="A75" s="22"/>
      <c r="B75" s="5" t="s">
        <v>25</v>
      </c>
      <c r="D75"/>
      <c r="E75" s="3">
        <f>SUM(E64:E68)</f>
        <v>5948.9368040977606</v>
      </c>
      <c r="F75" s="3">
        <f>SUM(F64:F68)</f>
        <v>268093.1592151412</v>
      </c>
      <c r="G75" s="3">
        <f>SUM(G64:G68)</f>
        <v>155934.28820359946</v>
      </c>
      <c r="H75" s="3">
        <f>SUM(H64:H68)</f>
        <v>4205.1884199847573</v>
      </c>
      <c r="I75" s="3">
        <f>SUM(I64:I68)</f>
        <v>1852.7571120346745</v>
      </c>
      <c r="J75" s="151">
        <f>SUM(E75:I75)</f>
        <v>436034.32975485787</v>
      </c>
      <c r="K75" s="151"/>
      <c r="L75" s="151"/>
    </row>
    <row r="76" spans="1:12" x14ac:dyDescent="0.2">
      <c r="A76" s="22"/>
      <c r="B76" s="5" t="s">
        <v>26</v>
      </c>
      <c r="D76"/>
      <c r="E76" s="3">
        <f>SUM(E70:E72)</f>
        <v>13215.456920991688</v>
      </c>
      <c r="F76" s="3">
        <f>SUM(F70:F72)</f>
        <v>425252.05040753767</v>
      </c>
      <c r="G76" s="3">
        <f>SUM(G70:G72)</f>
        <v>288930.79703598347</v>
      </c>
      <c r="H76" s="3">
        <f>SUM(H70:H72)</f>
        <v>8389.0154306635668</v>
      </c>
      <c r="I76" s="3">
        <f>SUM(I70:I72)</f>
        <v>4179.4584511904877</v>
      </c>
      <c r="J76" s="151">
        <f>SUM(E76:I76)</f>
        <v>739966.778246367</v>
      </c>
      <c r="K76" s="151"/>
      <c r="L76" s="151"/>
    </row>
    <row r="77" spans="1:12" x14ac:dyDescent="0.2">
      <c r="A77" s="18"/>
      <c r="B77" s="5" t="s">
        <v>13</v>
      </c>
      <c r="D77"/>
      <c r="E77" s="3">
        <f>SUM(E75:E76)</f>
        <v>19164.393725089449</v>
      </c>
      <c r="F77" s="3">
        <f>SUM(F75:F76)</f>
        <v>693345.20962267881</v>
      </c>
      <c r="G77" s="3">
        <f>SUM(G75:G76)</f>
        <v>444865.08523958293</v>
      </c>
      <c r="H77" s="3">
        <f>SUM(H75:H76)</f>
        <v>12594.203850648324</v>
      </c>
      <c r="I77" s="3">
        <f>SUM(I75:I76)</f>
        <v>6032.2155632251624</v>
      </c>
      <c r="J77" s="3">
        <f>SUM(E77:I77)</f>
        <v>1176001.1080012247</v>
      </c>
      <c r="K77" s="3"/>
      <c r="L77" s="3"/>
    </row>
    <row r="81" spans="1:31" x14ac:dyDescent="0.2">
      <c r="A81" s="18" t="s">
        <v>259</v>
      </c>
      <c r="B81" s="163" t="s">
        <v>239</v>
      </c>
      <c r="C81" s="20"/>
      <c r="E81" s="17"/>
    </row>
    <row r="82" spans="1:31" x14ac:dyDescent="0.2">
      <c r="A82" s="22"/>
      <c r="B82" s="13" t="s">
        <v>238</v>
      </c>
      <c r="C82" s="23"/>
      <c r="D82" s="23"/>
    </row>
    <row r="83" spans="1:31" x14ac:dyDescent="0.2">
      <c r="A83" s="22"/>
    </row>
    <row r="84" spans="1:31" x14ac:dyDescent="0.2">
      <c r="A84" s="22"/>
      <c r="B84" t="s">
        <v>134</v>
      </c>
      <c r="C84"/>
      <c r="D84"/>
      <c r="E84" s="26" t="s">
        <v>61</v>
      </c>
      <c r="F84" s="26" t="s">
        <v>62</v>
      </c>
      <c r="G84" s="26" t="s">
        <v>65</v>
      </c>
      <c r="H84" s="26" t="s">
        <v>203</v>
      </c>
      <c r="I84" s="26" t="s">
        <v>55</v>
      </c>
      <c r="J84"/>
      <c r="K84"/>
      <c r="L84"/>
    </row>
    <row r="85" spans="1:31" x14ac:dyDescent="0.2">
      <c r="A85" s="22"/>
      <c r="B85" s="28" t="s">
        <v>17</v>
      </c>
      <c r="C85" s="149"/>
      <c r="D85" s="149"/>
      <c r="E85" s="149">
        <f>(E11*$F$7+E32*$F$28+E64*$F$60)/($F$7+$F$28+$F$60)</f>
        <v>149.85279157974037</v>
      </c>
      <c r="F85" s="149"/>
      <c r="G85" s="149">
        <f>(G11*$F$7+G32*$F$28+G64*$F$60)/($F$7+$F$28+$F$60)</f>
        <v>167914.25389188455</v>
      </c>
      <c r="H85" s="144"/>
      <c r="I85" s="149">
        <f>(I11*$F$7+I32*$F$28+I64*$F$60)/($F$7+$F$28+$F$60)</f>
        <v>1902.2408809449721</v>
      </c>
      <c r="J85" s="149"/>
      <c r="K85" s="149"/>
      <c r="L85" s="149"/>
    </row>
    <row r="86" spans="1:31" x14ac:dyDescent="0.2">
      <c r="A86" s="22"/>
      <c r="B86" s="77" t="s">
        <v>72</v>
      </c>
      <c r="C86" s="149"/>
      <c r="D86" s="149"/>
      <c r="E86" s="149">
        <f>(E12*$F$7+E33*$F$28+E65*$F$60)/($F$7+$F$28+$F$60)</f>
        <v>4084.0851149866089</v>
      </c>
      <c r="F86" s="149"/>
      <c r="G86" s="149"/>
      <c r="H86" s="149">
        <f>(H12*$F$7+H33*$F$28+H65*$F$60)/($F$7+$F$28+$F$60)</f>
        <v>2916.9794326255051</v>
      </c>
      <c r="I86" s="149"/>
      <c r="J86" s="149"/>
      <c r="K86" s="149"/>
      <c r="L86" s="149"/>
    </row>
    <row r="87" spans="1:31" x14ac:dyDescent="0.2">
      <c r="A87" s="22"/>
      <c r="B87" s="77" t="s">
        <v>73</v>
      </c>
      <c r="C87" s="149"/>
      <c r="D87" s="149"/>
      <c r="E87" s="149">
        <f>(E13*$F$7+E34*$F$28+E66*$F$60)/($F$7+$F$28+$F$60)</f>
        <v>2361.4606290816132</v>
      </c>
      <c r="F87" s="149"/>
      <c r="G87" s="149"/>
      <c r="H87" s="149">
        <f>(H13*$F$7+H34*$F$28+H66*$F$60)/($F$7+$F$28+$F$60)</f>
        <v>1639.2446587957336</v>
      </c>
      <c r="I87" s="149"/>
      <c r="J87" s="149"/>
      <c r="K87" s="149"/>
      <c r="L87" s="149"/>
      <c r="O87" s="47"/>
      <c r="P87" s="47"/>
      <c r="Q87" s="44"/>
      <c r="R87" s="44"/>
      <c r="S87" s="44"/>
      <c r="T87" s="47"/>
      <c r="U87" s="47"/>
      <c r="V87" s="44"/>
      <c r="W87" s="44"/>
      <c r="X87" s="44"/>
      <c r="Y87" s="47"/>
      <c r="Z87" s="47"/>
      <c r="AA87" s="44"/>
      <c r="AB87" s="44"/>
      <c r="AC87" s="44"/>
      <c r="AD87" s="47"/>
      <c r="AE87" s="47"/>
    </row>
    <row r="88" spans="1:31" x14ac:dyDescent="0.2">
      <c r="A88" s="22"/>
      <c r="B88" s="89" t="s">
        <v>142</v>
      </c>
      <c r="C88" s="149"/>
      <c r="D88" s="149"/>
      <c r="E88" s="149"/>
      <c r="F88" s="149">
        <f>(F14*$F$7+F35*$F$28+F67*$F$60)/($F$7+$F$28+$F$60)</f>
        <v>144045.99453296827</v>
      </c>
      <c r="G88" s="149"/>
      <c r="H88" s="144"/>
      <c r="I88" s="149"/>
      <c r="J88" s="149"/>
      <c r="K88" s="149"/>
      <c r="L88" s="149"/>
      <c r="O88" s="47"/>
      <c r="P88" s="47"/>
      <c r="Q88" s="47"/>
      <c r="R88" s="47"/>
      <c r="S88" s="47"/>
      <c r="T88" s="47"/>
      <c r="U88" s="47"/>
      <c r="V88" s="366"/>
      <c r="W88" s="366"/>
      <c r="X88" s="366"/>
      <c r="Y88" s="47"/>
      <c r="Z88" s="47"/>
      <c r="AA88" s="366"/>
      <c r="AB88" s="366"/>
      <c r="AC88" s="366"/>
      <c r="AD88" s="47"/>
      <c r="AE88" s="47"/>
    </row>
    <row r="89" spans="1:31" x14ac:dyDescent="0.2">
      <c r="A89" s="22"/>
      <c r="B89" s="89" t="s">
        <v>144</v>
      </c>
      <c r="C89" s="149"/>
      <c r="D89" s="149"/>
      <c r="E89" s="149"/>
      <c r="F89" s="149">
        <f>(F15*$F$7+F36*$F$28+F68*$F$60)/($F$7+$F$28+$F$60)</f>
        <v>146605.89886980091</v>
      </c>
      <c r="G89" s="149"/>
      <c r="H89" s="144"/>
      <c r="I89" s="149"/>
      <c r="J89" s="149"/>
      <c r="K89" s="149"/>
      <c r="L89" s="149"/>
      <c r="O89" s="163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x14ac:dyDescent="0.2">
      <c r="A90" s="22"/>
      <c r="C90" s="149"/>
      <c r="D90" s="149"/>
      <c r="E90" s="149"/>
      <c r="F90" s="149"/>
      <c r="G90" s="149"/>
      <c r="H90" s="144"/>
      <c r="I90" s="149"/>
      <c r="J90" s="149"/>
      <c r="K90" s="149"/>
      <c r="L90" s="149"/>
      <c r="O90" s="387"/>
      <c r="P90" s="47"/>
      <c r="Q90" s="371"/>
      <c r="R90" s="371"/>
      <c r="S90" s="371"/>
      <c r="T90" s="371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x14ac:dyDescent="0.2">
      <c r="A91" s="22"/>
      <c r="B91" s="28" t="s">
        <v>18</v>
      </c>
      <c r="C91" s="149"/>
      <c r="D91" s="149"/>
      <c r="E91" s="149">
        <f>(E17*$F$7+E38*$F$28+E70*$F$60)/($F$7+$F$28+$F$60)</f>
        <v>298.49172899704399</v>
      </c>
      <c r="F91" s="149">
        <f>(F17*$F$7+F38*$F$28+F70*$F$60)/($F$7+$F$28+$F$60)</f>
        <v>435896.76705995359</v>
      </c>
      <c r="G91" s="149">
        <f>(G17*$F$7+G38*$F$28+G70*$F$60)/($F$7+$F$28+$F$60)</f>
        <v>288644.1630767443</v>
      </c>
      <c r="I91" s="149">
        <f>(I17*$F$7+I38*$F$28+I70*$F$60)/($F$7+$F$28+$F$60)</f>
        <v>3857.4500124243523</v>
      </c>
      <c r="J91" s="149"/>
      <c r="K91" s="149"/>
      <c r="L91" s="149"/>
      <c r="O91" s="387"/>
      <c r="P91" s="47"/>
      <c r="Q91" s="371"/>
      <c r="R91" s="371"/>
      <c r="S91" s="371"/>
      <c r="T91" s="371"/>
      <c r="U91" s="47"/>
      <c r="V91" s="163"/>
      <c r="W91" s="47"/>
      <c r="X91" s="47"/>
      <c r="Y91" s="47"/>
      <c r="Z91" s="47"/>
      <c r="AA91" s="163"/>
      <c r="AB91" s="47"/>
      <c r="AC91" s="47"/>
      <c r="AD91" s="47"/>
      <c r="AE91" s="47"/>
    </row>
    <row r="92" spans="1:31" x14ac:dyDescent="0.2">
      <c r="A92" s="22"/>
      <c r="B92" s="77" t="s">
        <v>72</v>
      </c>
      <c r="C92" s="149"/>
      <c r="D92" s="149"/>
      <c r="E92" s="149">
        <f>(E18*$F$7+E39*$F$28+E71*$F$60)/($F$7+$F$28+$F$60)</f>
        <v>7489.5221447105405</v>
      </c>
      <c r="F92" s="3"/>
      <c r="G92" s="3"/>
      <c r="H92" s="149">
        <f>(H18*$F$7+H39*$F$28+H71*$F$60)/($F$7+$F$28+$F$60)</f>
        <v>5072.4089167183247</v>
      </c>
      <c r="I92" s="3"/>
      <c r="J92" s="149"/>
      <c r="K92" s="149"/>
      <c r="L92" s="149"/>
      <c r="Q92" s="26"/>
      <c r="R92" s="26"/>
      <c r="S92" s="26"/>
      <c r="U92" s="47"/>
      <c r="V92" s="44"/>
      <c r="W92" s="44"/>
      <c r="X92" s="44"/>
      <c r="Y92" s="47"/>
      <c r="Z92" s="47"/>
      <c r="AA92" s="44"/>
      <c r="AB92" s="44"/>
      <c r="AC92" s="44"/>
      <c r="AD92" s="47"/>
      <c r="AE92" s="47"/>
    </row>
    <row r="93" spans="1:31" x14ac:dyDescent="0.2">
      <c r="A93" s="22"/>
      <c r="B93" s="77" t="s">
        <v>73</v>
      </c>
      <c r="C93" s="3"/>
      <c r="D93" s="3"/>
      <c r="E93" s="149">
        <f>(E19*$F$7+E40*$F$28+E72*$F$60)/($F$7+$F$28+$F$60)</f>
        <v>5727.1495780420601</v>
      </c>
      <c r="H93" s="149">
        <f>(H19*$F$7+H40*$F$28+H72*$F$60)/($F$7+$F$28+$F$60)</f>
        <v>3338.3535645261213</v>
      </c>
      <c r="J93" s="149"/>
      <c r="K93" s="149"/>
      <c r="L93" s="149"/>
      <c r="P93" s="328"/>
      <c r="Q93" s="55"/>
      <c r="R93" s="55"/>
      <c r="S93" s="55"/>
      <c r="U93" s="47"/>
      <c r="V93" s="367"/>
      <c r="W93" s="367"/>
      <c r="X93" s="367"/>
      <c r="Y93" s="368"/>
      <c r="Z93" s="47"/>
      <c r="AA93" s="369"/>
      <c r="AB93" s="369"/>
      <c r="AC93" s="369"/>
      <c r="AD93" s="368"/>
      <c r="AE93" s="47"/>
    </row>
    <row r="94" spans="1:31" x14ac:dyDescent="0.2">
      <c r="A94" s="22"/>
      <c r="B94" s="5"/>
      <c r="C94"/>
      <c r="D94"/>
      <c r="E94"/>
      <c r="F94"/>
      <c r="G94"/>
      <c r="H94"/>
      <c r="I94"/>
      <c r="J94"/>
      <c r="K94"/>
      <c r="L94"/>
      <c r="R94" s="47"/>
      <c r="S94" s="47"/>
      <c r="T94" s="53"/>
      <c r="U94" s="47"/>
      <c r="V94" s="47"/>
      <c r="W94" s="47"/>
      <c r="X94" s="370"/>
      <c r="Y94" s="370"/>
      <c r="Z94" s="47"/>
      <c r="AA94" s="47"/>
      <c r="AB94" s="47"/>
      <c r="AC94" s="47"/>
      <c r="AD94" s="370"/>
      <c r="AE94" s="47"/>
    </row>
    <row r="95" spans="1:31" x14ac:dyDescent="0.2">
      <c r="A95" s="22"/>
      <c r="B95" t="s">
        <v>135</v>
      </c>
      <c r="C95"/>
      <c r="D95"/>
      <c r="E95"/>
      <c r="F95"/>
      <c r="G95"/>
      <c r="H95"/>
      <c r="I95"/>
      <c r="J95"/>
      <c r="K95"/>
      <c r="L95"/>
      <c r="P95" s="347"/>
      <c r="R95" s="387"/>
      <c r="S95" s="47"/>
      <c r="T95" s="371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x14ac:dyDescent="0.2">
      <c r="A96" s="22"/>
      <c r="B96" s="5" t="s">
        <v>25</v>
      </c>
      <c r="D96"/>
      <c r="E96" s="3">
        <f>SUM(E85:E89)</f>
        <v>6595.3985356479625</v>
      </c>
      <c r="F96" s="3">
        <f>SUM(F85:F89)</f>
        <v>290651.89340276917</v>
      </c>
      <c r="G96" s="3">
        <f>SUM(G85:G89)</f>
        <v>167914.25389188455</v>
      </c>
      <c r="H96" s="3">
        <f>SUM(H85:H89)</f>
        <v>4556.2240914212389</v>
      </c>
      <c r="I96" s="3">
        <f>SUM(I85:I89)</f>
        <v>1902.2408809449721</v>
      </c>
      <c r="J96" s="151">
        <f>SUM(E96:I96)</f>
        <v>471620.01080266794</v>
      </c>
      <c r="K96" s="151"/>
      <c r="L96" s="151"/>
      <c r="P96" s="347"/>
      <c r="R96" s="387"/>
      <c r="S96" s="47"/>
      <c r="T96" s="371"/>
      <c r="U96" s="349"/>
      <c r="V96" s="47"/>
      <c r="W96" s="47"/>
      <c r="X96" s="47"/>
      <c r="Y96" s="47"/>
      <c r="Z96" s="349"/>
      <c r="AA96" s="47"/>
      <c r="AB96" s="47"/>
      <c r="AC96" s="47"/>
      <c r="AD96" s="47"/>
      <c r="AE96" s="47"/>
    </row>
    <row r="97" spans="1:31" x14ac:dyDescent="0.2">
      <c r="A97" s="22"/>
      <c r="B97" s="5" t="s">
        <v>26</v>
      </c>
      <c r="D97"/>
      <c r="E97" s="3">
        <f>SUM(E91:E93)</f>
        <v>13515.163451749646</v>
      </c>
      <c r="F97" s="3">
        <f>SUM(F91:F93)</f>
        <v>435896.76705995359</v>
      </c>
      <c r="G97" s="3">
        <f>SUM(G91:G93)</f>
        <v>288644.1630767443</v>
      </c>
      <c r="H97" s="3">
        <f>SUM(H91:H93)</f>
        <v>8410.7624812444465</v>
      </c>
      <c r="I97" s="3">
        <f>SUM(I91:I93)</f>
        <v>3857.4500124243523</v>
      </c>
      <c r="J97" s="151">
        <f>SUM(E97:I97)</f>
        <v>750324.30608211632</v>
      </c>
      <c r="K97" s="151"/>
      <c r="L97" s="151"/>
      <c r="P97" s="321"/>
      <c r="Q97" s="282"/>
      <c r="R97" s="282"/>
      <c r="S97" s="282"/>
      <c r="U97" s="334"/>
      <c r="V97" s="371"/>
      <c r="W97" s="371"/>
      <c r="X97" s="371"/>
      <c r="Y97" s="47"/>
      <c r="Z97" s="334"/>
      <c r="AA97" s="371"/>
      <c r="AB97" s="371"/>
      <c r="AC97" s="371"/>
      <c r="AD97" s="47"/>
      <c r="AE97" s="47"/>
    </row>
    <row r="98" spans="1:31" x14ac:dyDescent="0.2">
      <c r="A98" s="18"/>
      <c r="B98" s="5" t="s">
        <v>13</v>
      </c>
      <c r="D98"/>
      <c r="E98" s="3">
        <f>SUM(E96:E97)</f>
        <v>20110.56198739761</v>
      </c>
      <c r="F98" s="3">
        <f>SUM(F96:F97)</f>
        <v>726548.66046272276</v>
      </c>
      <c r="G98" s="3">
        <f>SUM(G96:G97)</f>
        <v>456558.41696862888</v>
      </c>
      <c r="H98" s="3">
        <f>SUM(H96:H97)</f>
        <v>12966.986572665686</v>
      </c>
      <c r="I98" s="3">
        <f>SUM(I96:I97)</f>
        <v>5759.6908933693248</v>
      </c>
      <c r="J98" s="3">
        <f>SUM(E98:I98)</f>
        <v>1221944.316884784</v>
      </c>
      <c r="K98" s="3"/>
      <c r="L98" s="3"/>
      <c r="P98" s="321"/>
      <c r="Q98" s="282"/>
      <c r="R98" s="282"/>
      <c r="S98" s="282"/>
      <c r="U98" s="334"/>
      <c r="V98" s="371"/>
      <c r="W98" s="371"/>
      <c r="X98" s="371"/>
      <c r="Y98" s="47"/>
      <c r="Z98" s="334"/>
      <c r="AA98" s="371"/>
      <c r="AB98" s="371"/>
      <c r="AC98" s="371"/>
      <c r="AD98" s="47"/>
      <c r="AE98" s="47"/>
    </row>
    <row r="99" spans="1:31" x14ac:dyDescent="0.2">
      <c r="B99" s="295"/>
      <c r="U99" s="19"/>
      <c r="V99" s="47"/>
      <c r="W99" s="47"/>
      <c r="X99" s="47"/>
      <c r="Y99" s="47"/>
      <c r="Z99" s="19"/>
      <c r="AA99" s="47"/>
      <c r="AB99" s="47"/>
      <c r="AC99" s="47"/>
      <c r="AD99" s="47"/>
      <c r="AE99" s="47"/>
    </row>
    <row r="100" spans="1:31" ht="15.75" x14ac:dyDescent="0.25">
      <c r="B100" s="435" t="s">
        <v>69</v>
      </c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P100" s="321"/>
      <c r="Q100" s="26"/>
      <c r="R100" s="26"/>
      <c r="S100" s="26"/>
      <c r="U100" s="44"/>
      <c r="V100" s="44"/>
      <c r="W100" s="44"/>
      <c r="X100" s="44"/>
      <c r="Y100" s="47"/>
      <c r="Z100" s="44"/>
      <c r="AA100" s="44"/>
      <c r="AB100" s="44"/>
      <c r="AC100" s="44"/>
      <c r="AD100" s="47"/>
      <c r="AE100" s="47"/>
    </row>
    <row r="101" spans="1:31" ht="15.75" x14ac:dyDescent="0.25">
      <c r="B101" s="435" t="s">
        <v>187</v>
      </c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P101" s="328"/>
      <c r="Q101" s="332"/>
      <c r="R101" s="332"/>
      <c r="S101" s="332"/>
      <c r="T101" s="331"/>
      <c r="U101" s="385"/>
      <c r="V101" s="372"/>
      <c r="W101" s="372"/>
      <c r="X101" s="372"/>
      <c r="Y101" s="373"/>
      <c r="Z101" s="385"/>
      <c r="AA101" s="372"/>
      <c r="AB101" s="372"/>
      <c r="AC101" s="372"/>
      <c r="AD101" s="373"/>
      <c r="AE101" s="47"/>
    </row>
    <row r="102" spans="1:31" x14ac:dyDescent="0.2">
      <c r="P102" s="328"/>
      <c r="Q102" s="333"/>
      <c r="R102" s="333"/>
      <c r="S102" s="333"/>
      <c r="U102" s="47"/>
      <c r="V102" s="374"/>
      <c r="W102" s="374"/>
      <c r="X102" s="374"/>
      <c r="Y102" s="47"/>
      <c r="Z102" s="47"/>
      <c r="AA102" s="375"/>
      <c r="AB102" s="375"/>
      <c r="AC102" s="375"/>
      <c r="AD102" s="47"/>
      <c r="AE102" s="47"/>
    </row>
    <row r="103" spans="1:31" x14ac:dyDescent="0.2">
      <c r="E103" s="17"/>
      <c r="O103" s="19"/>
      <c r="P103" s="163"/>
      <c r="Q103" s="388"/>
      <c r="R103" s="388"/>
      <c r="S103" s="388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x14ac:dyDescent="0.2">
      <c r="A104" s="18" t="s">
        <v>260</v>
      </c>
      <c r="B104" s="163" t="s">
        <v>240</v>
      </c>
      <c r="C104" s="20"/>
      <c r="E104" s="165"/>
      <c r="F104" s="38"/>
      <c r="P104" s="328"/>
      <c r="Q104" s="393"/>
      <c r="R104" s="393"/>
      <c r="S104" s="393"/>
      <c r="T104" s="363"/>
      <c r="U104" s="47"/>
      <c r="V104" s="375"/>
      <c r="W104" s="375"/>
      <c r="X104" s="375"/>
      <c r="Y104" s="334"/>
      <c r="Z104" s="47"/>
      <c r="AA104" s="375"/>
      <c r="AB104" s="375"/>
      <c r="AC104" s="375"/>
      <c r="AD104" s="334"/>
      <c r="AE104" s="47"/>
    </row>
    <row r="105" spans="1:31" x14ac:dyDescent="0.2">
      <c r="B105" s="17" t="s">
        <v>310</v>
      </c>
      <c r="P105" s="328"/>
      <c r="Q105" s="331"/>
      <c r="R105" s="331"/>
      <c r="S105" s="331"/>
      <c r="U105" s="47"/>
      <c r="V105" s="47"/>
      <c r="W105" s="47"/>
      <c r="X105" s="47"/>
      <c r="Y105" s="47"/>
      <c r="Z105" s="47"/>
      <c r="AA105" s="373"/>
      <c r="AB105" s="373"/>
      <c r="AC105" s="373"/>
      <c r="AD105" s="47"/>
      <c r="AE105" s="47"/>
    </row>
    <row r="106" spans="1:31" x14ac:dyDescent="0.2">
      <c r="E106" s="26" t="s">
        <v>61</v>
      </c>
      <c r="F106" s="26" t="s">
        <v>62</v>
      </c>
      <c r="G106" s="26" t="s">
        <v>65</v>
      </c>
      <c r="H106" s="26" t="s">
        <v>203</v>
      </c>
      <c r="I106" s="26" t="s">
        <v>55</v>
      </c>
      <c r="P106" s="429"/>
      <c r="Q106" s="430"/>
      <c r="R106" s="430"/>
      <c r="S106" s="430"/>
      <c r="T106" s="334"/>
      <c r="U106" s="47"/>
      <c r="V106" s="131"/>
      <c r="W106" s="131"/>
      <c r="X106" s="131"/>
      <c r="Y106" s="47"/>
      <c r="Z106" s="47"/>
      <c r="AA106" s="131"/>
      <c r="AB106" s="131"/>
      <c r="AC106" s="131"/>
      <c r="AD106" s="47"/>
      <c r="AE106" s="47"/>
    </row>
    <row r="107" spans="1:31" x14ac:dyDescent="0.2">
      <c r="P107" s="429"/>
      <c r="Q107" s="431"/>
      <c r="R107" s="431"/>
      <c r="S107" s="431"/>
      <c r="T107" s="376"/>
      <c r="U107" s="376"/>
      <c r="V107" s="377"/>
      <c r="W107" s="377"/>
      <c r="X107" s="377"/>
      <c r="Y107" s="334"/>
      <c r="Z107" s="47"/>
      <c r="AA107" s="377"/>
      <c r="AB107" s="377"/>
      <c r="AC107" s="377"/>
      <c r="AD107" s="334"/>
      <c r="AE107" s="47"/>
    </row>
    <row r="108" spans="1:31" x14ac:dyDescent="0.2">
      <c r="B108" s="28" t="s">
        <v>17</v>
      </c>
      <c r="E108" s="55">
        <f>SUM('BGS PTY17 Cost Alloc'!W65:W68)</f>
        <v>1764142.3844134002</v>
      </c>
      <c r="G108" s="55">
        <f>SUM('BGS PTY17 Cost Alloc'!G65:G68)*1000</f>
        <v>2209279000</v>
      </c>
      <c r="I108" s="55">
        <f>SUM('BGS PTY17 Cost Alloc'!I65:I68)*1000</f>
        <v>37828000</v>
      </c>
      <c r="P108" s="345"/>
      <c r="Q108" s="432"/>
      <c r="R108" s="432"/>
      <c r="S108" s="432"/>
      <c r="T108" s="334"/>
      <c r="U108" s="345"/>
      <c r="V108" s="378"/>
      <c r="W108" s="378"/>
      <c r="X108" s="378"/>
      <c r="Y108" s="47"/>
      <c r="Z108" s="47"/>
      <c r="AA108" s="378"/>
      <c r="AB108" s="378"/>
      <c r="AC108" s="378"/>
      <c r="AD108" s="47"/>
      <c r="AE108" s="47"/>
    </row>
    <row r="109" spans="1:31" x14ac:dyDescent="0.2">
      <c r="B109" s="77" t="s">
        <v>72</v>
      </c>
      <c r="E109" s="55">
        <f>ROUND(SUMPRODUCT('BGS PTY17 Cost Alloc'!E65:E68,'BGS PTY17 Cost Alloc'!E38:E41)*1000-AVERAGE('BGS PTY17 Cost Alloc'!E38:E41)*E108,0)</f>
        <v>31007842</v>
      </c>
      <c r="H109" s="55">
        <f>SUMPRODUCT('BGS PTY17 Cost Alloc'!H65:H68,'BGS PTY17 Cost Alloc'!H38:H41)*1000</f>
        <v>27069177.699999999</v>
      </c>
      <c r="O109" s="55"/>
      <c r="P109" s="345"/>
      <c r="Q109" s="433"/>
      <c r="R109" s="433"/>
      <c r="S109" s="433"/>
      <c r="T109" s="47"/>
      <c r="U109" s="345"/>
      <c r="V109" s="378"/>
      <c r="W109" s="378"/>
      <c r="X109" s="378"/>
      <c r="Y109" s="47"/>
      <c r="Z109" s="47"/>
      <c r="AA109" s="378"/>
      <c r="AB109" s="378"/>
      <c r="AC109" s="378"/>
      <c r="AD109" s="47"/>
      <c r="AE109" s="47"/>
    </row>
    <row r="110" spans="1:31" x14ac:dyDescent="0.2">
      <c r="B110" s="77" t="s">
        <v>73</v>
      </c>
      <c r="E110" s="55">
        <f>ROUND(SUM('BGS PTY17 Cost Alloc'!E65:E68)*1000,0)-E108-E109</f>
        <v>44871015.615586594</v>
      </c>
      <c r="H110" s="55">
        <f>SUM('BGS PTY17 Cost Alloc'!H65:H68)*1000-H109</f>
        <v>31051822.300000001</v>
      </c>
      <c r="P110" s="345"/>
      <c r="Q110" s="379"/>
      <c r="R110" s="379"/>
      <c r="S110" s="379"/>
      <c r="T110" s="434"/>
      <c r="U110" s="47"/>
      <c r="V110" s="379"/>
      <c r="W110" s="379"/>
      <c r="X110" s="379"/>
      <c r="Y110" s="47"/>
      <c r="Z110" s="47"/>
      <c r="AA110" s="379"/>
      <c r="AB110" s="379"/>
      <c r="AC110" s="379"/>
      <c r="AD110" s="47"/>
      <c r="AE110" s="47"/>
    </row>
    <row r="111" spans="1:31" x14ac:dyDescent="0.2">
      <c r="B111" s="89" t="s">
        <v>142</v>
      </c>
      <c r="F111" s="55">
        <f>ROUND('BGS PTY17 Cost Alloc'!R65,0)*1000</f>
        <v>1966234000</v>
      </c>
      <c r="P111" s="345"/>
      <c r="Q111" s="109"/>
      <c r="R111" s="109"/>
      <c r="S111" s="109"/>
      <c r="U111" s="47"/>
      <c r="V111" s="380"/>
      <c r="W111" s="380"/>
      <c r="X111" s="380"/>
      <c r="Y111" s="47"/>
      <c r="Z111" s="47"/>
      <c r="AA111" s="380"/>
      <c r="AB111" s="380"/>
      <c r="AC111" s="380"/>
      <c r="AD111" s="47"/>
      <c r="AE111" s="47"/>
    </row>
    <row r="112" spans="1:31" x14ac:dyDescent="0.2">
      <c r="B112" s="89" t="s">
        <v>144</v>
      </c>
      <c r="F112" s="55">
        <f>ROUND('BGS PTY17 Cost Alloc'!R66,0)*1000</f>
        <v>1789801000</v>
      </c>
      <c r="O112" s="19"/>
      <c r="P112" s="163"/>
      <c r="Q112" s="388"/>
      <c r="R112" s="388"/>
      <c r="S112" s="388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2" x14ac:dyDescent="0.2">
      <c r="O113" s="19"/>
      <c r="P113" s="163"/>
      <c r="Q113" s="388"/>
      <c r="R113" s="388"/>
      <c r="S113" s="388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2" x14ac:dyDescent="0.2">
      <c r="B114" s="28" t="s">
        <v>18</v>
      </c>
      <c r="E114" s="55">
        <f>'BGS PTY17 Cost Alloc'!W72-E108</f>
        <v>3609561.4574586996</v>
      </c>
      <c r="F114" s="55">
        <f>ROUND('BGS PTY17 Cost Alloc'!F72,0)*1000-SUM(F111:F112)</f>
        <v>5302673000</v>
      </c>
      <c r="G114" s="55">
        <f>'BGS PTY17 Cost Alloc'!G72*1000-G108</f>
        <v>3817801000</v>
      </c>
      <c r="I114" s="55">
        <f>'BGS PTY17 Cost Alloc'!I72*1000-'Composite Cost Allocation'!I108</f>
        <v>75717000</v>
      </c>
      <c r="P114" s="328"/>
      <c r="Q114" s="282"/>
      <c r="R114" s="282"/>
      <c r="S114" s="282"/>
      <c r="T114" s="348"/>
      <c r="U114" s="381"/>
      <c r="V114" s="382"/>
      <c r="W114" s="382"/>
      <c r="X114" s="382"/>
      <c r="Y114" s="47"/>
      <c r="Z114" s="47"/>
      <c r="AA114" s="382"/>
      <c r="AB114" s="382"/>
      <c r="AC114" s="382"/>
      <c r="AD114" s="47"/>
      <c r="AE114" s="47"/>
    </row>
    <row r="115" spans="1:32" x14ac:dyDescent="0.2">
      <c r="B115" s="77" t="s">
        <v>72</v>
      </c>
      <c r="E115" s="55">
        <f>SUMPRODUCT('BGS PTY17 Cost Alloc'!E60:E71,'BGS PTY17 Cost Alloc'!E33:E44)*1000-E109-SUMPRODUCT('BGS PTY17 Cost Alloc'!W60:W71,'BGS PTY17 Cost Alloc'!E33:E44)</f>
        <v>56758896.659629665</v>
      </c>
      <c r="H115" s="55">
        <f>SUMPRODUCT('BGS PTY17 Cost Alloc'!H60:H71,'BGS PTY17 Cost Alloc'!H33:H44)*1000-H109</f>
        <v>47882798.399999991</v>
      </c>
      <c r="P115" s="328"/>
      <c r="Q115" s="282"/>
      <c r="R115" s="282"/>
      <c r="S115" s="282"/>
      <c r="T115" s="348"/>
      <c r="U115" s="381"/>
      <c r="V115" s="382"/>
      <c r="W115" s="382"/>
      <c r="X115" s="382"/>
      <c r="Y115" s="47"/>
      <c r="Z115" s="383"/>
      <c r="AA115" s="382"/>
      <c r="AB115" s="382"/>
      <c r="AC115" s="382"/>
      <c r="AD115" s="47"/>
      <c r="AE115" s="47"/>
    </row>
    <row r="116" spans="1:32" x14ac:dyDescent="0.2">
      <c r="B116" s="77" t="s">
        <v>73</v>
      </c>
      <c r="E116" s="55">
        <f>'BGS PTY17 Cost Alloc'!E72*1000-E108-E109-E110-E114-E115</f>
        <v>103068541.88291162</v>
      </c>
      <c r="H116" s="55">
        <f>'BGS PTY17 Cost Alloc'!H72*1000-H109-H110-H115</f>
        <v>61095201.600000024</v>
      </c>
      <c r="U116" s="47"/>
      <c r="V116" s="47"/>
      <c r="W116" s="47"/>
      <c r="X116" s="47"/>
      <c r="Y116" s="47"/>
      <c r="Z116" s="383"/>
      <c r="AA116" s="383"/>
      <c r="AB116" s="383"/>
      <c r="AC116" s="383"/>
      <c r="AD116" s="383"/>
      <c r="AE116" s="383"/>
    </row>
    <row r="117" spans="1:32" x14ac:dyDescent="0.2">
      <c r="J117" s="26" t="s">
        <v>13</v>
      </c>
      <c r="K117" s="26"/>
      <c r="L117" s="26"/>
      <c r="U117" s="47"/>
      <c r="V117" s="334"/>
      <c r="W117" s="47"/>
      <c r="X117" s="47"/>
      <c r="Y117" s="47"/>
      <c r="Z117" s="383"/>
      <c r="AA117" s="383"/>
      <c r="AB117" s="383"/>
      <c r="AC117" s="383"/>
      <c r="AD117" s="383"/>
      <c r="AE117" s="383"/>
    </row>
    <row r="118" spans="1:32" x14ac:dyDescent="0.2">
      <c r="B118" s="89" t="s">
        <v>162</v>
      </c>
      <c r="E118" s="55">
        <f>SUM(E108:E112)</f>
        <v>77643000</v>
      </c>
      <c r="F118" s="55">
        <f>SUM(F108:F112)</f>
        <v>3756035000</v>
      </c>
      <c r="G118" s="55">
        <f>SUM(G108:G112)</f>
        <v>2209279000</v>
      </c>
      <c r="H118" s="55">
        <f>SUM(H108:H112)</f>
        <v>58121000</v>
      </c>
      <c r="I118" s="55">
        <f>SUM(I108:I112)</f>
        <v>37828000</v>
      </c>
      <c r="J118" s="55">
        <f>SUM(E118:I118)</f>
        <v>6138906000</v>
      </c>
      <c r="K118" s="55"/>
      <c r="L118" s="55"/>
      <c r="Q118" s="343"/>
      <c r="R118" s="344"/>
      <c r="U118" s="47"/>
      <c r="V118" s="334"/>
      <c r="W118" s="386"/>
      <c r="X118" s="47"/>
      <c r="Y118" s="47"/>
      <c r="Z118" s="383"/>
      <c r="AA118" s="383"/>
      <c r="AB118" s="383"/>
      <c r="AC118" s="383"/>
      <c r="AD118" s="383"/>
      <c r="AE118" s="383"/>
    </row>
    <row r="119" spans="1:32" x14ac:dyDescent="0.2">
      <c r="B119" s="89" t="s">
        <v>163</v>
      </c>
      <c r="E119" s="138">
        <f>SUM(E114:E116)</f>
        <v>163437000</v>
      </c>
      <c r="F119" s="138">
        <f>SUM(F114:F116)</f>
        <v>5302673000</v>
      </c>
      <c r="G119" s="281">
        <f>SUM(G114:G116)</f>
        <v>3817801000</v>
      </c>
      <c r="H119" s="281">
        <f>SUM(H114:H116)</f>
        <v>108978000.00000001</v>
      </c>
      <c r="I119" s="281">
        <f>SUM(I114:I116)</f>
        <v>75717000</v>
      </c>
      <c r="J119" s="138">
        <f>SUM(E119:I119)</f>
        <v>9468606000</v>
      </c>
      <c r="K119" s="138"/>
      <c r="L119" s="138"/>
      <c r="U119" s="47"/>
      <c r="V119" s="334"/>
      <c r="W119" s="386"/>
      <c r="X119" s="47"/>
      <c r="Y119" s="47"/>
      <c r="Z119" s="47"/>
      <c r="AA119" s="383"/>
      <c r="AB119" s="383"/>
      <c r="AC119" s="383"/>
      <c r="AD119" s="383"/>
      <c r="AE119" s="383"/>
    </row>
    <row r="120" spans="1:32" ht="13.5" thickBot="1" x14ac:dyDescent="0.25">
      <c r="B120" s="89" t="s">
        <v>164</v>
      </c>
      <c r="E120" s="55">
        <f>SUM(E118:E119)</f>
        <v>241080000</v>
      </c>
      <c r="F120" s="55">
        <f>SUM(F118:F119)</f>
        <v>9058708000</v>
      </c>
      <c r="G120" s="55">
        <f>SUM(G118:G119)</f>
        <v>6027080000</v>
      </c>
      <c r="H120" s="55">
        <f>SUM(H118:H119)</f>
        <v>167099000</v>
      </c>
      <c r="I120" s="55">
        <f>SUM(I118:I119)</f>
        <v>113545000</v>
      </c>
      <c r="J120" s="55">
        <f>SUM(E120:I120)</f>
        <v>15607512000</v>
      </c>
      <c r="K120" s="55"/>
      <c r="L120" s="55"/>
      <c r="O120" s="350"/>
      <c r="P120" s="351" t="s">
        <v>324</v>
      </c>
      <c r="Q120" s="359">
        <v>0.9923991355352767</v>
      </c>
      <c r="R120" s="359">
        <v>0.99224675021895337</v>
      </c>
      <c r="S120" s="359">
        <v>0.99569852534230163</v>
      </c>
      <c r="T120" s="358" t="s">
        <v>255</v>
      </c>
      <c r="U120" s="384"/>
      <c r="V120" s="334"/>
      <c r="W120" s="371"/>
      <c r="X120" s="47"/>
      <c r="Y120" s="47"/>
      <c r="Z120" s="47"/>
      <c r="AA120" s="47"/>
      <c r="AB120" s="47"/>
      <c r="AC120" s="47"/>
      <c r="AD120" s="47"/>
      <c r="AE120" s="47"/>
      <c r="AF120" s="331"/>
    </row>
    <row r="121" spans="1:32" ht="13.5" thickBot="1" x14ac:dyDescent="0.25">
      <c r="P121" s="352"/>
      <c r="Q121" s="353"/>
      <c r="AF121" s="331"/>
    </row>
    <row r="122" spans="1:32" x14ac:dyDescent="0.2">
      <c r="AF122" s="331"/>
    </row>
    <row r="123" spans="1:32" x14ac:dyDescent="0.2">
      <c r="Q123" s="16"/>
    </row>
    <row r="124" spans="1:32" x14ac:dyDescent="0.2">
      <c r="A124" s="18" t="s">
        <v>261</v>
      </c>
      <c r="B124" s="16" t="s">
        <v>96</v>
      </c>
      <c r="P124" s="18"/>
      <c r="Q124" s="16"/>
    </row>
    <row r="125" spans="1:32" x14ac:dyDescent="0.2">
      <c r="A125" s="22"/>
      <c r="B125" s="16"/>
      <c r="P125" s="22"/>
      <c r="Q125" s="16"/>
    </row>
    <row r="126" spans="1:32" x14ac:dyDescent="0.2">
      <c r="A126" s="22"/>
      <c r="B126" s="16" t="s">
        <v>97</v>
      </c>
      <c r="P126" s="18"/>
      <c r="Q126" s="16"/>
    </row>
    <row r="127" spans="1:32" x14ac:dyDescent="0.2">
      <c r="A127" s="22"/>
      <c r="B127" s="17" t="s">
        <v>248</v>
      </c>
      <c r="P127" s="22"/>
      <c r="Q127" s="17"/>
    </row>
    <row r="128" spans="1:32" x14ac:dyDescent="0.2">
      <c r="A128" s="22"/>
      <c r="B128" s="17" t="s">
        <v>21</v>
      </c>
      <c r="P128" s="22"/>
      <c r="Q128" s="17"/>
    </row>
    <row r="129" spans="1:28" x14ac:dyDescent="0.2">
      <c r="A129" s="22"/>
      <c r="C129" s="26"/>
      <c r="D129" s="26"/>
      <c r="E129" s="26" t="str">
        <f>E106</f>
        <v>RT{1}</v>
      </c>
      <c r="F129" s="26" t="str">
        <f>F106</f>
        <v>RS{2}</v>
      </c>
      <c r="G129" s="26" t="str">
        <f>G106</f>
        <v>GS{3}</v>
      </c>
      <c r="H129" s="26" t="str">
        <f>H106</f>
        <v>GST {4}</v>
      </c>
      <c r="I129" s="26" t="str">
        <f>I106</f>
        <v>OL/SL</v>
      </c>
      <c r="J129" s="26"/>
      <c r="K129" s="26"/>
      <c r="L129" s="26"/>
      <c r="P129" s="22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8" x14ac:dyDescent="0.2">
      <c r="A130" s="22"/>
      <c r="C130" s="26"/>
      <c r="D130" s="26"/>
      <c r="E130" s="74"/>
      <c r="F130" s="26"/>
      <c r="G130" s="26"/>
      <c r="P130" s="22"/>
      <c r="R130" s="26"/>
      <c r="S130" s="26"/>
      <c r="T130" s="74"/>
      <c r="U130" s="26"/>
      <c r="V130" s="26"/>
      <c r="AA130" s="26"/>
    </row>
    <row r="131" spans="1:28" x14ac:dyDescent="0.2">
      <c r="A131" s="22"/>
      <c r="B131" s="28" t="s">
        <v>17</v>
      </c>
      <c r="C131" s="74"/>
      <c r="D131" s="74"/>
      <c r="E131" s="74">
        <f>E85*1000/(E108/1000)</f>
        <v>84.943705736976739</v>
      </c>
      <c r="F131" s="74"/>
      <c r="G131" s="74">
        <f>G85*1000/(G108/1000)*S120</f>
        <v>75.677166615942269</v>
      </c>
      <c r="H131" s="74"/>
      <c r="I131" s="74">
        <f>I85*1000/(I108/1000)</f>
        <v>50.286583508114944</v>
      </c>
      <c r="J131" s="74"/>
      <c r="K131" s="74"/>
      <c r="L131" s="74"/>
      <c r="M131" s="74"/>
      <c r="P131" s="22"/>
      <c r="Q131" s="28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8" x14ac:dyDescent="0.2">
      <c r="A132" s="22"/>
      <c r="B132" s="77" t="s">
        <v>72</v>
      </c>
      <c r="C132" s="74"/>
      <c r="D132" s="74"/>
      <c r="E132" s="74">
        <f>E86*1000/(E109/1000)*Q120</f>
        <v>130.71024218857931</v>
      </c>
      <c r="F132" s="74"/>
      <c r="G132" s="74"/>
      <c r="H132" s="74">
        <f>H86*1000/(H109/1000)</f>
        <v>107.76017893685426</v>
      </c>
      <c r="I132" s="74"/>
      <c r="J132" s="74"/>
      <c r="K132" s="74"/>
      <c r="L132" s="74"/>
      <c r="P132" s="22"/>
      <c r="Q132" s="77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</row>
    <row r="133" spans="1:28" x14ac:dyDescent="0.2">
      <c r="A133" s="22"/>
      <c r="B133" s="77" t="s">
        <v>73</v>
      </c>
      <c r="C133" s="74"/>
      <c r="D133" s="74"/>
      <c r="E133" s="74">
        <f>E87*1000/(E110/1000)*Q120</f>
        <v>52.227734423892372</v>
      </c>
      <c r="F133" s="74"/>
      <c r="G133" s="74"/>
      <c r="H133" s="74">
        <f>H87*1000/(H110/1000)</f>
        <v>52.790610578617589</v>
      </c>
      <c r="I133" s="74"/>
      <c r="J133" s="74"/>
      <c r="K133" s="74"/>
      <c r="L133" s="74"/>
      <c r="P133" s="22"/>
      <c r="Q133" s="77"/>
      <c r="R133" s="74"/>
      <c r="S133" s="74"/>
      <c r="T133" s="74"/>
      <c r="U133" s="74"/>
      <c r="V133" s="74"/>
      <c r="W133" s="74"/>
      <c r="X133" s="74"/>
      <c r="Y133" s="74"/>
      <c r="Z133" s="74"/>
      <c r="AA133" s="74"/>
    </row>
    <row r="134" spans="1:28" x14ac:dyDescent="0.2">
      <c r="A134" s="22"/>
      <c r="B134" s="89" t="s">
        <v>142</v>
      </c>
      <c r="C134" s="74"/>
      <c r="D134" s="74"/>
      <c r="E134" s="74"/>
      <c r="F134" s="74">
        <f>F88*1000/(F111/1000)*R120</f>
        <v>72.691841335972669</v>
      </c>
      <c r="G134" s="74"/>
      <c r="H134" s="74"/>
      <c r="I134" s="74"/>
      <c r="J134" s="74"/>
      <c r="K134" s="74"/>
      <c r="L134" s="74"/>
      <c r="P134" s="22"/>
      <c r="Q134" s="89"/>
      <c r="R134" s="74"/>
      <c r="S134" s="74"/>
      <c r="T134" s="74"/>
      <c r="U134" s="74"/>
      <c r="V134" s="74"/>
      <c r="W134" s="74"/>
      <c r="X134" s="74"/>
      <c r="Y134" s="74"/>
      <c r="Z134" s="74"/>
      <c r="AA134" s="74"/>
    </row>
    <row r="135" spans="1:28" x14ac:dyDescent="0.2">
      <c r="A135" s="22"/>
      <c r="B135" s="89" t="s">
        <v>144</v>
      </c>
      <c r="C135" s="74"/>
      <c r="D135" s="74"/>
      <c r="E135" s="74"/>
      <c r="F135" s="74">
        <f>F89*1000/(F112/1000)*R120</f>
        <v>81.276760218867054</v>
      </c>
      <c r="G135" s="119"/>
      <c r="H135" s="74"/>
      <c r="I135" s="74"/>
      <c r="J135" s="74"/>
      <c r="K135" s="74"/>
      <c r="L135" s="74"/>
      <c r="P135" s="22"/>
      <c r="Q135" s="89"/>
      <c r="R135" s="74"/>
      <c r="S135" s="74"/>
      <c r="T135" s="74"/>
      <c r="U135" s="74"/>
      <c r="V135" s="119"/>
      <c r="W135" s="74"/>
      <c r="X135" s="74"/>
      <c r="Y135" s="74"/>
      <c r="Z135" s="74"/>
      <c r="AA135" s="74"/>
    </row>
    <row r="136" spans="1:28" x14ac:dyDescent="0.2">
      <c r="A136" s="22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P136" s="22"/>
      <c r="R136" s="74"/>
      <c r="S136" s="74"/>
      <c r="T136" s="74"/>
      <c r="U136" s="74"/>
      <c r="V136" s="74"/>
      <c r="W136" s="74"/>
      <c r="X136" s="74"/>
      <c r="Y136" s="74"/>
      <c r="Z136" s="74"/>
      <c r="AA136" s="74"/>
    </row>
    <row r="137" spans="1:28" x14ac:dyDescent="0.2">
      <c r="A137" s="22"/>
      <c r="B137" s="28" t="s">
        <v>18</v>
      </c>
      <c r="C137" s="74"/>
      <c r="D137" s="74"/>
      <c r="E137" s="74">
        <f>E91*1000/(E114/1000)</f>
        <v>82.694735223374238</v>
      </c>
      <c r="F137" s="74">
        <f>F91*1000/(F114/1000)*R120</f>
        <v>81.565872635590964</v>
      </c>
      <c r="G137" s="74">
        <f>G91*1000/(G114/1000)*S120</f>
        <v>75.279609263075045</v>
      </c>
      <c r="H137" s="74"/>
      <c r="I137" s="74">
        <f>I91*1000/(I114/1000)</f>
        <v>50.945626641630703</v>
      </c>
      <c r="J137" s="74"/>
      <c r="K137" s="74"/>
      <c r="L137" s="74"/>
      <c r="M137" s="74"/>
      <c r="P137" s="22"/>
      <c r="Q137" s="28"/>
      <c r="R137" s="74"/>
      <c r="S137" s="74"/>
      <c r="T137" s="74"/>
      <c r="U137" s="74"/>
      <c r="V137" s="74"/>
      <c r="W137" s="74"/>
      <c r="X137" s="74"/>
      <c r="Y137" s="74"/>
      <c r="Z137" s="74"/>
      <c r="AA137" s="74"/>
    </row>
    <row r="138" spans="1:28" x14ac:dyDescent="0.2">
      <c r="A138" s="22"/>
      <c r="B138" s="77" t="s">
        <v>72</v>
      </c>
      <c r="C138" s="74"/>
      <c r="D138" s="74"/>
      <c r="E138" s="74">
        <f>E92*1000/(E115/1000)*Q120</f>
        <v>130.950313332457</v>
      </c>
      <c r="F138" s="74"/>
      <c r="G138" s="74"/>
      <c r="H138" s="74">
        <f>H92*1000/(H115/1000)</f>
        <v>105.93384443291697</v>
      </c>
      <c r="I138" s="74"/>
      <c r="J138" s="74"/>
      <c r="K138" s="74"/>
      <c r="L138" s="74"/>
      <c r="P138" s="22"/>
      <c r="Q138" s="77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</row>
    <row r="139" spans="1:28" x14ac:dyDescent="0.2">
      <c r="A139" s="22"/>
      <c r="B139" s="77" t="s">
        <v>73</v>
      </c>
      <c r="C139" s="74"/>
      <c r="D139" s="74"/>
      <c r="E139" s="74">
        <f>E93*1000/(E116/1000)*Q120</f>
        <v>55.144064197462832</v>
      </c>
      <c r="F139" s="74"/>
      <c r="G139" s="74"/>
      <c r="H139" s="74">
        <f>H93*1000/(H116/1000)</f>
        <v>54.64182909785373</v>
      </c>
      <c r="I139" s="74"/>
      <c r="J139" s="74"/>
      <c r="K139" s="74"/>
      <c r="L139" s="74"/>
      <c r="P139" s="22"/>
      <c r="Q139" s="77"/>
      <c r="R139" s="74"/>
      <c r="S139" s="74"/>
      <c r="T139" s="74"/>
      <c r="U139" s="74"/>
      <c r="V139" s="74"/>
      <c r="W139" s="74"/>
      <c r="X139" s="74"/>
      <c r="Y139" s="74"/>
      <c r="Z139" s="74"/>
      <c r="AA139" s="74"/>
    </row>
    <row r="140" spans="1:28" x14ac:dyDescent="0.2">
      <c r="A140" s="22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P140" s="22"/>
      <c r="R140" s="74"/>
      <c r="S140" s="74"/>
      <c r="T140" s="74"/>
      <c r="U140" s="74"/>
      <c r="V140" s="74"/>
      <c r="W140" s="74"/>
      <c r="X140" s="74"/>
      <c r="Y140" s="74"/>
      <c r="Z140" s="74"/>
      <c r="AA140" s="74"/>
    </row>
    <row r="141" spans="1:28" x14ac:dyDescent="0.2">
      <c r="A141" s="22"/>
      <c r="B141" s="13" t="s">
        <v>98</v>
      </c>
      <c r="C141" s="74"/>
      <c r="D141" s="74"/>
      <c r="E141" s="80">
        <f>E98*1000/(E120/1000)*Q120</f>
        <v>82.784570812269735</v>
      </c>
      <c r="F141" s="80">
        <f>F98*1000/(F120/1000)*R120</f>
        <v>79.582601317988221</v>
      </c>
      <c r="G141" s="80">
        <f>G98*1000/(G120/1000)*S120</f>
        <v>75.425337395269253</v>
      </c>
      <c r="H141" s="80">
        <f>H98*1000/(H120/1000)</f>
        <v>77.600623418845629</v>
      </c>
      <c r="I141" s="80">
        <f>I98*1000/(I120/1000)</f>
        <v>50.726063616797958</v>
      </c>
      <c r="J141" s="74"/>
      <c r="K141" s="74"/>
      <c r="L141" s="74"/>
      <c r="M141" s="74"/>
      <c r="P141" s="22"/>
      <c r="R141" s="74"/>
      <c r="S141" s="74"/>
      <c r="T141" s="74"/>
      <c r="U141" s="74"/>
      <c r="V141" s="74"/>
      <c r="W141" s="74"/>
      <c r="X141" s="74"/>
      <c r="Y141" s="74"/>
      <c r="Z141" s="74"/>
      <c r="AA141" s="74"/>
    </row>
    <row r="142" spans="1:28" x14ac:dyDescent="0.2">
      <c r="A142" s="22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P142" s="22"/>
      <c r="R142" s="74"/>
      <c r="S142" s="74"/>
      <c r="T142" s="354"/>
      <c r="U142" s="354"/>
      <c r="V142" s="354"/>
      <c r="W142" s="355"/>
      <c r="X142" s="355"/>
      <c r="Y142" s="74"/>
      <c r="Z142" s="74"/>
      <c r="AA142" s="74"/>
      <c r="AB142" s="74"/>
    </row>
    <row r="143" spans="1:28" x14ac:dyDescent="0.2">
      <c r="A143" s="22"/>
      <c r="B143" s="16" t="s">
        <v>99</v>
      </c>
      <c r="P143" s="22"/>
      <c r="Q143" s="16"/>
      <c r="T143" s="356"/>
      <c r="U143" s="356"/>
      <c r="V143" s="356"/>
      <c r="W143" s="356"/>
      <c r="X143" s="356"/>
      <c r="AA143" s="74"/>
      <c r="AB143" s="74"/>
    </row>
    <row r="144" spans="1:28" x14ac:dyDescent="0.2">
      <c r="A144" s="22"/>
      <c r="B144" s="17" t="s">
        <v>100</v>
      </c>
      <c r="P144" s="22"/>
      <c r="Q144" s="17"/>
    </row>
    <row r="145" spans="1:29" x14ac:dyDescent="0.2">
      <c r="A145" s="22"/>
      <c r="B145" s="17" t="s">
        <v>21</v>
      </c>
      <c r="P145" s="47"/>
      <c r="Q145" s="47"/>
      <c r="R145" s="334"/>
      <c r="S145" s="334"/>
      <c r="T145" s="47"/>
      <c r="U145" s="47"/>
      <c r="V145" s="47"/>
      <c r="W145" s="47"/>
      <c r="X145" s="47"/>
      <c r="Y145" s="47"/>
      <c r="Z145" s="47"/>
    </row>
    <row r="146" spans="1:29" x14ac:dyDescent="0.2">
      <c r="A146" s="22"/>
      <c r="B146" s="77"/>
      <c r="C146" s="74"/>
      <c r="D146" s="74"/>
      <c r="I146" s="89"/>
      <c r="J146" s="80"/>
      <c r="K146" s="80"/>
      <c r="L146" s="80"/>
      <c r="M146" s="93"/>
      <c r="P146" s="47"/>
      <c r="Q146" s="335"/>
      <c r="R146" s="336"/>
      <c r="S146" s="336"/>
      <c r="T146" s="221"/>
      <c r="U146" s="221"/>
      <c r="V146" s="47"/>
      <c r="W146" s="47"/>
      <c r="X146" s="114"/>
      <c r="Y146" s="337"/>
      <c r="Z146" s="337"/>
    </row>
    <row r="147" spans="1:29" x14ac:dyDescent="0.2">
      <c r="A147" s="22"/>
      <c r="C147" s="74"/>
      <c r="D147" s="74"/>
      <c r="P147" s="47"/>
      <c r="Q147" s="221"/>
      <c r="R147" s="336"/>
      <c r="S147" s="336"/>
      <c r="T147" s="221"/>
      <c r="U147" s="221"/>
      <c r="V147" s="221"/>
      <c r="W147" s="221"/>
      <c r="X147" s="221"/>
      <c r="Y147" s="221"/>
      <c r="Z147" s="221"/>
      <c r="AA147" s="80"/>
      <c r="AB147" s="93"/>
    </row>
    <row r="148" spans="1:29" x14ac:dyDescent="0.2">
      <c r="A148" s="22"/>
      <c r="B148" s="37" t="s">
        <v>101</v>
      </c>
      <c r="C148" s="74"/>
      <c r="D148" s="74"/>
      <c r="I148" s="96"/>
      <c r="M148" s="93"/>
      <c r="P148" s="47"/>
      <c r="Q148" s="338"/>
      <c r="R148" s="336"/>
      <c r="S148" s="336"/>
      <c r="T148" s="221"/>
      <c r="U148" s="221"/>
      <c r="V148" s="221"/>
      <c r="W148" s="221"/>
      <c r="X148" s="221"/>
      <c r="Y148" s="221"/>
      <c r="Z148" s="221"/>
    </row>
    <row r="149" spans="1:29" x14ac:dyDescent="0.2">
      <c r="A149" s="22"/>
      <c r="B149" s="77"/>
      <c r="C149" s="74"/>
      <c r="D149" s="74"/>
      <c r="I149" s="89"/>
      <c r="J149" s="97"/>
      <c r="K149" s="97"/>
      <c r="L149" s="97"/>
      <c r="M149" s="93"/>
      <c r="P149" s="47"/>
      <c r="Q149" s="335"/>
      <c r="R149" s="336"/>
      <c r="S149" s="336"/>
      <c r="T149" s="221"/>
      <c r="U149" s="221"/>
      <c r="V149" s="221"/>
      <c r="W149" s="221"/>
      <c r="X149" s="221"/>
      <c r="Y149" s="221"/>
      <c r="Z149" s="221"/>
      <c r="AB149" s="93"/>
    </row>
    <row r="150" spans="1:29" x14ac:dyDescent="0.2">
      <c r="A150" s="22"/>
      <c r="B150" s="16" t="s">
        <v>102</v>
      </c>
      <c r="C150" s="74"/>
      <c r="D150" s="74"/>
      <c r="P150" s="47"/>
      <c r="Q150" s="335"/>
      <c r="R150" s="336"/>
      <c r="S150" s="336"/>
      <c r="T150" s="221"/>
      <c r="U150" s="221"/>
      <c r="V150" s="221"/>
      <c r="W150" s="221"/>
      <c r="X150" s="221"/>
      <c r="Y150" s="221"/>
      <c r="Z150" s="221"/>
    </row>
    <row r="151" spans="1:29" x14ac:dyDescent="0.2">
      <c r="A151" s="22"/>
      <c r="B151" s="89" t="s">
        <v>103</v>
      </c>
      <c r="C151" s="84">
        <f>J98</f>
        <v>1221944.316884784</v>
      </c>
      <c r="G151" s="81"/>
      <c r="P151" s="47"/>
      <c r="Q151" s="335"/>
      <c r="R151" s="336"/>
      <c r="S151" s="336"/>
      <c r="T151" s="221"/>
      <c r="U151" s="221"/>
      <c r="V151" s="221"/>
      <c r="W151" s="221"/>
      <c r="X151" s="221"/>
      <c r="Y151" s="221"/>
      <c r="Z151" s="221"/>
    </row>
    <row r="152" spans="1:29" x14ac:dyDescent="0.2">
      <c r="A152" s="22"/>
      <c r="C152" s="89" t="s">
        <v>104</v>
      </c>
      <c r="D152" s="95">
        <f>+C151/SUMPRODUCT('BGS PTY17 Cost Alloc'!E72:I72,'BGS PTY17 Cost Alloc'!E95:I95)*1000</f>
        <v>70.028727446064408</v>
      </c>
      <c r="E152" s="13" t="s">
        <v>105</v>
      </c>
      <c r="I152" s="13" t="s">
        <v>255</v>
      </c>
      <c r="P152" s="47"/>
      <c r="Q152" s="335"/>
      <c r="R152" s="336"/>
      <c r="S152" s="336"/>
      <c r="T152" s="221"/>
      <c r="U152" s="221"/>
      <c r="V152" s="221"/>
      <c r="W152" s="221"/>
      <c r="X152" s="221"/>
      <c r="Y152" s="221"/>
      <c r="Z152" s="221"/>
    </row>
    <row r="153" spans="1:29" x14ac:dyDescent="0.2">
      <c r="A153" s="22"/>
      <c r="B153" s="237"/>
      <c r="C153" s="244" t="s">
        <v>269</v>
      </c>
      <c r="D153" s="245">
        <f>C151/SUMPRODUCT('BGS PTY17 Cost Alloc'!E72:I72,'BGS PTY17 Cost Alloc'!E98:I98)*1000</f>
        <v>70.561722023738994</v>
      </c>
      <c r="E153" s="237" t="s">
        <v>268</v>
      </c>
      <c r="F153" s="237"/>
      <c r="G153" s="237"/>
      <c r="H153" s="237"/>
      <c r="I153" s="237"/>
      <c r="J153" s="247"/>
      <c r="K153" s="247"/>
      <c r="L153" s="247"/>
      <c r="R153" s="89"/>
      <c r="S153" s="95"/>
      <c r="Y153" s="247"/>
      <c r="Z153" s="247"/>
    </row>
    <row r="154" spans="1:29" ht="15.75" x14ac:dyDescent="0.25">
      <c r="A154" s="22"/>
      <c r="B154" s="435" t="str">
        <f>$B$1</f>
        <v xml:space="preserve">Jersey Central Power &amp; Light </v>
      </c>
      <c r="C154" s="435"/>
      <c r="D154" s="435"/>
      <c r="E154" s="435"/>
      <c r="F154" s="435"/>
      <c r="G154" s="435"/>
      <c r="H154" s="435"/>
      <c r="I154" s="435"/>
      <c r="J154" s="435"/>
      <c r="K154" s="435"/>
      <c r="L154" s="435"/>
      <c r="M154" s="435"/>
      <c r="N154" s="435"/>
      <c r="P154" s="22"/>
      <c r="Q154" s="414"/>
      <c r="R154" s="414"/>
      <c r="S154" s="414"/>
      <c r="T154" s="414"/>
      <c r="U154" s="414"/>
      <c r="V154" s="414"/>
      <c r="W154" s="414"/>
      <c r="X154" s="414"/>
      <c r="Y154" s="414"/>
      <c r="Z154" s="346"/>
      <c r="AA154" s="247"/>
    </row>
    <row r="155" spans="1:29" ht="15.75" x14ac:dyDescent="0.25">
      <c r="A155" s="22"/>
      <c r="B155" s="435" t="str">
        <f>$B$2</f>
        <v>Attachment 2</v>
      </c>
      <c r="C155" s="435"/>
      <c r="D155" s="435"/>
      <c r="E155" s="435"/>
      <c r="F155" s="435"/>
      <c r="G155" s="435"/>
      <c r="H155" s="435"/>
      <c r="I155" s="435"/>
      <c r="J155" s="435"/>
      <c r="K155" s="435"/>
      <c r="L155" s="435"/>
      <c r="M155" s="435"/>
      <c r="N155" s="435"/>
      <c r="P155" s="22"/>
      <c r="Q155" s="414"/>
      <c r="R155" s="414"/>
      <c r="S155" s="414"/>
      <c r="T155" s="414"/>
      <c r="U155" s="414"/>
      <c r="V155" s="414"/>
      <c r="W155" s="414"/>
      <c r="X155" s="414"/>
      <c r="Y155" s="414"/>
      <c r="Z155" s="346"/>
      <c r="AA155" s="346"/>
      <c r="AB155" s="346"/>
      <c r="AC155" s="346"/>
    </row>
    <row r="156" spans="1:29" ht="15.75" x14ac:dyDescent="0.25">
      <c r="A156" s="22"/>
      <c r="B156" s="357"/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7"/>
      <c r="P156" s="22"/>
      <c r="Q156" s="414"/>
      <c r="R156" s="414"/>
      <c r="S156" s="414"/>
      <c r="T156" s="414"/>
      <c r="U156" s="414"/>
      <c r="V156" s="414"/>
      <c r="W156" s="414"/>
      <c r="X156" s="414"/>
      <c r="Y156" s="414"/>
      <c r="Z156" s="357"/>
      <c r="AA156" s="357"/>
      <c r="AB156" s="357"/>
      <c r="AC156" s="357"/>
    </row>
    <row r="157" spans="1:29" x14ac:dyDescent="0.2">
      <c r="A157" s="18" t="s">
        <v>262</v>
      </c>
      <c r="B157" s="243" t="s">
        <v>272</v>
      </c>
      <c r="C157" s="237"/>
      <c r="D157" s="237"/>
      <c r="E157" s="237"/>
      <c r="F157" s="237"/>
      <c r="G157" s="237"/>
      <c r="H157" s="237"/>
      <c r="I157" s="237"/>
      <c r="J157" s="16" t="s">
        <v>255</v>
      </c>
      <c r="K157" s="16"/>
      <c r="L157" s="16"/>
      <c r="M157" s="16"/>
      <c r="N157" s="16"/>
      <c r="P157" s="18"/>
      <c r="Q157" s="16"/>
      <c r="U157" s="321" t="s">
        <v>255</v>
      </c>
      <c r="Y157" s="16"/>
      <c r="Z157" s="16"/>
    </row>
    <row r="158" spans="1:29" x14ac:dyDescent="0.2">
      <c r="A158" s="22"/>
      <c r="B158" s="243"/>
      <c r="C158" s="237"/>
      <c r="D158" s="237"/>
      <c r="E158" s="237"/>
      <c r="F158" s="237"/>
      <c r="G158" s="237"/>
      <c r="H158" s="237"/>
      <c r="I158" s="237"/>
      <c r="P158" s="22"/>
      <c r="Q158" s="16"/>
      <c r="AA158" s="16"/>
      <c r="AB158" s="16"/>
      <c r="AC158" s="16"/>
    </row>
    <row r="159" spans="1:29" x14ac:dyDescent="0.2">
      <c r="A159" s="22"/>
      <c r="B159" s="243" t="s">
        <v>97</v>
      </c>
      <c r="C159" s="237"/>
      <c r="D159" s="237"/>
      <c r="E159" s="237"/>
      <c r="F159" s="237"/>
      <c r="G159" s="237"/>
      <c r="H159" s="237"/>
      <c r="I159" s="237"/>
      <c r="P159" s="22"/>
      <c r="Q159" s="16"/>
    </row>
    <row r="160" spans="1:29" x14ac:dyDescent="0.2">
      <c r="A160" s="22"/>
      <c r="B160" s="252" t="s">
        <v>249</v>
      </c>
      <c r="C160" s="237"/>
      <c r="D160" s="237"/>
      <c r="E160" s="237"/>
      <c r="F160" s="237"/>
      <c r="G160" s="237"/>
      <c r="H160" s="237"/>
      <c r="I160" s="237"/>
      <c r="P160" s="22"/>
      <c r="Q160" s="17"/>
    </row>
    <row r="161" spans="1:29" x14ac:dyDescent="0.2">
      <c r="A161" s="22"/>
      <c r="B161" s="243"/>
      <c r="C161" s="237"/>
      <c r="D161" s="237"/>
      <c r="E161" s="237"/>
      <c r="F161" s="237"/>
      <c r="G161" s="237"/>
      <c r="H161" s="237"/>
      <c r="I161" s="237"/>
      <c r="P161" s="22"/>
      <c r="Q161" s="16"/>
    </row>
    <row r="162" spans="1:29" x14ac:dyDescent="0.2">
      <c r="A162" s="22"/>
      <c r="B162" s="237"/>
      <c r="C162" s="240"/>
      <c r="D162" s="240"/>
      <c r="E162" s="240" t="str">
        <f>+E$10</f>
        <v>RT{1}</v>
      </c>
      <c r="F162" s="240" t="str">
        <f>+F$10</f>
        <v>RS{2}</v>
      </c>
      <c r="G162" s="240" t="str">
        <f>+G$10</f>
        <v>GS{3}</v>
      </c>
      <c r="H162" s="240" t="str">
        <f>+H$10</f>
        <v>GST {4}</v>
      </c>
      <c r="I162" s="240" t="str">
        <f>+I$10</f>
        <v>OL/SL</v>
      </c>
      <c r="J162" s="26"/>
      <c r="K162" s="26"/>
      <c r="L162" s="26"/>
      <c r="M162" s="26"/>
      <c r="N162" s="26"/>
      <c r="P162" s="22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9" x14ac:dyDescent="0.2">
      <c r="A163" s="22"/>
      <c r="B163" s="237"/>
      <c r="C163" s="240"/>
      <c r="D163" s="240"/>
      <c r="E163" s="240"/>
      <c r="F163" s="240"/>
      <c r="G163" s="240"/>
      <c r="H163" s="237"/>
      <c r="I163" s="237"/>
      <c r="P163" s="22"/>
      <c r="R163" s="26"/>
      <c r="S163" s="26"/>
      <c r="T163" s="26"/>
      <c r="U163" s="26"/>
      <c r="V163" s="26"/>
      <c r="AA163" s="26"/>
      <c r="AB163" s="26"/>
      <c r="AC163" s="26"/>
    </row>
    <row r="164" spans="1:29" x14ac:dyDescent="0.2">
      <c r="A164" s="22"/>
      <c r="B164" s="253" t="s">
        <v>17</v>
      </c>
      <c r="C164" s="254"/>
      <c r="D164" s="254"/>
      <c r="E164" s="255">
        <f>+ROUND(E131/$D$153,3)</f>
        <v>1.204</v>
      </c>
      <c r="F164" s="255">
        <f>ROUND((F88+F89)*R120*1000000/(F111+F112)/D153,3)</f>
        <v>1.0880000000000001</v>
      </c>
      <c r="G164" s="255">
        <f>+ROUND(G131/$D$153,3)</f>
        <v>1.0720000000000001</v>
      </c>
      <c r="H164" s="255"/>
      <c r="I164" s="255">
        <f>+ROUND(I131/$D$153,3)</f>
        <v>0.71299999999999997</v>
      </c>
      <c r="J164" s="98"/>
      <c r="K164" s="98"/>
      <c r="L164" s="98"/>
      <c r="M164" s="98"/>
      <c r="N164" s="98"/>
      <c r="P164" s="22"/>
      <c r="Q164" s="28"/>
      <c r="R164" s="98"/>
      <c r="S164" s="98"/>
      <c r="T164" s="123"/>
      <c r="U164" s="123"/>
      <c r="V164" s="123"/>
      <c r="W164" s="123"/>
      <c r="X164" s="123"/>
      <c r="Y164" s="98"/>
      <c r="Z164" s="98"/>
    </row>
    <row r="165" spans="1:29" x14ac:dyDescent="0.2">
      <c r="A165" s="22"/>
      <c r="B165" s="256" t="s">
        <v>72</v>
      </c>
      <c r="C165" s="257"/>
      <c r="D165" s="257"/>
      <c r="E165" s="255">
        <f>+ROUND(E132/$D$153,3)</f>
        <v>1.8520000000000001</v>
      </c>
      <c r="F165" s="258"/>
      <c r="G165" s="258"/>
      <c r="H165" s="255">
        <f>+ROUND(H132/$D$153,3)</f>
        <v>1.5269999999999999</v>
      </c>
      <c r="I165" s="258"/>
      <c r="J165" s="100"/>
      <c r="K165" s="100"/>
      <c r="L165" s="100"/>
      <c r="M165" s="100"/>
      <c r="N165" s="100"/>
      <c r="P165" s="22"/>
      <c r="Q165" s="77"/>
      <c r="R165" s="100"/>
      <c r="S165" s="100"/>
      <c r="T165" s="123"/>
      <c r="U165" s="124"/>
      <c r="V165" s="124"/>
      <c r="W165" s="123"/>
      <c r="X165" s="124"/>
      <c r="Y165" s="100"/>
      <c r="Z165" s="100"/>
      <c r="AA165" s="98"/>
      <c r="AB165" s="98"/>
      <c r="AC165" s="98"/>
    </row>
    <row r="166" spans="1:29" x14ac:dyDescent="0.2">
      <c r="A166" s="22"/>
      <c r="B166" s="256" t="s">
        <v>73</v>
      </c>
      <c r="C166" s="257"/>
      <c r="D166" s="257"/>
      <c r="E166" s="255">
        <f>+ROUND(E133/$D$153,3)</f>
        <v>0.74</v>
      </c>
      <c r="F166" s="258"/>
      <c r="G166" s="258"/>
      <c r="H166" s="255">
        <f>+ROUND(H133/$D$153,3)</f>
        <v>0.748</v>
      </c>
      <c r="I166" s="258"/>
      <c r="J166" s="100"/>
      <c r="K166" s="100"/>
      <c r="L166" s="100"/>
      <c r="M166" s="100"/>
      <c r="N166" s="100"/>
      <c r="O166" s="124">
        <v>77.255882363524904</v>
      </c>
      <c r="P166" s="22"/>
      <c r="Q166" s="77"/>
      <c r="R166" s="100"/>
      <c r="S166" s="100"/>
      <c r="T166" s="123"/>
      <c r="U166" s="124"/>
      <c r="V166" s="124"/>
      <c r="W166" s="123"/>
      <c r="X166" s="124"/>
      <c r="Y166" s="100"/>
      <c r="Z166" s="124"/>
      <c r="AA166" s="100"/>
      <c r="AB166" s="100"/>
      <c r="AC166" s="100"/>
    </row>
    <row r="167" spans="1:29" x14ac:dyDescent="0.2">
      <c r="A167" s="22"/>
      <c r="B167" s="77"/>
      <c r="C167" s="100"/>
      <c r="D167" s="100"/>
      <c r="E167" s="123"/>
      <c r="G167" s="124"/>
      <c r="H167" s="123"/>
      <c r="I167" s="124"/>
      <c r="K167" s="124"/>
      <c r="L167" s="124"/>
      <c r="M167" s="124"/>
      <c r="N167" s="124"/>
      <c r="O167" s="124">
        <v>73.133088446002844</v>
      </c>
      <c r="P167" s="22"/>
      <c r="Q167" s="77"/>
      <c r="R167" s="100"/>
      <c r="S167" s="100"/>
      <c r="T167" s="123"/>
      <c r="V167" s="124"/>
      <c r="W167" s="123"/>
      <c r="X167" s="124"/>
      <c r="Z167" s="124"/>
      <c r="AA167" s="100"/>
      <c r="AB167" s="100"/>
      <c r="AC167" s="100"/>
    </row>
    <row r="168" spans="1:29" x14ac:dyDescent="0.2">
      <c r="A168" s="22"/>
      <c r="B168" s="77"/>
      <c r="C168" s="100"/>
      <c r="D168" s="100"/>
      <c r="E168" s="123"/>
      <c r="G168" s="124"/>
      <c r="H168" s="123"/>
      <c r="I168" s="124"/>
      <c r="K168" s="124"/>
      <c r="L168" s="124"/>
      <c r="M168" s="124"/>
      <c r="N168" s="124"/>
      <c r="O168" s="124">
        <v>81.785088446002831</v>
      </c>
      <c r="P168" s="22"/>
      <c r="Q168" s="77"/>
      <c r="R168" s="100"/>
      <c r="S168" s="100"/>
      <c r="T168" s="123"/>
      <c r="V168" s="124"/>
      <c r="W168" s="123"/>
      <c r="X168" s="124"/>
      <c r="Z168" s="124"/>
      <c r="AA168" s="124"/>
      <c r="AB168" s="124"/>
      <c r="AC168" s="124"/>
    </row>
    <row r="169" spans="1:29" x14ac:dyDescent="0.2">
      <c r="A169" s="22"/>
      <c r="C169" s="113"/>
      <c r="D169" s="113"/>
      <c r="E169" s="125" t="s">
        <v>156</v>
      </c>
      <c r="F169" s="123">
        <f>ROUND(O167-O166,3)</f>
        <v>-4.1230000000000002</v>
      </c>
      <c r="G169" s="124"/>
      <c r="H169" s="123"/>
      <c r="I169" s="124"/>
      <c r="J169" s="100"/>
      <c r="K169" s="100"/>
      <c r="L169" s="100"/>
      <c r="M169" s="100"/>
      <c r="N169" s="100"/>
      <c r="P169" s="22"/>
      <c r="R169" s="113"/>
      <c r="S169" s="113"/>
      <c r="T169" s="125"/>
      <c r="U169" s="123"/>
      <c r="V169" s="124"/>
      <c r="W169" s="123"/>
      <c r="X169" s="124"/>
      <c r="Y169" s="100"/>
      <c r="Z169" s="100"/>
      <c r="AA169" s="100"/>
      <c r="AB169" s="100"/>
      <c r="AC169" s="100"/>
    </row>
    <row r="170" spans="1:29" x14ac:dyDescent="0.2">
      <c r="A170" s="22"/>
      <c r="C170" s="113"/>
      <c r="D170" s="113"/>
      <c r="E170" s="125" t="s">
        <v>157</v>
      </c>
      <c r="F170" s="123">
        <f>ROUND(O168-O166,3)</f>
        <v>4.5289999999999999</v>
      </c>
      <c r="G170" s="124"/>
      <c r="H170" s="123"/>
      <c r="I170" s="124"/>
      <c r="J170" s="100"/>
      <c r="K170" s="100"/>
      <c r="L170" s="100"/>
      <c r="M170" s="100"/>
      <c r="N170" s="100"/>
      <c r="P170" s="22"/>
      <c r="R170" s="113"/>
      <c r="S170" s="113"/>
      <c r="T170" s="125"/>
      <c r="U170" s="123"/>
      <c r="V170" s="124"/>
      <c r="W170" s="123"/>
      <c r="X170" s="124"/>
      <c r="Y170" s="100"/>
      <c r="Z170" s="100"/>
      <c r="AA170" s="100"/>
      <c r="AB170" s="100"/>
      <c r="AC170" s="100"/>
    </row>
    <row r="171" spans="1:29" x14ac:dyDescent="0.2">
      <c r="A171" s="22"/>
      <c r="C171" s="100"/>
      <c r="D171" s="100"/>
      <c r="E171" s="124"/>
      <c r="F171" s="124"/>
      <c r="G171" s="124"/>
      <c r="H171" s="124"/>
      <c r="I171" s="124"/>
      <c r="J171" s="100"/>
      <c r="K171" s="100"/>
      <c r="L171" s="100"/>
      <c r="M171" s="100"/>
      <c r="N171" s="100"/>
      <c r="P171" s="22"/>
      <c r="R171" s="100"/>
      <c r="S171" s="100"/>
      <c r="T171" s="124"/>
      <c r="U171" s="124"/>
      <c r="V171" s="124"/>
      <c r="W171" s="124"/>
      <c r="X171" s="124"/>
      <c r="Y171" s="100"/>
      <c r="Z171" s="100"/>
      <c r="AA171" s="100"/>
      <c r="AB171" s="100"/>
      <c r="AC171" s="100"/>
    </row>
    <row r="172" spans="1:29" x14ac:dyDescent="0.2">
      <c r="A172" s="22"/>
      <c r="B172" s="253" t="s">
        <v>18</v>
      </c>
      <c r="C172" s="254"/>
      <c r="D172" s="254"/>
      <c r="E172" s="255">
        <f>ROUND(E137/$D$153,3)</f>
        <v>1.1719999999999999</v>
      </c>
      <c r="F172" s="255">
        <f>ROUND(F137/$D$153,3)</f>
        <v>1.1559999999999999</v>
      </c>
      <c r="G172" s="255">
        <f>ROUND(G137/$D$153,3)</f>
        <v>1.0669999999999999</v>
      </c>
      <c r="H172" s="255"/>
      <c r="I172" s="255">
        <f>ROUND(I137/$D$153,3)</f>
        <v>0.72199999999999998</v>
      </c>
      <c r="J172" s="98"/>
      <c r="K172" s="98"/>
      <c r="L172" s="98"/>
      <c r="M172" s="98"/>
      <c r="N172" s="98"/>
      <c r="P172" s="22"/>
      <c r="Q172" s="28"/>
      <c r="R172" s="98"/>
      <c r="S172" s="98"/>
      <c r="T172" s="123"/>
      <c r="U172" s="123"/>
      <c r="V172" s="123"/>
      <c r="W172" s="123"/>
      <c r="X172" s="123"/>
      <c r="Y172" s="98"/>
      <c r="Z172" s="98"/>
      <c r="AA172" s="100"/>
      <c r="AB172" s="100"/>
      <c r="AC172" s="100"/>
    </row>
    <row r="173" spans="1:29" x14ac:dyDescent="0.2">
      <c r="A173" s="22"/>
      <c r="B173" s="256" t="s">
        <v>72</v>
      </c>
      <c r="C173" s="257"/>
      <c r="D173" s="257"/>
      <c r="E173" s="255">
        <f>ROUND(E138/$D$153,3)</f>
        <v>1.8560000000000001</v>
      </c>
      <c r="F173" s="258"/>
      <c r="G173" s="258"/>
      <c r="H173" s="255">
        <f>ROUND(H138/$D$153,3)</f>
        <v>1.5009999999999999</v>
      </c>
      <c r="I173" s="258"/>
      <c r="J173" s="100"/>
      <c r="K173" s="100"/>
      <c r="L173" s="100"/>
      <c r="M173" s="100"/>
      <c r="N173" s="100"/>
      <c r="P173" s="22"/>
      <c r="Q173" s="77"/>
      <c r="R173" s="100"/>
      <c r="S173" s="100"/>
      <c r="T173" s="123"/>
      <c r="U173" s="124"/>
      <c r="V173" s="124"/>
      <c r="W173" s="123"/>
      <c r="X173" s="124"/>
      <c r="Y173" s="100"/>
      <c r="Z173" s="100"/>
      <c r="AA173" s="98"/>
      <c r="AB173" s="98"/>
      <c r="AC173" s="98"/>
    </row>
    <row r="174" spans="1:29" x14ac:dyDescent="0.2">
      <c r="A174" s="22"/>
      <c r="B174" s="256" t="s">
        <v>73</v>
      </c>
      <c r="C174" s="257"/>
      <c r="D174" s="257"/>
      <c r="E174" s="255">
        <f>ROUND(E139/$D$153,3)</f>
        <v>0.78200000000000003</v>
      </c>
      <c r="F174" s="258"/>
      <c r="G174" s="258"/>
      <c r="H174" s="255">
        <f>ROUND(H139/$D$153,3)</f>
        <v>0.77400000000000002</v>
      </c>
      <c r="I174" s="258"/>
      <c r="J174" s="100"/>
      <c r="K174" s="100"/>
      <c r="L174" s="100"/>
      <c r="M174" s="100"/>
      <c r="N174" s="100"/>
      <c r="P174" s="22"/>
      <c r="Q174" s="77"/>
      <c r="R174" s="100"/>
      <c r="S174" s="100"/>
      <c r="T174" s="123"/>
      <c r="U174" s="124"/>
      <c r="V174" s="124"/>
      <c r="W174" s="123"/>
      <c r="X174" s="124"/>
      <c r="Y174" s="100"/>
      <c r="Z174" s="100"/>
      <c r="AA174" s="100"/>
      <c r="AB174" s="100"/>
      <c r="AC174" s="100"/>
    </row>
    <row r="175" spans="1:29" x14ac:dyDescent="0.2">
      <c r="A175" s="22"/>
      <c r="B175" s="237"/>
      <c r="C175" s="259"/>
      <c r="D175" s="259"/>
      <c r="E175" s="260"/>
      <c r="F175" s="260"/>
      <c r="G175" s="260"/>
      <c r="H175" s="260"/>
      <c r="I175" s="260"/>
      <c r="J175" s="99"/>
      <c r="K175" s="99"/>
      <c r="L175" s="99"/>
      <c r="M175" s="99"/>
      <c r="N175" s="99"/>
      <c r="P175" s="22"/>
      <c r="R175" s="99"/>
      <c r="S175" s="99"/>
      <c r="T175" s="427"/>
      <c r="U175" s="427"/>
      <c r="V175" s="427"/>
      <c r="W175" s="427"/>
      <c r="X175" s="427"/>
      <c r="Y175" s="99"/>
      <c r="Z175" s="99"/>
      <c r="AA175" s="100"/>
      <c r="AB175" s="100"/>
      <c r="AC175" s="100"/>
    </row>
    <row r="176" spans="1:29" x14ac:dyDescent="0.2">
      <c r="A176" s="22"/>
      <c r="B176" s="237" t="s">
        <v>107</v>
      </c>
      <c r="C176" s="259"/>
      <c r="D176" s="259"/>
      <c r="E176" s="261">
        <f>ROUND(E141/$D$153,3)</f>
        <v>1.173</v>
      </c>
      <c r="F176" s="261">
        <f>ROUND(F141/$D$153,3)</f>
        <v>1.1279999999999999</v>
      </c>
      <c r="G176" s="261">
        <f>ROUND(G141/$D$153,3)</f>
        <v>1.069</v>
      </c>
      <c r="H176" s="261">
        <f>ROUND(H141/$D$153,3)</f>
        <v>1.1000000000000001</v>
      </c>
      <c r="I176" s="261">
        <f>ROUND(I141/$D$153,3)</f>
        <v>0.71899999999999997</v>
      </c>
      <c r="J176" s="99"/>
      <c r="K176" s="99"/>
      <c r="L176" s="99"/>
      <c r="M176" s="99"/>
      <c r="N176" s="99"/>
      <c r="P176" s="22"/>
      <c r="R176" s="99"/>
      <c r="S176" s="99"/>
      <c r="T176" s="428"/>
      <c r="U176" s="428"/>
      <c r="V176" s="428"/>
      <c r="W176" s="428"/>
      <c r="X176" s="428"/>
      <c r="Y176" s="99"/>
      <c r="Z176" s="99"/>
      <c r="AA176" s="99"/>
      <c r="AB176" s="99"/>
      <c r="AC176" s="99"/>
    </row>
    <row r="177" spans="1:29" x14ac:dyDescent="0.2">
      <c r="A177" s="22"/>
      <c r="P177" s="22"/>
      <c r="AA177" s="99"/>
      <c r="AB177" s="99"/>
      <c r="AC177" s="99"/>
    </row>
    <row r="178" spans="1:29" x14ac:dyDescent="0.2">
      <c r="A178" s="22"/>
      <c r="P178" s="22"/>
    </row>
    <row r="179" spans="1:29" x14ac:dyDescent="0.2">
      <c r="A179" s="22"/>
      <c r="B179" s="16"/>
      <c r="P179" s="22"/>
      <c r="Q179" s="16"/>
    </row>
    <row r="180" spans="1:29" x14ac:dyDescent="0.2">
      <c r="A180" s="22"/>
      <c r="B180" s="17"/>
      <c r="P180" s="22"/>
      <c r="Q180" s="17"/>
    </row>
    <row r="181" spans="1:29" x14ac:dyDescent="0.2">
      <c r="A181" s="22"/>
      <c r="B181" s="21"/>
      <c r="P181" s="22"/>
      <c r="Q181" s="21"/>
    </row>
    <row r="182" spans="1:29" x14ac:dyDescent="0.2">
      <c r="A182" s="22"/>
      <c r="B182" s="37"/>
      <c r="C182" s="26"/>
      <c r="D182" s="26"/>
      <c r="E182" s="26"/>
      <c r="F182" s="26"/>
      <c r="I182" s="16"/>
      <c r="P182" s="22"/>
      <c r="Q182" s="37"/>
      <c r="R182" s="26"/>
      <c r="S182" s="26"/>
      <c r="T182" s="26"/>
      <c r="U182" s="26"/>
      <c r="X182" s="16"/>
    </row>
    <row r="183" spans="1:29" x14ac:dyDescent="0.2">
      <c r="A183" s="12" t="s">
        <v>255</v>
      </c>
      <c r="P183" s="12"/>
    </row>
    <row r="184" spans="1:29" x14ac:dyDescent="0.2">
      <c r="B184" s="321"/>
      <c r="E184" s="71"/>
      <c r="F184" s="71"/>
      <c r="G184" s="71"/>
      <c r="H184" s="71"/>
      <c r="I184" s="71"/>
      <c r="Q184" s="321"/>
      <c r="T184" s="71"/>
      <c r="U184" s="71"/>
      <c r="V184" s="71"/>
      <c r="W184" s="71"/>
      <c r="X184" s="71"/>
    </row>
    <row r="185" spans="1:29" x14ac:dyDescent="0.2">
      <c r="B185" s="28"/>
      <c r="E185" s="329"/>
      <c r="G185" s="339"/>
      <c r="H185" s="329"/>
      <c r="I185" s="329"/>
      <c r="Q185" s="28"/>
      <c r="T185" s="329"/>
      <c r="V185" s="329"/>
      <c r="W185" s="329"/>
      <c r="X185" s="329"/>
    </row>
    <row r="186" spans="1:29" x14ac:dyDescent="0.2">
      <c r="B186" s="77"/>
      <c r="E186" s="339"/>
      <c r="F186" s="339"/>
      <c r="H186" s="329"/>
      <c r="Q186" s="77"/>
      <c r="T186" s="329"/>
      <c r="U186" s="329"/>
      <c r="W186" s="329"/>
    </row>
    <row r="187" spans="1:29" x14ac:dyDescent="0.2">
      <c r="B187" s="77"/>
      <c r="E187" s="339"/>
      <c r="F187" s="339"/>
      <c r="H187" s="329"/>
      <c r="Q187" s="77"/>
      <c r="T187" s="329"/>
      <c r="U187" s="329"/>
      <c r="W187" s="329"/>
    </row>
    <row r="188" spans="1:29" x14ac:dyDescent="0.2">
      <c r="B188" s="28"/>
      <c r="E188" s="329"/>
      <c r="F188" s="339"/>
      <c r="G188" s="339"/>
      <c r="I188" s="329"/>
      <c r="Q188" s="28"/>
      <c r="T188" s="329"/>
      <c r="U188" s="329"/>
      <c r="V188" s="329"/>
      <c r="X188" s="329"/>
    </row>
    <row r="189" spans="1:29" x14ac:dyDescent="0.2">
      <c r="B189" s="77"/>
      <c r="E189" s="339"/>
      <c r="H189" s="329"/>
      <c r="Q189" s="77"/>
      <c r="T189" s="329"/>
      <c r="W189" s="329"/>
    </row>
    <row r="190" spans="1:29" x14ac:dyDescent="0.2">
      <c r="B190" s="77"/>
      <c r="E190" s="339"/>
      <c r="H190" s="329"/>
      <c r="Q190" s="77"/>
      <c r="T190" s="329"/>
      <c r="W190" s="329"/>
    </row>
    <row r="192" spans="1:29" x14ac:dyDescent="0.2">
      <c r="B192" s="321"/>
      <c r="Q192" s="321"/>
    </row>
    <row r="193" spans="2:25" x14ac:dyDescent="0.2">
      <c r="B193" s="28"/>
      <c r="Q193" s="28"/>
    </row>
    <row r="194" spans="2:25" x14ac:dyDescent="0.2">
      <c r="B194" s="77"/>
      <c r="F194" s="330"/>
      <c r="Q194" s="77"/>
      <c r="U194" s="330"/>
    </row>
    <row r="195" spans="2:25" x14ac:dyDescent="0.2">
      <c r="B195" s="77"/>
      <c r="F195" s="330"/>
      <c r="Q195" s="77"/>
      <c r="U195" s="330"/>
    </row>
    <row r="196" spans="2:25" x14ac:dyDescent="0.2">
      <c r="B196" s="28"/>
      <c r="F196" s="330"/>
      <c r="Q196" s="28"/>
      <c r="U196" s="330"/>
    </row>
    <row r="197" spans="2:25" x14ac:dyDescent="0.2">
      <c r="B197" s="77"/>
      <c r="Q197" s="77"/>
    </row>
    <row r="198" spans="2:25" x14ac:dyDescent="0.2">
      <c r="B198" s="77"/>
      <c r="Q198" s="77"/>
    </row>
    <row r="200" spans="2:25" x14ac:dyDescent="0.2">
      <c r="B200" s="321"/>
      <c r="Q200" s="321"/>
    </row>
    <row r="201" spans="2:25" x14ac:dyDescent="0.2">
      <c r="B201" s="28"/>
      <c r="E201" s="331"/>
      <c r="G201" s="331"/>
      <c r="I201" s="331"/>
      <c r="Q201" s="28"/>
      <c r="T201" s="331"/>
      <c r="V201" s="331"/>
      <c r="X201" s="331"/>
    </row>
    <row r="202" spans="2:25" x14ac:dyDescent="0.2">
      <c r="B202" s="77"/>
      <c r="E202" s="331"/>
      <c r="F202" s="331"/>
      <c r="H202" s="331"/>
      <c r="Q202" s="77"/>
      <c r="T202" s="331"/>
      <c r="U202" s="331"/>
      <c r="W202" s="331"/>
    </row>
    <row r="203" spans="2:25" x14ac:dyDescent="0.2">
      <c r="B203" s="77"/>
      <c r="E203" s="331"/>
      <c r="F203" s="331"/>
      <c r="H203" s="331"/>
      <c r="Q203" s="77"/>
      <c r="T203" s="331"/>
      <c r="U203" s="331"/>
      <c r="W203" s="331"/>
    </row>
    <row r="204" spans="2:25" x14ac:dyDescent="0.2">
      <c r="B204" s="28"/>
      <c r="E204" s="331"/>
      <c r="F204" s="331"/>
      <c r="G204" s="331"/>
      <c r="I204" s="331"/>
      <c r="Q204" s="28"/>
      <c r="T204" s="331"/>
      <c r="U204" s="331"/>
      <c r="V204" s="331"/>
      <c r="X204" s="331"/>
    </row>
    <row r="205" spans="2:25" x14ac:dyDescent="0.2">
      <c r="B205" s="77"/>
      <c r="E205" s="331"/>
      <c r="H205" s="331"/>
      <c r="Q205" s="77"/>
      <c r="T205" s="331"/>
      <c r="W205" s="331"/>
    </row>
    <row r="206" spans="2:25" ht="13.5" thickBot="1" x14ac:dyDescent="0.25">
      <c r="B206" s="77"/>
      <c r="E206" s="331"/>
      <c r="H206" s="331"/>
      <c r="O206" s="321"/>
      <c r="Q206" s="77"/>
      <c r="T206" s="331"/>
      <c r="W206" s="331"/>
    </row>
    <row r="207" spans="2:25" ht="13.5" thickBot="1" x14ac:dyDescent="0.25">
      <c r="J207" s="331"/>
      <c r="O207" s="340"/>
      <c r="Y207" s="331"/>
    </row>
    <row r="209" spans="10:18" x14ac:dyDescent="0.2">
      <c r="J209" s="331"/>
      <c r="O209" s="247"/>
      <c r="Q209" s="344"/>
      <c r="R209" s="344"/>
    </row>
    <row r="211" spans="10:18" x14ac:dyDescent="0.2">
      <c r="J211" s="84"/>
    </row>
    <row r="212" spans="10:18" x14ac:dyDescent="0.2">
      <c r="J212" s="331"/>
    </row>
    <row r="213" spans="10:18" x14ac:dyDescent="0.2">
      <c r="J213" s="84"/>
    </row>
    <row r="214" spans="10:18" x14ac:dyDescent="0.2">
      <c r="J214" s="331"/>
    </row>
    <row r="215" spans="10:18" x14ac:dyDescent="0.2">
      <c r="J215" s="81"/>
    </row>
  </sheetData>
  <sheetProtection password="D6B5" sheet="1" objects="1" scenarios="1"/>
  <mergeCells count="11">
    <mergeCell ref="B154:N154"/>
    <mergeCell ref="B155:N155"/>
    <mergeCell ref="B1:N1"/>
    <mergeCell ref="B2:N2"/>
    <mergeCell ref="B5:N5"/>
    <mergeCell ref="B101:N101"/>
    <mergeCell ref="B54:N54"/>
    <mergeCell ref="B55:N55"/>
    <mergeCell ref="B56:N56"/>
    <mergeCell ref="B100:N100"/>
    <mergeCell ref="B3:N3"/>
  </mergeCells>
  <phoneticPr fontId="33" type="noConversion"/>
  <pageMargins left="0.7" right="0.7" top="0.75" bottom="0.75" header="0.3" footer="0.3"/>
  <pageSetup scale="72" fitToHeight="0" orientation="landscape" r:id="rId1"/>
  <headerFooter alignWithMargins="0">
    <oddFooter>&amp;L&amp;F    &amp;A&amp;CPage &amp;P of &amp;N&amp;R&amp;D</oddFooter>
  </headerFooter>
  <rowBreaks count="3" manualBreakCount="3">
    <brk id="53" max="13" man="1"/>
    <brk id="99" max="16383" man="1"/>
    <brk id="153" max="13" man="1"/>
  </rowBreaks>
  <colBreaks count="1" manualBreakCount="1">
    <brk id="15" max="2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BGS PTY15 Cost Alloc</vt:lpstr>
      <vt:lpstr>BGS PTY16 Cost Alloc</vt:lpstr>
      <vt:lpstr>BGS PTY17 Cost Alloc</vt:lpstr>
      <vt:lpstr>Composite Cost Allocation</vt:lpstr>
      <vt:lpstr>'BGS PTY15 Cost Alloc'!Print_Area</vt:lpstr>
      <vt:lpstr>'BGS PTY16 Cost Alloc'!Print_Area</vt:lpstr>
      <vt:lpstr>'BGS PTY17 Cost Alloc'!Print_Area</vt:lpstr>
      <vt:lpstr>'Composite Cost Allocation'!Print_Area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 of BGS prices for year 5 - forwards based</dc:title>
  <dc:subject>6/21 1:10 PM</dc:subject>
  <dc:creator>Robert W. Taylor</dc:creator>
  <cp:lastModifiedBy>Author</cp:lastModifiedBy>
  <cp:lastPrinted>2018-11-13T19:55:28Z</cp:lastPrinted>
  <dcterms:created xsi:type="dcterms:W3CDTF">2002-02-27T17:48:59Z</dcterms:created>
  <dcterms:modified xsi:type="dcterms:W3CDTF">2018-11-19T16:47:14Z</dcterms:modified>
</cp:coreProperties>
</file>