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0" yWindow="0" windowWidth="27855" windowHeight="12450"/>
  </bookViews>
  <sheets>
    <sheet name="Input" sheetId="1" r:id="rId1"/>
    <sheet name="bid_factors" sheetId="2" r:id="rId2"/>
    <sheet name="auction_results_and_rates" sheetId="3" r:id="rId3"/>
  </sheets>
  <definedNames>
    <definedName name="\a">#REF!</definedName>
    <definedName name="Co_letter">#REF!</definedName>
    <definedName name="Co_List">#REF!</definedName>
    <definedName name="Co_Name">#REF!</definedName>
    <definedName name="Co_Picked">#REF!</definedName>
    <definedName name="Get_Co">#REF!</definedName>
    <definedName name="Get_Mo">#REF!</definedName>
    <definedName name="Mo_List">#REF!</definedName>
    <definedName name="Mo_Picked">#REF!</definedName>
    <definedName name="_xlnm.Print_Area" localSheetId="2">auction_results_and_rates!$A$1:$L$212</definedName>
    <definedName name="_xlnm.Print_Area" localSheetId="1">bid_factors!$A$1:$L$354</definedName>
    <definedName name="_xlnm.Print_Area" localSheetId="0">Input!$A$1:$L$194</definedName>
    <definedName name="Print_Area_MI">#REF!</definedName>
    <definedName name="_xlnm.Print_Titles" localSheetId="2">auction_results_and_rates!$1:$4</definedName>
    <definedName name="Rpt_Mo">#REF!</definedName>
    <definedName name="Year1">#REF!</definedName>
    <definedName name="Z_782F5CFE_DE26_4D5A_B82E_30A424B0A39B_.wvu.PrintArea" localSheetId="2" hidden="1">auction_results_and_rates!$A$1:$L$212</definedName>
    <definedName name="Z_782F5CFE_DE26_4D5A_B82E_30A424B0A39B_.wvu.PrintArea" localSheetId="1" hidden="1">bid_factors!$A$1:$L$354</definedName>
    <definedName name="Z_782F5CFE_DE26_4D5A_B82E_30A424B0A39B_.wvu.PrintTitles" localSheetId="2" hidden="1">auction_results_and_rates!$1:$4</definedName>
    <definedName name="Z_782F5CFE_DE26_4D5A_B82E_30A424B0A39B_.wvu.Rows" localSheetId="2" hidden="1">auction_results_and_rates!$213:$274</definedName>
    <definedName name="Z_782F5CFE_DE26_4D5A_B82E_30A424B0A39B_.wvu.Rows" localSheetId="0" hidden="1">Input!$309:$385</definedName>
    <definedName name="Z_88B031DE_0423_45A5_B384_E560A52FDD07_.wvu.PrintArea" localSheetId="2" hidden="1">auction_results_and_rates!$A$1:$L$212</definedName>
    <definedName name="Z_88B031DE_0423_45A5_B384_E560A52FDD07_.wvu.PrintArea" localSheetId="1" hidden="1">bid_factors!$A$1:$L$354</definedName>
    <definedName name="Z_88B031DE_0423_45A5_B384_E560A52FDD07_.wvu.PrintTitles" localSheetId="2" hidden="1">auction_results_and_rates!$1:$4</definedName>
    <definedName name="Z_88B031DE_0423_45A5_B384_E560A52FDD07_.wvu.Rows" localSheetId="2" hidden="1">auction_results_and_rates!$213:$274</definedName>
    <definedName name="Z_88B031DE_0423_45A5_B384_E560A52FDD07_.wvu.Rows" localSheetId="0" hidden="1">Input!$309:$385</definedName>
    <definedName name="Z_9BF7FAF1_D686_4A6B_A2BE_0DAD43841920_.wvu.PrintArea" localSheetId="2" hidden="1">auction_results_and_rates!$A$1:$L$212</definedName>
    <definedName name="Z_9BF7FAF1_D686_4A6B_A2BE_0DAD43841920_.wvu.PrintArea" localSheetId="1" hidden="1">bid_factors!$A$1:$L$354</definedName>
    <definedName name="Z_9BF7FAF1_D686_4A6B_A2BE_0DAD43841920_.wvu.PrintTitles" localSheetId="2" hidden="1">auction_results_and_rates!$1:$4</definedName>
    <definedName name="Z_9BF7FAF1_D686_4A6B_A2BE_0DAD43841920_.wvu.Rows" localSheetId="2" hidden="1">auction_results_and_rates!$213:$274</definedName>
    <definedName name="Z_9BF7FAF1_D686_4A6B_A2BE_0DAD43841920_.wvu.Rows" localSheetId="0" hidden="1">Input!$309:$385</definedName>
    <definedName name="Z_D5524E47_947F_4D9F_AE8B_3F0380261994_.wvu.PrintArea" localSheetId="2" hidden="1">auction_results_and_rates!$A$1:$L$212</definedName>
    <definedName name="Z_D5524E47_947F_4D9F_AE8B_3F0380261994_.wvu.PrintArea" localSheetId="1" hidden="1">bid_factors!$A$1:$L$354</definedName>
    <definedName name="Z_D5524E47_947F_4D9F_AE8B_3F0380261994_.wvu.PrintTitles" localSheetId="2" hidden="1">auction_results_and_rates!$1:$4</definedName>
    <definedName name="Z_D5524E47_947F_4D9F_AE8B_3F0380261994_.wvu.Rows" localSheetId="2" hidden="1">auction_results_and_rates!$213:$274</definedName>
    <definedName name="Z_D5524E47_947F_4D9F_AE8B_3F0380261994_.wvu.Rows" localSheetId="0" hidden="1">Input!$309:$385</definedName>
  </definedNames>
  <calcPr calcId="145621" calcMode="manual" iterate="1" iterateCount="300" iterateDelta="1E-4" calcOnSave="0"/>
</workbook>
</file>

<file path=xl/calcChain.xml><?xml version="1.0" encoding="utf-8"?>
<calcChain xmlns="http://schemas.openxmlformats.org/spreadsheetml/2006/main">
  <c r="B42" i="2" l="1"/>
  <c r="E27" i="1" l="1"/>
  <c r="E23" i="2"/>
  <c r="B143" i="2" l="1"/>
  <c r="E8" i="3" l="1"/>
  <c r="J159" i="3" l="1"/>
  <c r="I159" i="3"/>
  <c r="H159" i="3"/>
  <c r="G159" i="3"/>
  <c r="F159" i="3"/>
  <c r="E159" i="3"/>
  <c r="D159" i="3"/>
  <c r="C159" i="3"/>
  <c r="H46" i="3"/>
  <c r="H87" i="3" s="1"/>
  <c r="D17" i="3"/>
  <c r="C17" i="3"/>
  <c r="D16" i="3"/>
  <c r="C16" i="3"/>
  <c r="E13" i="3"/>
  <c r="D13" i="3"/>
  <c r="C13" i="3"/>
  <c r="C10" i="3"/>
  <c r="D8" i="3"/>
  <c r="C8" i="3"/>
  <c r="C285" i="2"/>
  <c r="C284" i="2"/>
  <c r="E265" i="2"/>
  <c r="E68" i="3" s="1"/>
  <c r="C265" i="2"/>
  <c r="C68" i="3" s="1"/>
  <c r="J243" i="2"/>
  <c r="J46" i="3" s="1"/>
  <c r="J87" i="3" s="1"/>
  <c r="I243" i="2"/>
  <c r="I46" i="3" s="1"/>
  <c r="I87" i="3" s="1"/>
  <c r="H243" i="2"/>
  <c r="G243" i="2"/>
  <c r="G46" i="3" s="1"/>
  <c r="G87" i="3" s="1"/>
  <c r="F243" i="2"/>
  <c r="F46" i="3" s="1"/>
  <c r="F87" i="3" s="1"/>
  <c r="E243" i="2"/>
  <c r="E46" i="3" s="1"/>
  <c r="E87" i="3" s="1"/>
  <c r="D243" i="2"/>
  <c r="D46" i="3" s="1"/>
  <c r="D87" i="3" s="1"/>
  <c r="C243" i="2"/>
  <c r="C46" i="3" s="1"/>
  <c r="C87" i="3" s="1"/>
  <c r="I209" i="2"/>
  <c r="D209" i="2"/>
  <c r="J209" i="2" s="1"/>
  <c r="C209" i="2"/>
  <c r="J192" i="2"/>
  <c r="I192" i="2"/>
  <c r="H192" i="2"/>
  <c r="G192" i="2"/>
  <c r="F192" i="2"/>
  <c r="E192" i="2"/>
  <c r="D192" i="2"/>
  <c r="C192" i="2"/>
  <c r="J176" i="2"/>
  <c r="I176" i="2"/>
  <c r="H176" i="2"/>
  <c r="G176" i="2"/>
  <c r="F176" i="2"/>
  <c r="E176" i="2"/>
  <c r="D176" i="2"/>
  <c r="C176" i="2"/>
  <c r="D170" i="2"/>
  <c r="D169" i="2"/>
  <c r="D171" i="2" s="1"/>
  <c r="C286" i="2" s="1"/>
  <c r="R167" i="2"/>
  <c r="Q167" i="2"/>
  <c r="D166" i="2"/>
  <c r="C166" i="2"/>
  <c r="D163" i="2"/>
  <c r="D164" i="2" s="1"/>
  <c r="C163" i="2"/>
  <c r="C164" i="2" s="1"/>
  <c r="D161" i="2"/>
  <c r="C161" i="2"/>
  <c r="F159" i="2"/>
  <c r="D159" i="2"/>
  <c r="D158" i="2"/>
  <c r="F158" i="2" s="1"/>
  <c r="H154" i="2"/>
  <c r="AD149" i="2"/>
  <c r="X149" i="2"/>
  <c r="U149" i="2"/>
  <c r="V149" i="2" s="1"/>
  <c r="T149" i="2"/>
  <c r="R149" i="2"/>
  <c r="J149" i="2"/>
  <c r="F149" i="2"/>
  <c r="AD148" i="2"/>
  <c r="U148" i="2"/>
  <c r="T148" i="2"/>
  <c r="R148" i="2"/>
  <c r="U147" i="2"/>
  <c r="T147" i="2"/>
  <c r="T150" i="2" s="1"/>
  <c r="R147" i="2"/>
  <c r="AM146" i="2"/>
  <c r="AL146" i="2"/>
  <c r="K149" i="2" s="1"/>
  <c r="AK146" i="2"/>
  <c r="AJ146" i="2"/>
  <c r="I149" i="2" s="1"/>
  <c r="AI146" i="2"/>
  <c r="H149" i="2" s="1"/>
  <c r="AH146" i="2"/>
  <c r="G149" i="2" s="1"/>
  <c r="AG146" i="2"/>
  <c r="AF146" i="2"/>
  <c r="E149" i="2" s="1"/>
  <c r="AE146" i="2"/>
  <c r="D149" i="2" s="1"/>
  <c r="AD146" i="2"/>
  <c r="C149" i="2" s="1"/>
  <c r="AM145" i="2"/>
  <c r="AL145" i="2"/>
  <c r="K147" i="2" s="1"/>
  <c r="AK145" i="2"/>
  <c r="J147" i="2" s="1"/>
  <c r="AJ145" i="2"/>
  <c r="I147" i="2" s="1"/>
  <c r="AI145" i="2"/>
  <c r="H147" i="2" s="1"/>
  <c r="AH145" i="2"/>
  <c r="G147" i="2" s="1"/>
  <c r="AG145" i="2"/>
  <c r="F147" i="2" s="1"/>
  <c r="AF145" i="2"/>
  <c r="E147" i="2" s="1"/>
  <c r="AE145" i="2"/>
  <c r="D147" i="2" s="1"/>
  <c r="AD145" i="2"/>
  <c r="C147" i="2" s="1"/>
  <c r="L144" i="2"/>
  <c r="K144" i="2"/>
  <c r="J144" i="2"/>
  <c r="I144" i="2"/>
  <c r="H144" i="2"/>
  <c r="G144" i="2"/>
  <c r="F144" i="2"/>
  <c r="E144" i="2"/>
  <c r="D144" i="2"/>
  <c r="C144" i="2"/>
  <c r="AD128" i="2"/>
  <c r="Z128" i="2"/>
  <c r="X128" i="2"/>
  <c r="T128" i="2"/>
  <c r="R128" i="2"/>
  <c r="L128" i="2"/>
  <c r="AA128" i="2" s="1"/>
  <c r="K128" i="2"/>
  <c r="J128" i="2"/>
  <c r="I128" i="2"/>
  <c r="H128" i="2"/>
  <c r="G128" i="2"/>
  <c r="F128" i="2"/>
  <c r="E128" i="2"/>
  <c r="AC128" i="2" s="1"/>
  <c r="D128" i="2"/>
  <c r="C128" i="2"/>
  <c r="L110" i="2"/>
  <c r="K110" i="2"/>
  <c r="J110" i="2"/>
  <c r="I110" i="2"/>
  <c r="H110" i="2"/>
  <c r="G110" i="2"/>
  <c r="F110" i="2"/>
  <c r="E110" i="2"/>
  <c r="D110" i="2"/>
  <c r="C110" i="2"/>
  <c r="L92" i="2"/>
  <c r="K92" i="2"/>
  <c r="J92" i="2"/>
  <c r="I92" i="2"/>
  <c r="H92" i="2"/>
  <c r="G92" i="2"/>
  <c r="F92" i="2"/>
  <c r="E92" i="2"/>
  <c r="D92" i="2"/>
  <c r="C92" i="2"/>
  <c r="Q80" i="2"/>
  <c r="Q81" i="2" s="1"/>
  <c r="Q79" i="2"/>
  <c r="L79" i="2"/>
  <c r="L80" i="2" s="1"/>
  <c r="L81" i="2" s="1"/>
  <c r="H79" i="2"/>
  <c r="H80" i="2" s="1"/>
  <c r="H81" i="2" s="1"/>
  <c r="D79" i="2"/>
  <c r="D80" i="2" s="1"/>
  <c r="D81" i="2" s="1"/>
  <c r="C79" i="2"/>
  <c r="C80" i="2" s="1"/>
  <c r="C81" i="2" s="1"/>
  <c r="Q78" i="2"/>
  <c r="L77" i="2"/>
  <c r="K77" i="2"/>
  <c r="J77" i="2"/>
  <c r="I77" i="2"/>
  <c r="H77" i="2"/>
  <c r="G77" i="2"/>
  <c r="F77" i="2"/>
  <c r="E77" i="2"/>
  <c r="D77" i="2"/>
  <c r="C77" i="2"/>
  <c r="C74" i="2"/>
  <c r="C73" i="2"/>
  <c r="C72" i="2"/>
  <c r="I71" i="2"/>
  <c r="D71" i="2"/>
  <c r="C71" i="2"/>
  <c r="E71" i="2" s="1"/>
  <c r="D70" i="2"/>
  <c r="C70" i="2"/>
  <c r="E69" i="2"/>
  <c r="D69" i="2"/>
  <c r="C69" i="2"/>
  <c r="I68" i="2"/>
  <c r="I69" i="2" s="1"/>
  <c r="H68" i="2"/>
  <c r="D68" i="2"/>
  <c r="C68" i="2"/>
  <c r="E68" i="2" s="1"/>
  <c r="C67" i="2"/>
  <c r="D66" i="2"/>
  <c r="E66" i="2" s="1"/>
  <c r="C66" i="2"/>
  <c r="C65" i="2"/>
  <c r="C64" i="2"/>
  <c r="I63" i="2"/>
  <c r="I67" i="2" s="1"/>
  <c r="H63" i="2"/>
  <c r="H72" i="2" s="1"/>
  <c r="D63" i="2"/>
  <c r="C63" i="2"/>
  <c r="E63" i="2" s="1"/>
  <c r="AB56" i="2"/>
  <c r="K56" i="2"/>
  <c r="J56" i="2"/>
  <c r="I56" i="2"/>
  <c r="H56" i="2"/>
  <c r="G56" i="2"/>
  <c r="F56" i="2"/>
  <c r="E56" i="2"/>
  <c r="D56" i="2"/>
  <c r="C56" i="2"/>
  <c r="AB55" i="2"/>
  <c r="L55" i="2" s="1"/>
  <c r="K55" i="2"/>
  <c r="J55" i="2"/>
  <c r="I55" i="2"/>
  <c r="U45" i="2" s="1"/>
  <c r="H55" i="2"/>
  <c r="G55" i="2"/>
  <c r="F55" i="2"/>
  <c r="E55" i="2"/>
  <c r="Q45" i="2" s="1"/>
  <c r="D55" i="2"/>
  <c r="C55" i="2"/>
  <c r="AB54" i="2"/>
  <c r="K54" i="2"/>
  <c r="J54" i="2"/>
  <c r="I54" i="2"/>
  <c r="H54" i="2"/>
  <c r="G54" i="2"/>
  <c r="F54" i="2"/>
  <c r="E54" i="2"/>
  <c r="D54" i="2"/>
  <c r="C54" i="2"/>
  <c r="AB53" i="2"/>
  <c r="L53" i="2" s="1"/>
  <c r="K53" i="2"/>
  <c r="J53" i="2"/>
  <c r="I53" i="2"/>
  <c r="H53" i="2"/>
  <c r="G53" i="2"/>
  <c r="F53" i="2"/>
  <c r="E53" i="2"/>
  <c r="D53" i="2"/>
  <c r="C53" i="2"/>
  <c r="AB52" i="2"/>
  <c r="K52" i="2"/>
  <c r="J52" i="2"/>
  <c r="I52" i="2"/>
  <c r="H52" i="2"/>
  <c r="G52" i="2"/>
  <c r="F52" i="2"/>
  <c r="E52" i="2"/>
  <c r="D52" i="2"/>
  <c r="C52" i="2"/>
  <c r="AB51" i="2"/>
  <c r="L51" i="2" s="1"/>
  <c r="K51" i="2"/>
  <c r="W49" i="2" s="1"/>
  <c r="J51" i="2"/>
  <c r="I51" i="2"/>
  <c r="H51" i="2"/>
  <c r="G51" i="2"/>
  <c r="S49" i="2" s="1"/>
  <c r="F51" i="2"/>
  <c r="E51" i="2"/>
  <c r="D51" i="2"/>
  <c r="C51" i="2"/>
  <c r="O49" i="2" s="1"/>
  <c r="AB50" i="2"/>
  <c r="L50" i="2"/>
  <c r="K50" i="2"/>
  <c r="J50" i="2"/>
  <c r="V49" i="2" s="1"/>
  <c r="I50" i="2"/>
  <c r="H50" i="2"/>
  <c r="G50" i="2"/>
  <c r="F50" i="2"/>
  <c r="R49" i="2" s="1"/>
  <c r="E50" i="2"/>
  <c r="D50" i="2"/>
  <c r="C50" i="2"/>
  <c r="AB49" i="2"/>
  <c r="L49" i="2" s="1"/>
  <c r="U49" i="2"/>
  <c r="Q49" i="2"/>
  <c r="K49" i="2"/>
  <c r="J49" i="2"/>
  <c r="I49" i="2"/>
  <c r="H49" i="2"/>
  <c r="G49" i="2"/>
  <c r="F49" i="2"/>
  <c r="E49" i="2"/>
  <c r="D49" i="2"/>
  <c r="C49" i="2"/>
  <c r="AB48" i="2"/>
  <c r="K48" i="2"/>
  <c r="J48" i="2"/>
  <c r="I48" i="2"/>
  <c r="H48" i="2"/>
  <c r="G48" i="2"/>
  <c r="F48" i="2"/>
  <c r="E48" i="2"/>
  <c r="D48" i="2"/>
  <c r="C48" i="2"/>
  <c r="AB47" i="2"/>
  <c r="L47" i="2" s="1"/>
  <c r="K47" i="2"/>
  <c r="J47" i="2"/>
  <c r="I47" i="2"/>
  <c r="H47" i="2"/>
  <c r="G47" i="2"/>
  <c r="F47" i="2"/>
  <c r="E47" i="2"/>
  <c r="D47" i="2"/>
  <c r="C47" i="2"/>
  <c r="AB46" i="2"/>
  <c r="L46" i="2" s="1"/>
  <c r="K46" i="2"/>
  <c r="K57" i="2" s="1"/>
  <c r="J46" i="2"/>
  <c r="I46" i="2"/>
  <c r="H46" i="2"/>
  <c r="G46" i="2"/>
  <c r="G57" i="2" s="1"/>
  <c r="F46" i="2"/>
  <c r="E46" i="2"/>
  <c r="D46" i="2"/>
  <c r="C46" i="2"/>
  <c r="C57" i="2" s="1"/>
  <c r="AE45" i="2"/>
  <c r="AF45" i="2" s="1"/>
  <c r="AD45" i="2"/>
  <c r="AB45" i="2"/>
  <c r="L45" i="2" s="1"/>
  <c r="W45" i="2"/>
  <c r="S45" i="2"/>
  <c r="S62" i="2" s="1"/>
  <c r="O45" i="2"/>
  <c r="M45" i="2"/>
  <c r="L56" i="2" s="1"/>
  <c r="K45" i="2"/>
  <c r="J45" i="2"/>
  <c r="I45" i="2"/>
  <c r="H45" i="2"/>
  <c r="H57" i="2" s="1"/>
  <c r="G45" i="2"/>
  <c r="F45" i="2"/>
  <c r="R61" i="2" s="1"/>
  <c r="E45" i="2"/>
  <c r="E57" i="2" s="1"/>
  <c r="D45" i="2"/>
  <c r="D57" i="2" s="1"/>
  <c r="C45" i="2"/>
  <c r="X43" i="2"/>
  <c r="W43" i="2"/>
  <c r="V43" i="2"/>
  <c r="U43" i="2"/>
  <c r="T43" i="2"/>
  <c r="S43" i="2"/>
  <c r="R43" i="2"/>
  <c r="Q43" i="2"/>
  <c r="P43" i="2"/>
  <c r="O43" i="2"/>
  <c r="L43" i="2"/>
  <c r="K43" i="2"/>
  <c r="J43" i="2"/>
  <c r="I43" i="2"/>
  <c r="H43" i="2"/>
  <c r="G43" i="2"/>
  <c r="F43" i="2"/>
  <c r="E43" i="2"/>
  <c r="D43" i="2"/>
  <c r="C43" i="2"/>
  <c r="X38" i="2"/>
  <c r="L38" i="2"/>
  <c r="E38" i="2"/>
  <c r="Q38" i="2" s="1"/>
  <c r="X37" i="2"/>
  <c r="L37" i="2"/>
  <c r="E37" i="2"/>
  <c r="Q37" i="2" s="1"/>
  <c r="X36" i="2"/>
  <c r="L36" i="2"/>
  <c r="E36" i="2"/>
  <c r="Q36" i="2" s="1"/>
  <c r="X35" i="2"/>
  <c r="L35" i="2"/>
  <c r="E35" i="2"/>
  <c r="Q35" i="2" s="1"/>
  <c r="X34" i="2"/>
  <c r="L34" i="2"/>
  <c r="E34" i="2"/>
  <c r="Q34" i="2" s="1"/>
  <c r="X33" i="2"/>
  <c r="L33" i="2"/>
  <c r="E33" i="2"/>
  <c r="Q33" i="2" s="1"/>
  <c r="X32" i="2"/>
  <c r="L32" i="2"/>
  <c r="E32" i="2"/>
  <c r="Q32" i="2" s="1"/>
  <c r="X31" i="2"/>
  <c r="L31" i="2"/>
  <c r="E31" i="2"/>
  <c r="Q31" i="2" s="1"/>
  <c r="X30" i="2"/>
  <c r="L30" i="2"/>
  <c r="E30" i="2"/>
  <c r="Q30" i="2" s="1"/>
  <c r="X29" i="2"/>
  <c r="L29" i="2"/>
  <c r="E29" i="2"/>
  <c r="Q29" i="2" s="1"/>
  <c r="X28" i="2"/>
  <c r="L28" i="2"/>
  <c r="E28" i="2"/>
  <c r="Q28" i="2" s="1"/>
  <c r="X27" i="2"/>
  <c r="L27" i="2"/>
  <c r="E27" i="2"/>
  <c r="Q46" i="2" s="1"/>
  <c r="X25" i="2"/>
  <c r="W25" i="2"/>
  <c r="V25" i="2"/>
  <c r="U25" i="2"/>
  <c r="T25" i="2"/>
  <c r="S25" i="2"/>
  <c r="R25" i="2"/>
  <c r="Q25" i="2"/>
  <c r="P25" i="2"/>
  <c r="O25" i="2"/>
  <c r="L25" i="2"/>
  <c r="K25" i="2"/>
  <c r="J25" i="2"/>
  <c r="I25" i="2"/>
  <c r="H25" i="2"/>
  <c r="G25" i="2"/>
  <c r="F25" i="2"/>
  <c r="E25" i="2"/>
  <c r="D25" i="2"/>
  <c r="C25" i="2"/>
  <c r="E22" i="2"/>
  <c r="V20" i="2"/>
  <c r="U20" i="2"/>
  <c r="R20" i="2"/>
  <c r="Q20" i="2"/>
  <c r="L20" i="2"/>
  <c r="X20" i="2" s="1"/>
  <c r="K20" i="2"/>
  <c r="W20" i="2" s="1"/>
  <c r="J20" i="2"/>
  <c r="I20" i="2"/>
  <c r="H20" i="2"/>
  <c r="T20" i="2" s="1"/>
  <c r="G20" i="2"/>
  <c r="S20" i="2" s="1"/>
  <c r="F20" i="2"/>
  <c r="E20" i="2"/>
  <c r="D20" i="2"/>
  <c r="P20" i="2" s="1"/>
  <c r="C20" i="2"/>
  <c r="O20" i="2" s="1"/>
  <c r="V19" i="2"/>
  <c r="U19" i="2"/>
  <c r="R19" i="2"/>
  <c r="Q19" i="2"/>
  <c r="L19" i="2"/>
  <c r="X19" i="2" s="1"/>
  <c r="K19" i="2"/>
  <c r="W19" i="2" s="1"/>
  <c r="J19" i="2"/>
  <c r="I19" i="2"/>
  <c r="H19" i="2"/>
  <c r="T19" i="2" s="1"/>
  <c r="G19" i="2"/>
  <c r="S19" i="2" s="1"/>
  <c r="F19" i="2"/>
  <c r="E19" i="2"/>
  <c r="D19" i="2"/>
  <c r="P19" i="2" s="1"/>
  <c r="C19" i="2"/>
  <c r="O19" i="2" s="1"/>
  <c r="V18" i="2"/>
  <c r="U18" i="2"/>
  <c r="R18" i="2"/>
  <c r="Q18" i="2"/>
  <c r="L18" i="2"/>
  <c r="X18" i="2" s="1"/>
  <c r="K18" i="2"/>
  <c r="W18" i="2" s="1"/>
  <c r="J18" i="2"/>
  <c r="I18" i="2"/>
  <c r="H18" i="2"/>
  <c r="T18" i="2" s="1"/>
  <c r="G18" i="2"/>
  <c r="S18" i="2" s="1"/>
  <c r="F18" i="2"/>
  <c r="E18" i="2"/>
  <c r="D18" i="2"/>
  <c r="P18" i="2" s="1"/>
  <c r="C18" i="2"/>
  <c r="O18" i="2" s="1"/>
  <c r="V17" i="2"/>
  <c r="U17" i="2"/>
  <c r="R17" i="2"/>
  <c r="Q17" i="2"/>
  <c r="L17" i="2"/>
  <c r="X17" i="2" s="1"/>
  <c r="K17" i="2"/>
  <c r="W17" i="2" s="1"/>
  <c r="J17" i="2"/>
  <c r="I17" i="2"/>
  <c r="H17" i="2"/>
  <c r="T17" i="2" s="1"/>
  <c r="G17" i="2"/>
  <c r="S17" i="2" s="1"/>
  <c r="F17" i="2"/>
  <c r="E17" i="2"/>
  <c r="D17" i="2"/>
  <c r="P17" i="2" s="1"/>
  <c r="C17" i="2"/>
  <c r="O17" i="2" s="1"/>
  <c r="V16" i="2"/>
  <c r="U16" i="2"/>
  <c r="R16" i="2"/>
  <c r="Q16" i="2"/>
  <c r="L16" i="2"/>
  <c r="X16" i="2" s="1"/>
  <c r="K16" i="2"/>
  <c r="W16" i="2" s="1"/>
  <c r="J16" i="2"/>
  <c r="I16" i="2"/>
  <c r="H16" i="2"/>
  <c r="T16" i="2" s="1"/>
  <c r="G16" i="2"/>
  <c r="S16" i="2" s="1"/>
  <c r="F16" i="2"/>
  <c r="E16" i="2"/>
  <c r="D16" i="2"/>
  <c r="P16" i="2" s="1"/>
  <c r="C16" i="2"/>
  <c r="O16" i="2" s="1"/>
  <c r="V15" i="2"/>
  <c r="U15" i="2"/>
  <c r="R15" i="2"/>
  <c r="Q15" i="2"/>
  <c r="L15" i="2"/>
  <c r="X15" i="2" s="1"/>
  <c r="K15" i="2"/>
  <c r="W15" i="2" s="1"/>
  <c r="J15" i="2"/>
  <c r="I15" i="2"/>
  <c r="H15" i="2"/>
  <c r="T15" i="2" s="1"/>
  <c r="G15" i="2"/>
  <c r="S15" i="2" s="1"/>
  <c r="F15" i="2"/>
  <c r="E15" i="2"/>
  <c r="D15" i="2"/>
  <c r="P15" i="2" s="1"/>
  <c r="C15" i="2"/>
  <c r="O15" i="2" s="1"/>
  <c r="V14" i="2"/>
  <c r="U14" i="2"/>
  <c r="R14" i="2"/>
  <c r="Q14" i="2"/>
  <c r="L14" i="2"/>
  <c r="X14" i="2" s="1"/>
  <c r="K14" i="2"/>
  <c r="W65" i="2" s="1"/>
  <c r="J14" i="2"/>
  <c r="I14" i="2"/>
  <c r="H14" i="2"/>
  <c r="T14" i="2" s="1"/>
  <c r="G14" i="2"/>
  <c r="F14" i="2"/>
  <c r="E14" i="2"/>
  <c r="D14" i="2"/>
  <c r="P14" i="2" s="1"/>
  <c r="C14" i="2"/>
  <c r="V13" i="2"/>
  <c r="U13" i="2"/>
  <c r="R13" i="2"/>
  <c r="Q13" i="2"/>
  <c r="L13" i="2"/>
  <c r="X13" i="2" s="1"/>
  <c r="K13" i="2"/>
  <c r="W13" i="2" s="1"/>
  <c r="J13" i="2"/>
  <c r="I13" i="2"/>
  <c r="H13" i="2"/>
  <c r="T13" i="2" s="1"/>
  <c r="G13" i="2"/>
  <c r="S13" i="2" s="1"/>
  <c r="F13" i="2"/>
  <c r="E13" i="2"/>
  <c r="D13" i="2"/>
  <c r="P13" i="2" s="1"/>
  <c r="C13" i="2"/>
  <c r="O13" i="2" s="1"/>
  <c r="V12" i="2"/>
  <c r="U12" i="2"/>
  <c r="R12" i="2"/>
  <c r="Q12" i="2"/>
  <c r="L12" i="2"/>
  <c r="X12" i="2" s="1"/>
  <c r="K12" i="2"/>
  <c r="W12" i="2" s="1"/>
  <c r="J12" i="2"/>
  <c r="I12" i="2"/>
  <c r="H12" i="2"/>
  <c r="T12" i="2" s="1"/>
  <c r="G12" i="2"/>
  <c r="S12" i="2" s="1"/>
  <c r="F12" i="2"/>
  <c r="E12" i="2"/>
  <c r="D12" i="2"/>
  <c r="P12" i="2" s="1"/>
  <c r="C12" i="2"/>
  <c r="O12" i="2" s="1"/>
  <c r="V11" i="2"/>
  <c r="U11" i="2"/>
  <c r="R11" i="2"/>
  <c r="Q11" i="2"/>
  <c r="L11" i="2"/>
  <c r="X11" i="2" s="1"/>
  <c r="K11" i="2"/>
  <c r="W11" i="2" s="1"/>
  <c r="J11" i="2"/>
  <c r="I11" i="2"/>
  <c r="H11" i="2"/>
  <c r="T11" i="2" s="1"/>
  <c r="G11" i="2"/>
  <c r="S11" i="2" s="1"/>
  <c r="F11" i="2"/>
  <c r="E11" i="2"/>
  <c r="D11" i="2"/>
  <c r="P11" i="2" s="1"/>
  <c r="C11" i="2"/>
  <c r="O11" i="2" s="1"/>
  <c r="V10" i="2"/>
  <c r="U10" i="2"/>
  <c r="R10" i="2"/>
  <c r="Q10" i="2"/>
  <c r="L10" i="2"/>
  <c r="X10" i="2" s="1"/>
  <c r="K10" i="2"/>
  <c r="W10" i="2" s="1"/>
  <c r="J10" i="2"/>
  <c r="I10" i="2"/>
  <c r="H10" i="2"/>
  <c r="T10" i="2" s="1"/>
  <c r="G10" i="2"/>
  <c r="S10" i="2" s="1"/>
  <c r="F10" i="2"/>
  <c r="E10" i="2"/>
  <c r="D10" i="2"/>
  <c r="P10" i="2" s="1"/>
  <c r="C10" i="2"/>
  <c r="O10" i="2" s="1"/>
  <c r="V9" i="2"/>
  <c r="U9" i="2"/>
  <c r="R9" i="2"/>
  <c r="Q9" i="2"/>
  <c r="L9" i="2"/>
  <c r="K9" i="2"/>
  <c r="J9" i="2"/>
  <c r="I9" i="2"/>
  <c r="H9" i="2"/>
  <c r="G9" i="2"/>
  <c r="S61" i="2" s="1"/>
  <c r="F9" i="2"/>
  <c r="E9" i="2"/>
  <c r="D9" i="2"/>
  <c r="C9" i="2"/>
  <c r="O61" i="2" s="1"/>
  <c r="X7" i="2"/>
  <c r="W7" i="2"/>
  <c r="V7" i="2"/>
  <c r="U7" i="2"/>
  <c r="T7" i="2"/>
  <c r="S7" i="2"/>
  <c r="R7" i="2"/>
  <c r="Q7" i="2"/>
  <c r="P7" i="2"/>
  <c r="O7" i="2"/>
  <c r="E4" i="2"/>
  <c r="Q47" i="2" l="1"/>
  <c r="H96" i="2"/>
  <c r="U135" i="2"/>
  <c r="X46" i="2"/>
  <c r="V66" i="2"/>
  <c r="O53" i="2"/>
  <c r="O54" i="2" s="1"/>
  <c r="W66" i="2"/>
  <c r="R131" i="2"/>
  <c r="W61" i="2"/>
  <c r="W68" i="2" s="1"/>
  <c r="O65" i="2"/>
  <c r="O66" i="2" s="1"/>
  <c r="T65" i="2"/>
  <c r="H70" i="2"/>
  <c r="H69" i="2"/>
  <c r="D95" i="2" s="1"/>
  <c r="D113" i="2" s="1"/>
  <c r="H71" i="2"/>
  <c r="E95" i="2"/>
  <c r="I214" i="2"/>
  <c r="I270" i="2" s="1"/>
  <c r="J212" i="2"/>
  <c r="J268" i="2" s="1"/>
  <c r="I212" i="2"/>
  <c r="I268" i="2" s="1"/>
  <c r="C280" i="2"/>
  <c r="Q160" i="2"/>
  <c r="J214" i="2"/>
  <c r="J270" i="2" s="1"/>
  <c r="Q61" i="2"/>
  <c r="Q62" i="2" s="1"/>
  <c r="U61" i="2"/>
  <c r="U68" i="2" s="1"/>
  <c r="O9" i="2"/>
  <c r="S9" i="2"/>
  <c r="W9" i="2"/>
  <c r="E94" i="2"/>
  <c r="O14" i="2"/>
  <c r="S14" i="2"/>
  <c r="W14" i="2"/>
  <c r="P45" i="2"/>
  <c r="T45" i="2"/>
  <c r="Q132" i="2"/>
  <c r="T131" i="2"/>
  <c r="T132" i="2"/>
  <c r="Q131" i="2"/>
  <c r="E113" i="2"/>
  <c r="Q50" i="2"/>
  <c r="Q51" i="2" s="1"/>
  <c r="AB57" i="2"/>
  <c r="D72" i="2"/>
  <c r="E72" i="2" s="1"/>
  <c r="D64" i="2"/>
  <c r="E64" i="2" s="1"/>
  <c r="D67" i="2"/>
  <c r="E67" i="2" s="1"/>
  <c r="D73" i="2"/>
  <c r="E73" i="2" s="1"/>
  <c r="D65" i="2"/>
  <c r="E65" i="2" s="1"/>
  <c r="P65" i="2"/>
  <c r="U65" i="2"/>
  <c r="U66" i="2" s="1"/>
  <c r="D74" i="2"/>
  <c r="E74" i="2" s="1"/>
  <c r="H114" i="2"/>
  <c r="P9" i="2"/>
  <c r="T9" i="2"/>
  <c r="X9" i="2"/>
  <c r="R65" i="2"/>
  <c r="R68" i="2" s="1"/>
  <c r="V65" i="2"/>
  <c r="Q27" i="2"/>
  <c r="Q136" i="2" s="1"/>
  <c r="L48" i="2"/>
  <c r="R135" i="2" s="1"/>
  <c r="L52" i="2"/>
  <c r="X50" i="2" s="1"/>
  <c r="L54" i="2"/>
  <c r="I57" i="2"/>
  <c r="T61" i="2"/>
  <c r="T68" i="2" s="1"/>
  <c r="H74" i="2"/>
  <c r="H66" i="2"/>
  <c r="H73" i="2"/>
  <c r="H67" i="2"/>
  <c r="H64" i="2"/>
  <c r="H99" i="2" s="1"/>
  <c r="H117" i="2" s="1"/>
  <c r="Q65" i="2"/>
  <c r="Q66" i="2" s="1"/>
  <c r="D182" i="2"/>
  <c r="H182" i="2"/>
  <c r="H183" i="2"/>
  <c r="D94" i="2"/>
  <c r="L94" i="2"/>
  <c r="T136" i="2"/>
  <c r="Q135" i="2"/>
  <c r="T135" i="2"/>
  <c r="R45" i="2"/>
  <c r="V45" i="2"/>
  <c r="O47" i="2"/>
  <c r="P49" i="2"/>
  <c r="T49" i="2"/>
  <c r="T66" i="2" s="1"/>
  <c r="X49" i="2"/>
  <c r="F57" i="2"/>
  <c r="J57" i="2"/>
  <c r="P61" i="2"/>
  <c r="V61" i="2"/>
  <c r="V68" i="2" s="1"/>
  <c r="O62" i="2"/>
  <c r="I73" i="2"/>
  <c r="I65" i="2"/>
  <c r="I72" i="2"/>
  <c r="I74" i="2"/>
  <c r="I66" i="2"/>
  <c r="I64" i="2"/>
  <c r="H65" i="2"/>
  <c r="L99" i="2" s="1"/>
  <c r="L117" i="2" s="1"/>
  <c r="S65" i="2"/>
  <c r="S66" i="2" s="1"/>
  <c r="S69" i="2" s="1"/>
  <c r="X65" i="2"/>
  <c r="E70" i="2"/>
  <c r="D96" i="2" s="1"/>
  <c r="D114" i="2" s="1"/>
  <c r="C84" i="2"/>
  <c r="U131" i="2"/>
  <c r="E183" i="2"/>
  <c r="E182" i="2"/>
  <c r="I183" i="2"/>
  <c r="I182" i="2"/>
  <c r="I70" i="2"/>
  <c r="G79" i="2"/>
  <c r="G80" i="2" s="1"/>
  <c r="G81" i="2" s="1"/>
  <c r="K79" i="2"/>
  <c r="K80" i="2" s="1"/>
  <c r="K81" i="2" s="1"/>
  <c r="L147" i="2"/>
  <c r="D183" i="2"/>
  <c r="E79" i="2"/>
  <c r="E80" i="2" s="1"/>
  <c r="E81" i="2" s="1"/>
  <c r="I79" i="2"/>
  <c r="I80" i="2" s="1"/>
  <c r="I81" i="2" s="1"/>
  <c r="F183" i="2"/>
  <c r="F182" i="2"/>
  <c r="J183" i="2"/>
  <c r="J182" i="2"/>
  <c r="L149" i="2"/>
  <c r="V148" i="2"/>
  <c r="F79" i="2"/>
  <c r="F80" i="2" s="1"/>
  <c r="F81" i="2" s="1"/>
  <c r="J79" i="2"/>
  <c r="J80" i="2" s="1"/>
  <c r="J81" i="2" s="1"/>
  <c r="C183" i="2"/>
  <c r="C182" i="2"/>
  <c r="G183" i="2"/>
  <c r="G182" i="2"/>
  <c r="V147" i="2"/>
  <c r="J213" i="2"/>
  <c r="J269" i="2" s="1"/>
  <c r="I213" i="2"/>
  <c r="I269" i="2" s="1"/>
  <c r="C281" i="2"/>
  <c r="E105" i="3"/>
  <c r="J68" i="3"/>
  <c r="U128" i="2"/>
  <c r="F265" i="2"/>
  <c r="F68" i="3" s="1"/>
  <c r="E10" i="3"/>
  <c r="Q128" i="2"/>
  <c r="W128" i="2"/>
  <c r="I68" i="3"/>
  <c r="C105" i="3"/>
  <c r="D10" i="3"/>
  <c r="D265" i="2"/>
  <c r="D68" i="3" s="1"/>
  <c r="Y45" i="2" l="1"/>
  <c r="Z45" i="2" s="1"/>
  <c r="Z49" i="2" s="1"/>
  <c r="Q69" i="2"/>
  <c r="D98" i="2"/>
  <c r="D116" i="2" s="1"/>
  <c r="D134" i="2" s="1"/>
  <c r="L98" i="2"/>
  <c r="L116" i="2" s="1"/>
  <c r="H98" i="2"/>
  <c r="H116" i="2" s="1"/>
  <c r="H134" i="2" s="1"/>
  <c r="C85" i="2"/>
  <c r="I84" i="2"/>
  <c r="E84" i="2"/>
  <c r="L84" i="2"/>
  <c r="H84" i="2"/>
  <c r="D84" i="2"/>
  <c r="J84" i="2"/>
  <c r="F84" i="2"/>
  <c r="K84" i="2"/>
  <c r="G84" i="2"/>
  <c r="P53" i="2"/>
  <c r="P54" i="2"/>
  <c r="P66" i="2"/>
  <c r="Y66" i="2" s="1"/>
  <c r="D112" i="2"/>
  <c r="D99" i="2"/>
  <c r="D117" i="2" s="1"/>
  <c r="G94" i="2"/>
  <c r="G95" i="2"/>
  <c r="G113" i="2" s="1"/>
  <c r="C98" i="2"/>
  <c r="C116" i="2" s="1"/>
  <c r="C134" i="2" s="1"/>
  <c r="H95" i="2"/>
  <c r="H113" i="2" s="1"/>
  <c r="F100" i="2"/>
  <c r="F118" i="2" s="1"/>
  <c r="L100" i="2"/>
  <c r="L118" i="2" s="1"/>
  <c r="J98" i="2"/>
  <c r="J116" i="2" s="1"/>
  <c r="J134" i="2" s="1"/>
  <c r="J100" i="2"/>
  <c r="J118" i="2" s="1"/>
  <c r="I95" i="2"/>
  <c r="I113" i="2" s="1"/>
  <c r="T62" i="2"/>
  <c r="T69" i="2" s="1"/>
  <c r="G96" i="2"/>
  <c r="G114" i="2" s="1"/>
  <c r="K100" i="2"/>
  <c r="K118" i="2" s="1"/>
  <c r="I99" i="2"/>
  <c r="I117" i="2" s="1"/>
  <c r="G181" i="2"/>
  <c r="C181" i="2"/>
  <c r="J181" i="2"/>
  <c r="F181" i="2"/>
  <c r="I181" i="2"/>
  <c r="E181" i="2"/>
  <c r="D181" i="2"/>
  <c r="H181" i="2"/>
  <c r="I72" i="3"/>
  <c r="I109" i="3" s="1"/>
  <c r="I71" i="3"/>
  <c r="I108" i="3" s="1"/>
  <c r="U132" i="2"/>
  <c r="S68" i="2"/>
  <c r="R66" i="2"/>
  <c r="U136" i="2"/>
  <c r="X136" i="2" s="1"/>
  <c r="R136" i="2"/>
  <c r="C94" i="2"/>
  <c r="G98" i="2"/>
  <c r="G116" i="2" s="1"/>
  <c r="G134" i="2" s="1"/>
  <c r="I98" i="2"/>
  <c r="I116" i="2" s="1"/>
  <c r="I134" i="2" s="1"/>
  <c r="J95" i="2"/>
  <c r="J113" i="2" s="1"/>
  <c r="J99" i="2"/>
  <c r="J117" i="2" s="1"/>
  <c r="J96" i="2"/>
  <c r="J114" i="2" s="1"/>
  <c r="K96" i="2"/>
  <c r="K114" i="2" s="1"/>
  <c r="K99" i="2"/>
  <c r="K117" i="2" s="1"/>
  <c r="C99" i="2"/>
  <c r="C117" i="2" s="1"/>
  <c r="V62" i="2"/>
  <c r="V69" i="2" s="1"/>
  <c r="C95" i="2"/>
  <c r="C113" i="2" s="1"/>
  <c r="H94" i="2"/>
  <c r="F94" i="2"/>
  <c r="H100" i="2"/>
  <c r="H118" i="2" s="1"/>
  <c r="F99" i="2"/>
  <c r="F117" i="2" s="1"/>
  <c r="X61" i="2"/>
  <c r="X68" i="2" s="1"/>
  <c r="W132" i="2"/>
  <c r="P47" i="2"/>
  <c r="P62" i="2"/>
  <c r="P69" i="2" s="1"/>
  <c r="C96" i="2"/>
  <c r="C114" i="2" s="1"/>
  <c r="G100" i="2"/>
  <c r="G118" i="2" s="1"/>
  <c r="Q68" i="2"/>
  <c r="F96" i="2"/>
  <c r="F114" i="2" s="1"/>
  <c r="X45" i="2"/>
  <c r="L57" i="2"/>
  <c r="L102" i="2" s="1"/>
  <c r="E100" i="2"/>
  <c r="E118" i="2" s="1"/>
  <c r="I105" i="3"/>
  <c r="C177" i="3"/>
  <c r="K95" i="2"/>
  <c r="K113" i="2" s="1"/>
  <c r="L112" i="2"/>
  <c r="E98" i="2"/>
  <c r="E116" i="2" s="1"/>
  <c r="E102" i="2"/>
  <c r="E112" i="2"/>
  <c r="J72" i="3"/>
  <c r="J109" i="3" s="1"/>
  <c r="J71" i="3"/>
  <c r="J108" i="3" s="1"/>
  <c r="Y65" i="2"/>
  <c r="X135" i="2"/>
  <c r="L135" i="2" s="1"/>
  <c r="P68" i="2"/>
  <c r="W136" i="2"/>
  <c r="E177" i="3"/>
  <c r="J105" i="3"/>
  <c r="X66" i="2"/>
  <c r="X51" i="2"/>
  <c r="W135" i="2"/>
  <c r="I96" i="2"/>
  <c r="I114" i="2" s="1"/>
  <c r="V150" i="2"/>
  <c r="D155" i="2" s="1"/>
  <c r="X131" i="2"/>
  <c r="K94" i="2"/>
  <c r="O69" i="2"/>
  <c r="R47" i="2"/>
  <c r="R62" i="2"/>
  <c r="R69" i="2" s="1"/>
  <c r="E96" i="2"/>
  <c r="E114" i="2" s="1"/>
  <c r="K98" i="2"/>
  <c r="K116" i="2" s="1"/>
  <c r="K134" i="2" s="1"/>
  <c r="C215" i="2" s="1"/>
  <c r="L95" i="2"/>
  <c r="L113" i="2" s="1"/>
  <c r="J94" i="2"/>
  <c r="F95" i="2"/>
  <c r="F113" i="2" s="1"/>
  <c r="D100" i="2"/>
  <c r="D118" i="2" s="1"/>
  <c r="F98" i="2"/>
  <c r="F116" i="2" s="1"/>
  <c r="F134" i="2" s="1"/>
  <c r="W131" i="2"/>
  <c r="E131" i="2" s="1"/>
  <c r="I94" i="2"/>
  <c r="C100" i="2"/>
  <c r="C118" i="2" s="1"/>
  <c r="E99" i="2"/>
  <c r="E117" i="2" s="1"/>
  <c r="E135" i="2" s="1"/>
  <c r="G99" i="2"/>
  <c r="G117" i="2" s="1"/>
  <c r="R132" i="2"/>
  <c r="I100" i="2"/>
  <c r="I118" i="2" s="1"/>
  <c r="O68" i="2"/>
  <c r="Y68" i="2" s="1"/>
  <c r="Y49" i="2"/>
  <c r="L96" i="2"/>
  <c r="L114" i="2" s="1"/>
  <c r="W62" i="2"/>
  <c r="W69" i="2" s="1"/>
  <c r="U62" i="2"/>
  <c r="U69" i="2" s="1"/>
  <c r="Z131" i="2" l="1"/>
  <c r="D216" i="2"/>
  <c r="AA135" i="2"/>
  <c r="I102" i="2"/>
  <c r="I112" i="2"/>
  <c r="C283" i="2"/>
  <c r="J217" i="2"/>
  <c r="J273" i="2" s="1"/>
  <c r="J75" i="3" s="1"/>
  <c r="J112" i="3" s="1"/>
  <c r="J184" i="3" s="1"/>
  <c r="I217" i="2"/>
  <c r="I273" i="2" s="1"/>
  <c r="I75" i="3" s="1"/>
  <c r="I112" i="3" s="1"/>
  <c r="I184" i="3" s="1"/>
  <c r="G178" i="2"/>
  <c r="C178" i="2"/>
  <c r="C200" i="2" s="1"/>
  <c r="J178" i="2"/>
  <c r="F178" i="2"/>
  <c r="I178" i="2"/>
  <c r="E178" i="2"/>
  <c r="E195" i="2" s="1"/>
  <c r="H178" i="2"/>
  <c r="D178" i="2"/>
  <c r="J181" i="3"/>
  <c r="G130" i="3"/>
  <c r="G131" i="3" s="1"/>
  <c r="I200" i="2"/>
  <c r="D129" i="3"/>
  <c r="I180" i="3"/>
  <c r="J200" i="2"/>
  <c r="H200" i="2"/>
  <c r="Z135" i="2"/>
  <c r="C226" i="2"/>
  <c r="K303" i="2"/>
  <c r="E132" i="2"/>
  <c r="E130" i="2"/>
  <c r="AC133" i="2"/>
  <c r="E120" i="2"/>
  <c r="L120" i="2"/>
  <c r="AD133" i="2"/>
  <c r="L130" i="2"/>
  <c r="E136" i="2"/>
  <c r="G200" i="2"/>
  <c r="I181" i="3"/>
  <c r="D130" i="3"/>
  <c r="L136" i="2"/>
  <c r="D102" i="2"/>
  <c r="AD137" i="2"/>
  <c r="L134" i="2"/>
  <c r="D215" i="2" s="1"/>
  <c r="Y61" i="2"/>
  <c r="F200" i="2"/>
  <c r="J102" i="2"/>
  <c r="J112" i="2"/>
  <c r="K112" i="2"/>
  <c r="K102" i="2"/>
  <c r="J177" i="3"/>
  <c r="Z65" i="2"/>
  <c r="Z66" i="2" s="1"/>
  <c r="F102" i="2"/>
  <c r="F112" i="2"/>
  <c r="C112" i="2"/>
  <c r="C102" i="2"/>
  <c r="G112" i="2"/>
  <c r="G102" i="2"/>
  <c r="D120" i="2"/>
  <c r="D130" i="2"/>
  <c r="D200" i="2"/>
  <c r="L131" i="2"/>
  <c r="J180" i="3"/>
  <c r="G129" i="3"/>
  <c r="AC137" i="2"/>
  <c r="E134" i="2"/>
  <c r="I177" i="3"/>
  <c r="X47" i="2"/>
  <c r="X62" i="2"/>
  <c r="X69" i="2" s="1"/>
  <c r="Y69" i="2" s="1"/>
  <c r="Z68" i="2" s="1"/>
  <c r="Z69" i="2" s="1"/>
  <c r="H112" i="2"/>
  <c r="H102" i="2"/>
  <c r="X132" i="2"/>
  <c r="L132" i="2" s="1"/>
  <c r="K85" i="2"/>
  <c r="K86" i="2" s="1"/>
  <c r="G85" i="2"/>
  <c r="G86" i="2" s="1"/>
  <c r="J85" i="2"/>
  <c r="J86" i="2" s="1"/>
  <c r="F85" i="2"/>
  <c r="F86" i="2" s="1"/>
  <c r="L85" i="2"/>
  <c r="L86" i="2" s="1"/>
  <c r="H85" i="2"/>
  <c r="H86" i="2" s="1"/>
  <c r="D85" i="2"/>
  <c r="D86" i="2" s="1"/>
  <c r="I85" i="2"/>
  <c r="I86" i="2" s="1"/>
  <c r="E85" i="2"/>
  <c r="E86" i="2" s="1"/>
  <c r="C86" i="2"/>
  <c r="D213" i="2" l="1"/>
  <c r="AA132" i="2"/>
  <c r="E302" i="2"/>
  <c r="C303" i="2"/>
  <c r="F130" i="2"/>
  <c r="F120" i="2"/>
  <c r="D226" i="2"/>
  <c r="L303" i="2"/>
  <c r="C353" i="2"/>
  <c r="D303" i="2"/>
  <c r="G130" i="2"/>
  <c r="G120" i="2"/>
  <c r="F303" i="2"/>
  <c r="E138" i="2"/>
  <c r="I130" i="2"/>
  <c r="I120" i="2"/>
  <c r="D227" i="2"/>
  <c r="D131" i="3"/>
  <c r="D137" i="3" s="1"/>
  <c r="D136" i="3"/>
  <c r="E201" i="2"/>
  <c r="J303" i="2"/>
  <c r="C104" i="2"/>
  <c r="K120" i="2"/>
  <c r="K130" i="2"/>
  <c r="G303" i="2"/>
  <c r="Y62" i="2"/>
  <c r="Z61" i="2" s="1"/>
  <c r="Z62" i="2" s="1"/>
  <c r="H303" i="2"/>
  <c r="D135" i="3"/>
  <c r="D212" i="2"/>
  <c r="AA131" i="2"/>
  <c r="L138" i="2"/>
  <c r="D219" i="2" s="1"/>
  <c r="D230" i="2" s="1"/>
  <c r="D211" i="2"/>
  <c r="C352" i="2"/>
  <c r="C20" i="3" s="1"/>
  <c r="D138" i="2"/>
  <c r="D204" i="2" s="1"/>
  <c r="D194" i="2"/>
  <c r="H120" i="2"/>
  <c r="H130" i="2"/>
  <c r="C130" i="2"/>
  <c r="C120" i="2"/>
  <c r="J130" i="2"/>
  <c r="J120" i="2"/>
  <c r="D217" i="2"/>
  <c r="AA136" i="2"/>
  <c r="AA137" i="2" s="1"/>
  <c r="E202" i="2"/>
  <c r="Z136" i="2"/>
  <c r="Z137" i="2" s="1"/>
  <c r="E196" i="2"/>
  <c r="Z132" i="2"/>
  <c r="Z133" i="2" s="1"/>
  <c r="D271" i="2"/>
  <c r="D74" i="3" s="1"/>
  <c r="I303" i="2"/>
  <c r="J194" i="2" l="1"/>
  <c r="J138" i="2"/>
  <c r="J204" i="2" s="1"/>
  <c r="C21" i="3"/>
  <c r="C354" i="2"/>
  <c r="G194" i="2"/>
  <c r="G138" i="2"/>
  <c r="G204" i="2" s="1"/>
  <c r="D228" i="2"/>
  <c r="C122" i="2"/>
  <c r="C139" i="2" s="1"/>
  <c r="D197" i="2"/>
  <c r="C194" i="2"/>
  <c r="C138" i="2"/>
  <c r="C204" i="2" s="1"/>
  <c r="I194" i="2"/>
  <c r="I138" i="2"/>
  <c r="I204" i="2" s="1"/>
  <c r="AA133" i="2"/>
  <c r="L302" i="2"/>
  <c r="L304" i="2" s="1"/>
  <c r="L308" i="2" s="1"/>
  <c r="D222" i="2"/>
  <c r="E303" i="2"/>
  <c r="F194" i="2"/>
  <c r="F138" i="2"/>
  <c r="F204" i="2" s="1"/>
  <c r="H194" i="2"/>
  <c r="H138" i="2"/>
  <c r="H204" i="2" s="1"/>
  <c r="C24" i="3"/>
  <c r="D24" i="3"/>
  <c r="D223" i="2"/>
  <c r="F268" i="2"/>
  <c r="F71" i="3" s="1"/>
  <c r="C211" i="2"/>
  <c r="K138" i="2"/>
  <c r="C219" i="2" s="1"/>
  <c r="C230" i="2" s="1"/>
  <c r="F272" i="2"/>
  <c r="F75" i="3" s="1"/>
  <c r="E204" i="2"/>
  <c r="D224" i="2"/>
  <c r="K302" i="2" l="1"/>
  <c r="C222" i="2"/>
  <c r="H302" i="2"/>
  <c r="E308" i="2"/>
  <c r="E304" i="2"/>
  <c r="E307" i="2" s="1"/>
  <c r="C25" i="3"/>
  <c r="D25" i="3"/>
  <c r="D26" i="3" s="1"/>
  <c r="L307" i="2"/>
  <c r="G302" i="2"/>
  <c r="F269" i="2"/>
  <c r="F72" i="3" s="1"/>
  <c r="C312" i="2"/>
  <c r="I302" i="2"/>
  <c r="C233" i="2"/>
  <c r="D250" i="2"/>
  <c r="D53" i="3" s="1"/>
  <c r="D198" i="2"/>
  <c r="D251" i="2" s="1"/>
  <c r="D54" i="3" s="1"/>
  <c r="F273" i="2"/>
  <c r="F76" i="3" s="1"/>
  <c r="F302" i="2"/>
  <c r="C197" i="2"/>
  <c r="J302" i="2"/>
  <c r="E317" i="2" l="1"/>
  <c r="D235" i="2"/>
  <c r="D234" i="2"/>
  <c r="C26" i="3"/>
  <c r="C267" i="2"/>
  <c r="C70" i="3" s="1"/>
  <c r="C198" i="2"/>
  <c r="C251" i="2" s="1"/>
  <c r="C54" i="3" s="1"/>
  <c r="C250" i="2"/>
  <c r="C53" i="3" s="1"/>
  <c r="J307" i="2"/>
  <c r="J304" i="2"/>
  <c r="J308" i="2" s="1"/>
  <c r="G307" i="2"/>
  <c r="G304" i="2"/>
  <c r="G308" i="2" s="1"/>
  <c r="K304" i="2"/>
  <c r="K308" i="2" s="1"/>
  <c r="H304" i="2"/>
  <c r="H308" i="2" s="1"/>
  <c r="F304" i="2"/>
  <c r="F308" i="2" s="1"/>
  <c r="I304" i="2"/>
  <c r="I308" i="2" s="1"/>
  <c r="D302" i="2"/>
  <c r="D267" i="2"/>
  <c r="D70" i="3" s="1"/>
  <c r="C322" i="2" l="1"/>
  <c r="C271" i="2"/>
  <c r="C74" i="3" s="1"/>
  <c r="I255" i="2"/>
  <c r="D255" i="2"/>
  <c r="D58" i="3" s="1"/>
  <c r="F255" i="2"/>
  <c r="F58" i="3" s="1"/>
  <c r="J255" i="2"/>
  <c r="J58" i="3" s="1"/>
  <c r="G255" i="2"/>
  <c r="G58" i="3" s="1"/>
  <c r="E246" i="2"/>
  <c r="E49" i="3" s="1"/>
  <c r="C255" i="2"/>
  <c r="C58" i="3" s="1"/>
  <c r="H255" i="2"/>
  <c r="H58" i="3" s="1"/>
  <c r="E275" i="2"/>
  <c r="E78" i="3" s="1"/>
  <c r="E247" i="2"/>
  <c r="E50" i="3" s="1"/>
  <c r="D249" i="2"/>
  <c r="D52" i="3" s="1"/>
  <c r="E256" i="2"/>
  <c r="E59" i="3" s="1"/>
  <c r="E257" i="2"/>
  <c r="E60" i="3" s="1"/>
  <c r="D259" i="2"/>
  <c r="D62" i="3" s="1"/>
  <c r="E272" i="2"/>
  <c r="E75" i="3" s="1"/>
  <c r="H245" i="2"/>
  <c r="H48" i="3" s="1"/>
  <c r="E273" i="2"/>
  <c r="E76" i="3" s="1"/>
  <c r="G245" i="2"/>
  <c r="G48" i="3" s="1"/>
  <c r="I245" i="2"/>
  <c r="J259" i="2"/>
  <c r="J62" i="3" s="1"/>
  <c r="F245" i="2"/>
  <c r="F48" i="3" s="1"/>
  <c r="G259" i="2"/>
  <c r="G62" i="3" s="1"/>
  <c r="E268" i="2"/>
  <c r="E71" i="3" s="1"/>
  <c r="E259" i="2"/>
  <c r="E62" i="3" s="1"/>
  <c r="J245" i="2"/>
  <c r="J48" i="3" s="1"/>
  <c r="H259" i="2"/>
  <c r="H62" i="3" s="1"/>
  <c r="C275" i="2"/>
  <c r="C78" i="3" s="1"/>
  <c r="C249" i="2"/>
  <c r="C52" i="3" s="1"/>
  <c r="I259" i="2"/>
  <c r="I62" i="3" s="1"/>
  <c r="E269" i="2"/>
  <c r="E72" i="3" s="1"/>
  <c r="F259" i="2"/>
  <c r="F62" i="3" s="1"/>
  <c r="C259" i="2"/>
  <c r="C62" i="3" s="1"/>
  <c r="D304" i="2"/>
  <c r="D308" i="2" s="1"/>
  <c r="F307" i="2"/>
  <c r="K307" i="2"/>
  <c r="C302" i="2"/>
  <c r="I307" i="2"/>
  <c r="H307" i="2"/>
  <c r="C311" i="2" l="1"/>
  <c r="C307" i="2"/>
  <c r="C304" i="2"/>
  <c r="C308" i="2" s="1"/>
  <c r="D307" i="2"/>
  <c r="I58" i="3"/>
  <c r="K257" i="2"/>
  <c r="K60" i="3" s="1"/>
  <c r="I48" i="3"/>
  <c r="K247" i="2"/>
  <c r="K50" i="3" s="1"/>
  <c r="L329" i="2"/>
  <c r="H329" i="2"/>
  <c r="D329" i="2"/>
  <c r="F328" i="2"/>
  <c r="K329" i="2"/>
  <c r="G329" i="2"/>
  <c r="C329" i="2"/>
  <c r="I328" i="2"/>
  <c r="E328" i="2"/>
  <c r="F329" i="2"/>
  <c r="H328" i="2"/>
  <c r="E329" i="2"/>
  <c r="E330" i="2" s="1"/>
  <c r="G328" i="2"/>
  <c r="L328" i="2"/>
  <c r="D328" i="2"/>
  <c r="C328" i="2"/>
  <c r="K328" i="2"/>
  <c r="K330" i="2" l="1"/>
  <c r="D330" i="2"/>
  <c r="F330" i="2"/>
  <c r="H330" i="2"/>
  <c r="C330" i="2"/>
  <c r="L330" i="2"/>
  <c r="I329" i="2"/>
  <c r="I330" i="2" s="1"/>
  <c r="J329" i="2"/>
  <c r="G330" i="2"/>
  <c r="J328" i="2"/>
  <c r="C332" i="2" s="1"/>
  <c r="E316" i="2"/>
  <c r="C313" i="2"/>
  <c r="C317" i="2" s="1"/>
  <c r="L317" i="2" l="1"/>
  <c r="L316" i="2"/>
  <c r="J330" i="2"/>
  <c r="C333" i="2"/>
  <c r="C334" i="2" s="1"/>
  <c r="C316" i="2"/>
  <c r="C323" i="2" l="1"/>
  <c r="E16" i="3"/>
  <c r="E24" i="3" s="1"/>
  <c r="E17" i="3"/>
  <c r="E25" i="3" s="1"/>
  <c r="C324" i="2"/>
  <c r="E26" i="3" l="1"/>
  <c r="C142" i="3"/>
  <c r="C30" i="3"/>
  <c r="C204" i="3"/>
  <c r="C203" i="3"/>
  <c r="C141" i="3"/>
  <c r="C29" i="3"/>
  <c r="K339" i="2"/>
  <c r="E339" i="2"/>
  <c r="L339" i="2"/>
  <c r="L340" i="2" s="1"/>
  <c r="G339" i="2"/>
  <c r="D339" i="2"/>
  <c r="I339" i="2"/>
  <c r="C339" i="2"/>
  <c r="J339" i="2"/>
  <c r="F339" i="2"/>
  <c r="F340" i="2" s="1"/>
  <c r="H339" i="2"/>
  <c r="E338" i="2"/>
  <c r="L338" i="2"/>
  <c r="H338" i="2"/>
  <c r="G338" i="2"/>
  <c r="D338" i="2"/>
  <c r="F338" i="2"/>
  <c r="K338" i="2"/>
  <c r="J338" i="2"/>
  <c r="I338" i="2"/>
  <c r="C338" i="2"/>
  <c r="C340" i="2" l="1"/>
  <c r="C343" i="2"/>
  <c r="C344" i="2" s="1"/>
  <c r="C346" i="2" s="1"/>
  <c r="H340" i="2"/>
  <c r="I340" i="2"/>
  <c r="E340" i="2"/>
  <c r="C143" i="3"/>
  <c r="D340" i="2"/>
  <c r="K340" i="2"/>
  <c r="C342" i="2"/>
  <c r="J340" i="2"/>
  <c r="G340" i="2"/>
  <c r="C205" i="3"/>
  <c r="C32" i="3"/>
  <c r="C37" i="3"/>
  <c r="E97" i="3" l="1"/>
  <c r="G96" i="3"/>
  <c r="D94" i="3"/>
  <c r="E91" i="3"/>
  <c r="H89" i="3"/>
  <c r="E108" i="3"/>
  <c r="F96" i="3"/>
  <c r="C94" i="3"/>
  <c r="E90" i="3"/>
  <c r="G89" i="3"/>
  <c r="E112" i="3"/>
  <c r="E109" i="3"/>
  <c r="C107" i="3"/>
  <c r="I96" i="3"/>
  <c r="D96" i="3"/>
  <c r="D93" i="3"/>
  <c r="F89" i="3"/>
  <c r="C93" i="3"/>
  <c r="E113" i="3"/>
  <c r="E98" i="3"/>
  <c r="I89" i="3"/>
  <c r="C36" i="3"/>
  <c r="C38" i="3" s="1"/>
  <c r="C111" i="3"/>
  <c r="H96" i="3"/>
  <c r="C96" i="3"/>
  <c r="D122" i="3" l="1"/>
  <c r="C121" i="3"/>
  <c r="I122" i="3"/>
  <c r="J96" i="3"/>
  <c r="G121" i="3"/>
  <c r="F129" i="3"/>
  <c r="G122" i="3"/>
  <c r="F130" i="3"/>
  <c r="F122" i="3"/>
  <c r="C122" i="3"/>
  <c r="C123" i="3" s="1"/>
  <c r="I121" i="3"/>
  <c r="J89" i="3"/>
  <c r="F121" i="3"/>
  <c r="C129" i="3"/>
  <c r="E121" i="3"/>
  <c r="H121" i="3"/>
  <c r="E122" i="3"/>
  <c r="C130" i="3"/>
  <c r="H122" i="3"/>
  <c r="D121" i="3"/>
  <c r="F131" i="3" l="1"/>
  <c r="D123" i="3"/>
  <c r="J121" i="3"/>
  <c r="C135" i="3" s="1"/>
  <c r="E135" i="3" s="1"/>
  <c r="C146" i="3" s="1"/>
  <c r="E146" i="3" s="1"/>
  <c r="J122" i="3"/>
  <c r="C136" i="3" s="1"/>
  <c r="C131" i="3"/>
  <c r="F123" i="3"/>
  <c r="I123" i="3"/>
  <c r="H123" i="3"/>
  <c r="E123" i="3"/>
  <c r="G123" i="3"/>
  <c r="G161" i="3" l="1"/>
  <c r="F161" i="3"/>
  <c r="E162" i="3"/>
  <c r="D166" i="3"/>
  <c r="E180" i="3"/>
  <c r="I161" i="3"/>
  <c r="C179" i="3"/>
  <c r="C166" i="3"/>
  <c r="H161" i="3"/>
  <c r="D165" i="3"/>
  <c r="E163" i="3"/>
  <c r="E181" i="3"/>
  <c r="C165" i="3"/>
  <c r="J161" i="3"/>
  <c r="C137" i="3"/>
  <c r="E137" i="3" s="1"/>
  <c r="C148" i="3" s="1"/>
  <c r="E136" i="3"/>
  <c r="C147" i="3" s="1"/>
  <c r="E147" i="3" s="1"/>
  <c r="J123" i="3"/>
  <c r="K193" i="3" l="1"/>
  <c r="E193" i="3"/>
  <c r="D168" i="3"/>
  <c r="E184" i="3"/>
  <c r="E169" i="3"/>
  <c r="H168" i="3"/>
  <c r="I168" i="3"/>
  <c r="E185" i="3"/>
  <c r="C183" i="3"/>
  <c r="E170" i="3"/>
  <c r="F168" i="3"/>
  <c r="C168" i="3"/>
  <c r="G168" i="3"/>
  <c r="J168" i="3"/>
  <c r="J193" i="3"/>
  <c r="D193" i="3"/>
  <c r="I193" i="3"/>
  <c r="F193" i="3"/>
  <c r="C193" i="3"/>
  <c r="H193" i="3"/>
  <c r="L193" i="3"/>
  <c r="G193" i="3"/>
  <c r="J194" i="3" l="1"/>
  <c r="J195" i="3" s="1"/>
  <c r="H194" i="3"/>
  <c r="H195" i="3" s="1"/>
  <c r="G194" i="3"/>
  <c r="G195" i="3" s="1"/>
  <c r="K194" i="3"/>
  <c r="K195" i="3" s="1"/>
  <c r="E194" i="3"/>
  <c r="E195" i="3" s="1"/>
  <c r="C197" i="3"/>
  <c r="C208" i="3" s="1"/>
  <c r="E208" i="3" s="1"/>
  <c r="C194" i="3"/>
  <c r="L194" i="3"/>
  <c r="L195" i="3" s="1"/>
  <c r="F194" i="3"/>
  <c r="F195" i="3" s="1"/>
  <c r="I194" i="3"/>
  <c r="I195" i="3" s="1"/>
  <c r="D194" i="3"/>
  <c r="D195" i="3" s="1"/>
  <c r="C195" i="3" l="1"/>
  <c r="C198" i="3"/>
  <c r="C199" i="3" l="1"/>
  <c r="C210" i="3" s="1"/>
  <c r="E210" i="3" s="1"/>
  <c r="C209" i="3"/>
  <c r="E209" i="3" s="1"/>
</calcChain>
</file>

<file path=xl/comments1.xml><?xml version="1.0" encoding="utf-8"?>
<comments xmlns="http://schemas.openxmlformats.org/spreadsheetml/2006/main">
  <authors>
    <author>Fee, George</author>
  </authors>
  <commentList>
    <comment ref="D130" authorId="0">
      <text>
        <r>
          <rPr>
            <b/>
            <sz val="9"/>
            <color indexed="81"/>
            <rFont val="Tahoma"/>
            <family val="2"/>
          </rPr>
          <t>Fee, George:</t>
        </r>
        <r>
          <rPr>
            <sz val="9"/>
            <color indexed="81"/>
            <rFont val="Tahoma"/>
            <family val="2"/>
          </rPr>
          <t xml:space="preserve">
Provide by BPU at conclusion of annual BRA (Base Residual Auction)
</t>
        </r>
      </text>
    </comment>
    <comment ref="B138" authorId="0">
      <text>
        <r>
          <rPr>
            <b/>
            <sz val="9"/>
            <color indexed="81"/>
            <rFont val="Tahoma"/>
            <family val="2"/>
          </rPr>
          <t>Fee, George:</t>
        </r>
        <r>
          <rPr>
            <sz val="9"/>
            <color indexed="81"/>
            <rFont val="Tahoma"/>
            <family val="2"/>
          </rPr>
          <t xml:space="preserve">
Only use "No" if analyzing estimated markup percentages</t>
        </r>
      </text>
    </comment>
  </commentList>
</comments>
</file>

<file path=xl/comments2.xml><?xml version="1.0" encoding="utf-8"?>
<comments xmlns="http://schemas.openxmlformats.org/spreadsheetml/2006/main">
  <authors>
    <author>Mike Merizio</author>
  </authors>
  <commentList>
    <comment ref="E158" authorId="0">
      <text>
        <r>
          <rPr>
            <b/>
            <sz val="9"/>
            <color indexed="81"/>
            <rFont val="Tahoma"/>
            <family val="2"/>
          </rPr>
          <t>Mike Merizio:</t>
        </r>
        <r>
          <rPr>
            <sz val="9"/>
            <color indexed="81"/>
            <rFont val="Tahoma"/>
            <family val="2"/>
          </rPr>
          <t xml:space="preserve">
6/2017 - Zeroed out.  CP No longer needed
(PREVIOUS FORMULA =SUM(auction_results_and_rates!C13:C13)/SUM(auction_results_and_rates!C13:E13)*Input!E115)</t>
        </r>
      </text>
    </comment>
  </commentList>
</comments>
</file>

<file path=xl/sharedStrings.xml><?xml version="1.0" encoding="utf-8"?>
<sst xmlns="http://schemas.openxmlformats.org/spreadsheetml/2006/main" count="943" uniqueCount="389">
  <si>
    <t xml:space="preserve"> </t>
  </si>
  <si>
    <t>Adjusted to Billing Time Periods</t>
  </si>
  <si>
    <t>Based on average of year 2014,2015 &amp; 2016 Load Profile Information</t>
  </si>
  <si>
    <t>Table #1</t>
  </si>
  <si>
    <t>% Usage During PJM On-Peak Period</t>
  </si>
  <si>
    <t>On-Peak periods defined as the 16 hr PJM Trading period, adj for NERC holidays</t>
  </si>
  <si>
    <t>Profile Meter Data</t>
  </si>
  <si>
    <t xml:space="preserve">   --- Other Analysis ---</t>
  </si>
  <si>
    <t>(data rounded to nearest .01%)</t>
  </si>
  <si>
    <t>RS</t>
  </si>
  <si>
    <t>RHS</t>
  </si>
  <si>
    <t>RLM</t>
  </si>
  <si>
    <t>WH</t>
  </si>
  <si>
    <t>WHS</t>
  </si>
  <si>
    <t>HS</t>
  </si>
  <si>
    <t>PSAL</t>
  </si>
  <si>
    <t>BPL</t>
  </si>
  <si>
    <t>GLP</t>
  </si>
  <si>
    <t>LPL-S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</si>
  <si>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</si>
  <si>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</si>
  <si>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</si>
  <si>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</si>
  <si>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</si>
  <si>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</si>
  <si>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</si>
  <si>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</si>
  <si>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</si>
  <si>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</si>
  <si>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</si>
  <si>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</si>
  <si>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Table #2</t>
  </si>
  <si>
    <t>% Usage During PSE&amp;G On-Peak Billing Period</t>
  </si>
  <si>
    <t>Table #3</t>
  </si>
  <si>
    <t>Class Usage @ customer</t>
  </si>
  <si>
    <t>in MWh</t>
  </si>
  <si>
    <t>LPL-S &gt; 500 kW PLS</t>
  </si>
  <si>
    <t>% of</t>
  </si>
  <si>
    <t>kWh</t>
  </si>
  <si>
    <t>Gen Obl</t>
  </si>
  <si>
    <t>Table #4</t>
  </si>
  <si>
    <t>Forwards Prices - Energy Only @ bulk system</t>
  </si>
  <si>
    <t>Table #5</t>
  </si>
  <si>
    <t>Zone to Western Hub Basis Differential</t>
  </si>
  <si>
    <t>in $/MWh, not including PJM losses</t>
  </si>
  <si>
    <t>Off/On Pk</t>
  </si>
  <si>
    <t>On-Peak</t>
  </si>
  <si>
    <t>LMP ratio</t>
  </si>
  <si>
    <t>Summer</t>
  </si>
  <si>
    <t>Winter</t>
  </si>
  <si>
    <t>Basis</t>
  </si>
  <si>
    <t>Off-Peak</t>
  </si>
  <si>
    <t>Table #6</t>
  </si>
  <si>
    <t>Loss Type</t>
  </si>
  <si>
    <t>Percentage</t>
  </si>
  <si>
    <t>Source</t>
  </si>
  <si>
    <t>Delivery Losses</t>
  </si>
  <si>
    <t>Tariff (Result of 2000 Loss Study)</t>
  </si>
  <si>
    <t>EHV Losses</t>
  </si>
  <si>
    <t>PJM</t>
  </si>
  <si>
    <t>Marginal Loss Deration Factor</t>
  </si>
  <si>
    <t>NERA</t>
  </si>
  <si>
    <t>Table #10</t>
  </si>
  <si>
    <t>Generation &amp; Transmission Obligations and Costs and Other Adjustments</t>
  </si>
  <si>
    <t>in MW</t>
  </si>
  <si>
    <t>Generation Peak Load Share</t>
  </si>
  <si>
    <t>Tranmsission Obligation</t>
  </si>
  <si>
    <t>Final Zonal RPM Scaling Factor</t>
  </si>
  <si>
    <t>NITS Rate</t>
  </si>
  <si>
    <t>Tranches</t>
  </si>
  <si>
    <t>Base
Capacity</t>
  </si>
  <si>
    <t>Generation Capacity cost</t>
  </si>
  <si>
    <t>summer =</t>
  </si>
  <si>
    <t>$/MW/day</t>
  </si>
  <si>
    <t>winter =</t>
  </si>
  <si>
    <t>Incremental RPM Capacity</t>
  </si>
  <si>
    <t>Required summer inversion =</t>
  </si>
  <si>
    <t>¢/kWh</t>
  </si>
  <si>
    <t>(same as 2003/2004 BGS blocking inversion)</t>
  </si>
  <si>
    <t>Table #11</t>
  </si>
  <si>
    <t>Ancillary Services &amp; Renewable Power Cost</t>
  </si>
  <si>
    <t xml:space="preserve">Ancillary Services </t>
  </si>
  <si>
    <t>per MWh @  bulk system</t>
  </si>
  <si>
    <t>Renewable Power Cost</t>
  </si>
  <si>
    <t>Bill Impacts</t>
  </si>
  <si>
    <t>BGS - CIEP BRA Clearing Price ($ per MW/Day)</t>
  </si>
  <si>
    <t>Annual Obligation Clearing Price</t>
  </si>
  <si>
    <t>per MWh</t>
  </si>
  <si>
    <t>auction results and rates</t>
  </si>
  <si>
    <t>Specific BGS-FP Auction &gt;&gt;</t>
  </si>
  <si>
    <t>remaining portion of 36 month bid - 2016 auction</t>
  </si>
  <si>
    <t>Winning Bid - in $/MWh</t>
  </si>
  <si>
    <t># of Tranches for Bid</t>
  </si>
  <si>
    <t>Use Estimated amount in cell e136</t>
  </si>
  <si>
    <t>Yes</t>
  </si>
  <si>
    <t>Payment Factors</t>
  </si>
  <si>
    <t xml:space="preserve">                           Summer</t>
  </si>
  <si>
    <t xml:space="preserve">                           Winter</t>
  </si>
  <si>
    <t>% usage during Off-Peak period</t>
  </si>
  <si>
    <t xml:space="preserve"> -- Other Analysis --</t>
  </si>
  <si>
    <t>N/A</t>
  </si>
  <si>
    <t>Actual Billed Sales</t>
  </si>
  <si>
    <t>Usage by season - PSE&amp;G periods</t>
  </si>
  <si>
    <t>&lt; 500 kW</t>
  </si>
  <si>
    <t>Total</t>
  </si>
  <si>
    <t>%</t>
  </si>
  <si>
    <t>Trans Obl</t>
  </si>
  <si>
    <t>winter MWh =</t>
  </si>
  <si>
    <t>on-peak</t>
  </si>
  <si>
    <t>off-peak</t>
  </si>
  <si>
    <t>summer MWh =</t>
  </si>
  <si>
    <t>Block 1</t>
  </si>
  <si>
    <t>Block 2</t>
  </si>
  <si>
    <t>Usage by season/period - PJM periods</t>
  </si>
  <si>
    <t>in MWhs</t>
  </si>
  <si>
    <t>Resulting</t>
  </si>
  <si>
    <t xml:space="preserve">Congestion Factors &amp; On/Off Peak Ratios </t>
  </si>
  <si>
    <t>Total on-peak</t>
  </si>
  <si>
    <t>Total off-peak</t>
  </si>
  <si>
    <t>Losses</t>
  </si>
  <si>
    <t>from meter to bulk system (includes Delivery &amp; PJM EHV losses)</t>
  </si>
  <si>
    <t xml:space="preserve">     Loss Factors =</t>
  </si>
  <si>
    <t xml:space="preserve">     Expansion Factor =</t>
  </si>
  <si>
    <t xml:space="preserve">     1 / Expansion Factor =</t>
  </si>
  <si>
    <t>Marginal Loss Factor</t>
  </si>
  <si>
    <t>from meter to transmission node (includes Delivery less mean hourly PJM marginal losses)</t>
  </si>
  <si>
    <t>Table #7</t>
  </si>
  <si>
    <t>Summary of Average BGS Energy Only Unit Costs @ customer - PJM Time Periods</t>
  </si>
  <si>
    <t>based on Forwards prices corrected for congestion &amp; all losses - PJM time periods</t>
  </si>
  <si>
    <t>in $/MWh</t>
  </si>
  <si>
    <t>Summer - all hrs</t>
  </si>
  <si>
    <t>PJM on pk</t>
  </si>
  <si>
    <t>PJM off pk</t>
  </si>
  <si>
    <t>Winter - all hrs</t>
  </si>
  <si>
    <t>Annual</t>
  </si>
  <si>
    <t>System Total</t>
  </si>
  <si>
    <t>Table #8</t>
  </si>
  <si>
    <t>Summary of Average BGS Energy Only Costs @ customer - PJM Time Periods</t>
  </si>
  <si>
    <t>based on Forwards prices corrected for congestion &amp; all losses</t>
  </si>
  <si>
    <t>in $1000</t>
  </si>
  <si>
    <t>Table #9</t>
  </si>
  <si>
    <t>Summary of Average BGS Energy Only Unit Costs @ customer - PSE&amp;G Time Periods</t>
  </si>
  <si>
    <t>MWhs in PSE&amp;G time periods</t>
  </si>
  <si>
    <t>MWhs in PJM time periods</t>
  </si>
  <si>
    <t>Difference in MWhs</t>
  </si>
  <si>
    <t>Check on total $ recovered</t>
  </si>
  <si>
    <t>based on Forwards prices corrected for congestion &amp; all losses - PSE&amp;G billing time periods</t>
  </si>
  <si>
    <t>(PJM - PSE&amp;G)</t>
  </si>
  <si>
    <t>PSE&amp;G time periods</t>
  </si>
  <si>
    <t>PJM time periods (Table #8)</t>
  </si>
  <si>
    <t>PSE&amp;G On pk</t>
  </si>
  <si>
    <t>PSE&amp;G Off pk</t>
  </si>
  <si>
    <t>Annual Average</t>
  </si>
  <si>
    <t>System Average</t>
  </si>
  <si>
    <t>Adj for PLS</t>
  </si>
  <si>
    <t>&gt; 500 kW</t>
  </si>
  <si>
    <t>NITS Rate Weighted Average Calculation</t>
  </si>
  <si>
    <t>Gen Obl - MW</t>
  </si>
  <si>
    <t xml:space="preserve"> NITS Rate</t>
  </si>
  <si>
    <t>Trans Obl - MW</t>
  </si>
  <si>
    <t># of Months and Days used in this analysis</t>
  </si>
  <si>
    <t># of summer days =</t>
  </si>
  <si>
    <t># of summer months =</t>
  </si>
  <si>
    <t># of winter days =</t>
  </si>
  <si>
    <t># of winter months =</t>
  </si>
  <si>
    <t>total # months =</t>
  </si>
  <si>
    <t>Transmission Cost</t>
  </si>
  <si>
    <t>year round =</t>
  </si>
  <si>
    <t>per MW-yr</t>
  </si>
  <si>
    <t>Total Capacity</t>
  </si>
  <si>
    <t xml:space="preserve">Resulting average generation capacity cost = </t>
  </si>
  <si>
    <t>annual  &gt;&gt;</t>
  </si>
  <si>
    <t>per kW/yr</t>
  </si>
  <si>
    <t>% usage in Summer Blocks</t>
  </si>
  <si>
    <t>Block 1 (0-600 kWh/m)</t>
  </si>
  <si>
    <t>(based on W/N actuals used in settlement and final rate design of 2009 Rate Case, rounded to .1%)</t>
  </si>
  <si>
    <t>Blocking Percentages based on Annualized W/N Usaeg Used in 2009 Electric Rate Case Settlement</t>
  </si>
  <si>
    <t>Block 2  (&gt;600 kWh/m)</t>
  </si>
  <si>
    <t>June - September (0-600)</t>
  </si>
  <si>
    <t>June - September (600+)</t>
  </si>
  <si>
    <t>Total Summer Usage</t>
  </si>
  <si>
    <t>Total AncillaryServices &amp; Renewable Power Costs</t>
  </si>
  <si>
    <t>Table #12</t>
  </si>
  <si>
    <t>Summary of Obligation Costs Expressed as $/MWh @ customer (for non-demand rates only)</t>
  </si>
  <si>
    <t>Transmission Obl - all months</t>
  </si>
  <si>
    <t xml:space="preserve">Generation Obl -                </t>
  </si>
  <si>
    <t>per annual MWh</t>
  </si>
  <si>
    <t>recovery per summer MWh</t>
  </si>
  <si>
    <t>recovery per winter MWh</t>
  </si>
  <si>
    <t xml:space="preserve">For RLM, per </t>
  </si>
  <si>
    <t>on-peak kWh only</t>
  </si>
  <si>
    <t>Table #13</t>
  </si>
  <si>
    <t>Summary of BGS Unit Costs @ customer</t>
  </si>
  <si>
    <t>NON-DEMAND RATES</t>
  </si>
  <si>
    <t>includes energy, G&amp;T obligations, and Ancillary Services - adjusted to billing time periods</t>
  </si>
  <si>
    <t>Block 2 (&gt;600 kWh/m)</t>
  </si>
  <si>
    <t>Annual -all hrs</t>
  </si>
  <si>
    <t>DEMAND RATES</t>
  </si>
  <si>
    <t>includes energy and Ancillary Services, G&amp;T obligations charged separately - adjusted to billing time periods</t>
  </si>
  <si>
    <t>PLUS:</t>
  </si>
  <si>
    <t>Gen Cost</t>
  </si>
  <si>
    <t>summer</t>
  </si>
  <si>
    <t>per kW of G obl /month</t>
  </si>
  <si>
    <t>winter</t>
  </si>
  <si>
    <t>annual</t>
  </si>
  <si>
    <t>Trans cost</t>
  </si>
  <si>
    <t>all months</t>
  </si>
  <si>
    <t>per kW of T obl /month</t>
  </si>
  <si>
    <t>Annual - all hrs per MWh only</t>
  </si>
  <si>
    <t>Including T&amp;G Obligation $</t>
  </si>
  <si>
    <t>Note: Obligation $ included in On pk costs</t>
  </si>
  <si>
    <t>Annual - including T&amp;G Obl $</t>
  </si>
  <si>
    <t>ALL RATES</t>
  </si>
  <si>
    <t>Grand Total Cost in $1000 =</t>
  </si>
  <si>
    <t>All-In Average cost @ customer =</t>
  </si>
  <si>
    <t>per MWh at customer (per customer metered MWh)</t>
  </si>
  <si>
    <t>All-In Average costs @ transmission nodes =</t>
  </si>
  <si>
    <t>per MWh at transmission nodes (per metered MWh at transmission node)</t>
  </si>
  <si>
    <t>Table #14</t>
  </si>
  <si>
    <r>
      <t>Ratio of BGS Unit Costs @ customer to All-In Average Cost @ transmission nodes -</t>
    </r>
    <r>
      <rPr>
        <i/>
        <sz val="10"/>
        <rFont val="Arial"/>
        <family val="2"/>
      </rPr>
      <t xml:space="preserve"> rounded to 3 decimal places, unit obligation $ rounded to 4 decimal places</t>
    </r>
  </si>
  <si>
    <t>Use weighted average</t>
  </si>
  <si>
    <t>for all streetlighting =</t>
  </si>
  <si>
    <t>All usage Multiplier</t>
  </si>
  <si>
    <t>Constant (in $/MWh)</t>
  </si>
  <si>
    <t>for Block 1 (0-600 kWh/m) usage</t>
  </si>
  <si>
    <t>for Block 2 (&gt;600 kWh/m) usage</t>
  </si>
  <si>
    <t>Annual - all hrs</t>
  </si>
  <si>
    <t>Multiplier</t>
  </si>
  <si>
    <t>Assumptions:</t>
  </si>
  <si>
    <t>Gen Cost =</t>
  </si>
  <si>
    <t xml:space="preserve">/MW day </t>
  </si>
  <si>
    <t>Trans cost =</t>
  </si>
  <si>
    <t>Analysis time period =</t>
  </si>
  <si>
    <t>summer months</t>
  </si>
  <si>
    <t>winter months</t>
  </si>
  <si>
    <t>Ancillary Services &amp; RPS =</t>
  </si>
  <si>
    <t>Energy Costs =</t>
  </si>
  <si>
    <t xml:space="preserve"> based on Forwards @ PJM West - corrected for congestion</t>
  </si>
  <si>
    <t>Usage patterns =</t>
  </si>
  <si>
    <t>Obligations =</t>
  </si>
  <si>
    <t xml:space="preserve"> class totals in effect as of filing date</t>
  </si>
  <si>
    <t>Losses =</t>
  </si>
  <si>
    <t xml:space="preserve"> Delivery losses from tariff, PJM losses based on 3 year average %</t>
  </si>
  <si>
    <t>PJM Time Periods =</t>
  </si>
  <si>
    <t xml:space="preserve"> PJM trading time periods - 7 AM to 11 PM weekdays, local time, x NERC </t>
  </si>
  <si>
    <t xml:space="preserve">     holidays - New Year's, Memorial, 4th of July, Labor Day, Thanksgiving &amp; Christmas</t>
  </si>
  <si>
    <t>PSE&amp;G Billing time periods =</t>
  </si>
  <si>
    <t xml:space="preserve"> as per specific rate schedule</t>
  </si>
  <si>
    <t>NJ SUT (Sales &amp; Use Tax) =</t>
  </si>
  <si>
    <t>SUT excluded from all rates</t>
  </si>
  <si>
    <t>Table #15</t>
  </si>
  <si>
    <t>Summary of Total BGS Costs by Season</t>
  </si>
  <si>
    <t>Total Costs by Rate - in $1000</t>
  </si>
  <si>
    <t>% of Annual Total $ by Rate</t>
  </si>
  <si>
    <t>Total Costs - in $1000</t>
  </si>
  <si>
    <t>rounded to 4 decimal places</t>
  </si>
  <si>
    <t>% of Annual Total $</t>
  </si>
  <si>
    <t xml:space="preserve">         If total $ were split on a per MWh basis (on transmission node MWhs):</t>
  </si>
  <si>
    <t>per MWh @ trans nodes</t>
  </si>
  <si>
    <t>Ratio to All-In Cost &gt;&gt;&gt;</t>
  </si>
  <si>
    <t>Table #16</t>
  </si>
  <si>
    <r>
      <t xml:space="preserve">Spreadsheet Error Checking - </t>
    </r>
    <r>
      <rPr>
        <i/>
        <sz val="10"/>
        <rFont val="Arial"/>
        <family val="2"/>
      </rPr>
      <t>Reconciliation of Customer Revenue and Supplier Payments, based on above data only</t>
    </r>
  </si>
  <si>
    <t>Assumed Winning Bid Price =</t>
  </si>
  <si>
    <t>(bid includes payments for all losses)</t>
  </si>
  <si>
    <t>Payment Ratio - Summer =</t>
  </si>
  <si>
    <t>Payment Ratio - Winter =</t>
  </si>
  <si>
    <t>Total Rate Revenue - in $1000</t>
  </si>
  <si>
    <t>Total Summer</t>
  </si>
  <si>
    <t>Total Winter</t>
  </si>
  <si>
    <t>Grand Total</t>
  </si>
  <si>
    <t>Total Supplier Payment - in $1000</t>
  </si>
  <si>
    <t>Difference ( in $1000) =</t>
  </si>
  <si>
    <t>Note: Minor differences in totals are due to rounding of Bid Factors and Payment Factors</t>
  </si>
  <si>
    <t>Table #17</t>
  </si>
  <si>
    <t>Total Supplier Energy</t>
  </si>
  <si>
    <t>@ transmission nodes</t>
  </si>
  <si>
    <t>NJ Sales &amp; Use Tax (SUT) excluded</t>
  </si>
  <si>
    <t>Table A</t>
  </si>
  <si>
    <t>Auction Results</t>
  </si>
  <si>
    <t>Line Designation</t>
  </si>
  <si>
    <t>Incremental RPM cost $/MWh</t>
  </si>
  <si>
    <t>2016 Auction</t>
  </si>
  <si>
    <t>2017 Auction</t>
  </si>
  <si>
    <t>2018 Auction</t>
  </si>
  <si>
    <t>line #</t>
  </si>
  <si>
    <t>remaining portion of 36 month bid - 2017 auction</t>
  </si>
  <si>
    <t>36 month bid - 2018 auction</t>
  </si>
  <si>
    <t>Notes:</t>
  </si>
  <si>
    <t>A</t>
  </si>
  <si>
    <t>Incremental Capacity Cost</t>
  </si>
  <si>
    <t>No adder required as data known prior to Feb. 2016 auction</t>
  </si>
  <si>
    <t>B</t>
  </si>
  <si>
    <t>Total Generation Obligation</t>
  </si>
  <si>
    <t>C</t>
  </si>
  <si>
    <t>Days in Year</t>
  </si>
  <si>
    <t>1A</t>
  </si>
  <si>
    <t>Incremental RPM Cost - in $/MWh</t>
  </si>
  <si>
    <t>D = A * B * C</t>
  </si>
  <si>
    <t>Total Incremental Cost</t>
  </si>
  <si>
    <t>Total - in $/MWh</t>
  </si>
  <si>
    <t>= line 1 + line 2</t>
  </si>
  <si>
    <t>E</t>
  </si>
  <si>
    <t>Eligible Tranches</t>
  </si>
  <si>
    <t>F</t>
  </si>
  <si>
    <t xml:space="preserve">Total Inc. Adder Tranches </t>
  </si>
  <si>
    <t xml:space="preserve">      (includes all payments, including impact of PJM marginal losses)</t>
  </si>
  <si>
    <t>G = E / F</t>
  </si>
  <si>
    <t>Eligibility %</t>
  </si>
  <si>
    <t>from then current Bid</t>
  </si>
  <si>
    <t>H = D * G</t>
  </si>
  <si>
    <t>Allocated Period Cost</t>
  </si>
  <si>
    <t>Total # of Tranches</t>
  </si>
  <si>
    <t>I</t>
  </si>
  <si>
    <t>Total Tranches</t>
  </si>
  <si>
    <t>J</t>
  </si>
  <si>
    <t>Total MWhs</t>
  </si>
  <si>
    <t>K = E / I * J</t>
  </si>
  <si>
    <t>Allocated MWhs</t>
  </si>
  <si>
    <t>L = H / K</t>
  </si>
  <si>
    <t xml:space="preserve">Incremental RPM Cost </t>
  </si>
  <si>
    <r>
      <t xml:space="preserve">Applicable Customer Usage @ transmission nodes </t>
    </r>
    <r>
      <rPr>
        <b/>
        <i/>
        <sz val="10"/>
        <rFont val="Arial"/>
        <family val="2"/>
      </rPr>
      <t xml:space="preserve">- </t>
    </r>
    <r>
      <rPr>
        <i/>
        <sz val="10"/>
        <rFont val="Arial"/>
        <family val="2"/>
      </rPr>
      <t>in MWh</t>
    </r>
  </si>
  <si>
    <t xml:space="preserve">                           Summer MWh</t>
  </si>
  <si>
    <t>from Table #17 of the current Bid Factor Spreadsheet</t>
  </si>
  <si>
    <t xml:space="preserve">                           Winter MWh</t>
  </si>
  <si>
    <r>
      <t xml:space="preserve">Total Payment to Suppliers </t>
    </r>
    <r>
      <rPr>
        <i/>
        <sz val="10"/>
        <rFont val="Arial"/>
        <family val="2"/>
      </rPr>
      <t xml:space="preserve">- in $1000 </t>
    </r>
  </si>
  <si>
    <t>= (1) * (2)/(3) * (4) * (6) + (1A) * (2)/(3) * (6)</t>
  </si>
  <si>
    <t>= (1) * (2)/(3) * (5) * (7) + (1A) * (2)/(3) * (7)</t>
  </si>
  <si>
    <t xml:space="preserve">                           Total</t>
  </si>
  <si>
    <t>Note: $ reflect total payment</t>
  </si>
  <si>
    <r>
      <t xml:space="preserve">Average Payment to Suppliers </t>
    </r>
    <r>
      <rPr>
        <i/>
        <sz val="10"/>
        <rFont val="Arial"/>
        <family val="2"/>
      </rPr>
      <t>- in $/MWh</t>
    </r>
  </si>
  <si>
    <t>= sum(line 8) / (6) - rounded to 3 decimal places</t>
  </si>
  <si>
    <t>= sum(line 9) / (7) - rounded to 3 decimal places</t>
  </si>
  <si>
    <t xml:space="preserve">                Total weighted average</t>
  </si>
  <si>
    <t xml:space="preserve">   &lt;&lt;&lt; used in calculation of</t>
  </si>
  <si>
    <t>= sum(line 10) / [ (6) + (7)]</t>
  </si>
  <si>
    <t xml:space="preserve">           Customer Rates</t>
  </si>
  <si>
    <t xml:space="preserve">   rounded to 3 decimal places</t>
  </si>
  <si>
    <r>
      <t>Reconciliation of amounts</t>
    </r>
    <r>
      <rPr>
        <i/>
        <sz val="10"/>
        <rFont val="Arial"/>
        <family val="2"/>
      </rPr>
      <t xml:space="preserve"> - in $1000</t>
    </r>
  </si>
  <si>
    <t>Weighted Average * Total MWh =</t>
  </si>
  <si>
    <t>= (13) * [(6)+(7)] / 1000</t>
  </si>
  <si>
    <t>Total Payment to Suppliers =</t>
  </si>
  <si>
    <t>= sum (line 10)</t>
  </si>
  <si>
    <t>Difference =</t>
  </si>
  <si>
    <t>= line (14) - line (15)</t>
  </si>
  <si>
    <t>Table B</t>
  </si>
  <si>
    <t>Ratio of BGS Unit Costs @ customer to All-In Average Cost @ transmission nodes</t>
  </si>
  <si>
    <t>from Table #14 of the bid factor spreadsheet ---</t>
  </si>
  <si>
    <t>rounded to 3 decimal places, unit obligation $ rounded to 4 decimal places</t>
  </si>
  <si>
    <t>Table C</t>
  </si>
  <si>
    <r>
      <t xml:space="preserve">Preliminary Resulting BGS Rates (in cents per kWh) - </t>
    </r>
    <r>
      <rPr>
        <i/>
        <sz val="10"/>
        <rFont val="Arial"/>
        <family val="2"/>
      </rPr>
      <t>equal to bid factors times weighted average bid price</t>
    </r>
  </si>
  <si>
    <t xml:space="preserve">   rounded to 4 decimal places</t>
  </si>
  <si>
    <t>NON-DEMAND RATES -----------------------------------------------------------------------------------------------------------------------------------------------------------------------</t>
  </si>
  <si>
    <t>DEMAND RATES --------------------------------------------------------------------------------------------------------------------------------------------------------------------------------</t>
  </si>
  <si>
    <t>Table D</t>
  </si>
  <si>
    <r>
      <t xml:space="preserve">Revenue Recovery Calculations - </t>
    </r>
    <r>
      <rPr>
        <i/>
        <sz val="10"/>
        <rFont val="Arial"/>
        <family val="2"/>
      </rPr>
      <t>Reconciliation of seasonal Customer Revenue and Supplier Payments, based on actual anticipated revenues and payments</t>
    </r>
  </si>
  <si>
    <t>Total Preliminary Rate Revenue - in $1000</t>
  </si>
  <si>
    <t>Energy $</t>
  </si>
  <si>
    <t>Obligation $</t>
  </si>
  <si>
    <t>Total $</t>
  </si>
  <si>
    <t>kWh Rate</t>
  </si>
  <si>
    <t>Adjustment</t>
  </si>
  <si>
    <t xml:space="preserve">   rounded to 5 decimal places</t>
  </si>
  <si>
    <t>Differences - in $1000</t>
  </si>
  <si>
    <t>Factors</t>
  </si>
  <si>
    <t xml:space="preserve">Note: These differences are due to rounding and seasonal differences in Bidder Payments (which are based on prior </t>
  </si>
  <si>
    <t xml:space="preserve">          wining bids and Seasonal Payment Factors) and current Rates (based on current seasonal market differentials)</t>
  </si>
  <si>
    <t>Table E</t>
  </si>
  <si>
    <r>
      <t xml:space="preserve">Final Resulting BGS Rates from Auctions (in cents per kWh) - </t>
    </r>
    <r>
      <rPr>
        <i/>
        <sz val="10"/>
        <rFont val="Arial"/>
        <family val="2"/>
      </rPr>
      <t>with preliminary kWh rates adjusted by the kWh Rate Adjustment Factor</t>
    </r>
  </si>
  <si>
    <t>includes energy, G&amp;T obligations, and Ancillary Services - adjusted to billing time periods &amp; adjustment to energy price</t>
  </si>
  <si>
    <t>includes energy and Ancillary Services, G&amp;T obligations charged separately - adjusted to billing time periods &amp; adjustment to energy price</t>
  </si>
  <si>
    <t>Table F</t>
  </si>
  <si>
    <r>
      <t>Spreadsheet Error Checking</t>
    </r>
    <r>
      <rPr>
        <i/>
        <sz val="10"/>
        <rFont val="Arial"/>
        <family val="2"/>
      </rPr>
      <t xml:space="preserve"> - Checking of seasonal Customer Revenue and Supplier Payments, based on final actual anticipated revenues and payments</t>
    </r>
  </si>
  <si>
    <t>% difference</t>
  </si>
  <si>
    <t>Development of BGS-RSCP Cost and Bid Factors for 2018/2019 BGS Filing</t>
  </si>
  <si>
    <t>36 month bid - 2018 Auction</t>
  </si>
  <si>
    <r>
      <t xml:space="preserve">Winning Bid - </t>
    </r>
    <r>
      <rPr>
        <sz val="10"/>
        <color rgb="FFFF0000"/>
        <rFont val="Arial"/>
        <family val="2"/>
      </rPr>
      <t>2018 Illustrative Purposes Only</t>
    </r>
  </si>
  <si>
    <t>Illustrative Purposes Only</t>
  </si>
  <si>
    <t>Calculation of June 2018 to May 2019 BGS-RSCP Rates</t>
  </si>
  <si>
    <t>NYMEX Forwards (October 25, 2017) from NERA</t>
  </si>
  <si>
    <t xml:space="preserve">  Summer Averages for Aug 2014-Jul 2017</t>
  </si>
  <si>
    <t xml:space="preserve">  Winter Averages for Oct 2014-May 2017</t>
  </si>
  <si>
    <t>PJM June 1, 2017 (through May 31, 2018) Forecast Pool Requirement</t>
  </si>
  <si>
    <t>obligations - Peak Load shares eff 6/1/17, scaling factors eff 6/1/17, Transmission Loads eff 1/1/17; costs are market estimates</t>
  </si>
  <si>
    <t>On-Peak periods as defined in specified rate schedule (average of %s for 2014, 2015 &amp; 2016)</t>
  </si>
  <si>
    <t>No adder required as data known prior to Feb. 2017 auction</t>
  </si>
  <si>
    <t>No adder required as data known prior to Feb. 2018 auction</t>
  </si>
  <si>
    <t xml:space="preserve"> forecasted 2017 energy use by class, PJM and PSE&amp;G on/off % from 2014, 2015 &amp; 2016 class load profiles</t>
  </si>
  <si>
    <t>The Incremental RPM Cost is not applicable for tranches from the 2016, 2017, or 2018 BGS-RSCP Auctions</t>
  </si>
  <si>
    <t>calendar month sales forecasted for 2017, less % for LPL-Sec &gt; 500 kW Peak Load Share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</si>
</sst>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5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_);_(* \(#,##0\);_(* &quot;-&quot;??_);_(@_)"/>
    <numFmt numFmtId="166" formatCode="0.0000"/>
    <numFmt numFmtId="167" formatCode="#,##0.000"/>
    <numFmt numFmtId="168" formatCode="0.0000%"/>
    <numFmt numFmtId="169" formatCode="0.00000"/>
    <numFmt numFmtId="170" formatCode="0.000000"/>
    <numFmt numFmtId="171" formatCode="0.00000%"/>
    <numFmt numFmtId="172" formatCode="#,##0.0"/>
    <numFmt numFmtId="173" formatCode="&quot;$&quot;#,##0.00"/>
    <numFmt numFmtId="174" formatCode="0.00000000"/>
    <numFmt numFmtId="175" formatCode="#,##0.0_);[Red]\(#,##0.0\)"/>
    <numFmt numFmtId="176" formatCode="_(&quot;$&quot;* #,##0_);_(&quot;$&quot;* \(#,##0\);_(&quot;$&quot;* &quot;-&quot;??_);_(@_)"/>
    <numFmt numFmtId="177" formatCode="_(&quot;$&quot;* #,##0.0000_);_(&quot;$&quot;* \(#,##0.0000\);_(&quot;$&quot;* &quot;-&quot;??_);_(@_)"/>
    <numFmt numFmtId="178" formatCode="_(* #,##0.000_);_(* \(#,##0.000\);_(* &quot;-&quot;??_);_(@_)"/>
    <numFmt numFmtId="179" formatCode="_(&quot;$&quot;* #,##0.000_);_(&quot;$&quot;* \(#,##0.000\);_(&quot;$&quot;* &quot;-&quot;??_);_(@_)"/>
    <numFmt numFmtId="180" formatCode="_(* #,##0.0000_);_(* \(#,##0.0000\);_(* &quot;-&quot;??_);_(@_)"/>
    <numFmt numFmtId="181" formatCode="&quot;$&quot;#,##0"/>
    <numFmt numFmtId="182" formatCode="0.0"/>
    <numFmt numFmtId="183" formatCode="&quot;$&quot;#,##0.0000"/>
    <numFmt numFmtId="184" formatCode="&quot;$&quot;#,##0\ ;\(&quot;$&quot;#,##0\)"/>
  </numFmts>
  <fonts count="52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b/>
      <sz val="12"/>
      <name val="Arial"/>
      <family val="2"/>
    </font>
    <font>
      <i/>
      <u/>
      <sz val="10"/>
      <name val="Arial"/>
      <family val="2"/>
    </font>
    <font>
      <i/>
      <sz val="10"/>
      <name val="Arial"/>
      <family val="2"/>
    </font>
    <font>
      <b/>
      <sz val="10"/>
      <color indexed="54"/>
      <name val="Arial"/>
      <family val="2"/>
    </font>
    <font>
      <u/>
      <sz val="10"/>
      <color indexed="12"/>
      <name val="Arial"/>
      <family val="2"/>
    </font>
    <font>
      <sz val="10"/>
      <name val="Times New Roman"/>
      <family val="1"/>
    </font>
    <font>
      <b/>
      <sz val="10"/>
      <color indexed="12"/>
      <name val="Arial"/>
      <family val="2"/>
    </font>
    <font>
      <sz val="10"/>
      <color rgb="FF161BF6"/>
      <name val="Arial"/>
      <family val="2"/>
    </font>
    <font>
      <sz val="14"/>
      <color rgb="FFFF0000"/>
      <name val="Arial"/>
      <family val="2"/>
    </font>
    <font>
      <u/>
      <sz val="10"/>
      <name val="Arial"/>
      <family val="2"/>
    </font>
    <font>
      <b/>
      <u/>
      <sz val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u val="singleAccounting"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u val="singleAccounting"/>
      <sz val="10"/>
      <color theme="1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2"/>
      <name val="Arial"/>
      <family val="2"/>
    </font>
    <font>
      <sz val="10"/>
      <color indexed="22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8"/>
      <color indexed="22"/>
      <name val="Arial"/>
      <family val="2"/>
    </font>
    <font>
      <b/>
      <sz val="13"/>
      <color indexed="56"/>
      <name val="Arial"/>
      <family val="2"/>
    </font>
    <font>
      <b/>
      <sz val="12"/>
      <color indexed="22"/>
      <name val="Arial"/>
      <family val="2"/>
    </font>
    <font>
      <b/>
      <sz val="11"/>
      <color indexed="56"/>
      <name val="Arial"/>
      <family val="2"/>
    </font>
    <font>
      <u/>
      <sz val="12"/>
      <color indexed="1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18"/>
      <color indexed="56"/>
      <name val="Cambria"/>
      <family val="2"/>
    </font>
    <font>
      <i/>
      <sz val="10"/>
      <color rgb="FFFF0000"/>
      <name val="Arial"/>
      <family val="2"/>
    </font>
    <font>
      <i/>
      <sz val="8"/>
      <name val="Arial"/>
      <family val="2"/>
    </font>
  </fonts>
  <fills count="4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double">
        <color indexed="64"/>
      </top>
      <bottom/>
      <diagonal/>
    </border>
  </borders>
  <cellStyleXfs count="154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9" borderId="0" applyNumberFormat="0" applyBorder="0" applyAlignment="0" applyProtection="0"/>
    <xf numFmtId="0" fontId="25" fillId="12" borderId="0" applyNumberFormat="0" applyBorder="0" applyAlignment="0" applyProtection="0"/>
    <xf numFmtId="0" fontId="25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23" borderId="0" applyNumberFormat="0" applyBorder="0" applyAlignment="0" applyProtection="0"/>
    <xf numFmtId="0" fontId="27" fillId="7" borderId="0" applyNumberFormat="0" applyBorder="0" applyAlignment="0" applyProtection="0"/>
    <xf numFmtId="0" fontId="28" fillId="24" borderId="16" applyNumberFormat="0" applyAlignment="0" applyProtection="0"/>
    <xf numFmtId="0" fontId="29" fillId="25" borderId="17" applyNumberFormat="0" applyAlignment="0" applyProtection="0"/>
    <xf numFmtId="43" fontId="2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3" fontId="3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84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2" fontId="31" fillId="0" borderId="0" applyFont="0" applyFill="0" applyBorder="0" applyAlignment="0" applyProtection="0"/>
    <xf numFmtId="0" fontId="33" fillId="8" borderId="0" applyNumberFormat="0" applyBorder="0" applyAlignment="0" applyProtection="0"/>
    <xf numFmtId="0" fontId="34" fillId="0" borderId="1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19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20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>
      <alignment vertical="top"/>
      <protection locked="0"/>
    </xf>
    <xf numFmtId="0" fontId="40" fillId="11" borderId="16" applyNumberFormat="0" applyAlignment="0" applyProtection="0"/>
    <xf numFmtId="0" fontId="41" fillId="0" borderId="21" applyNumberFormat="0" applyFill="0" applyAlignment="0" applyProtection="0"/>
    <xf numFmtId="0" fontId="42" fillId="2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21" fillId="0" borderId="0"/>
    <xf numFmtId="0" fontId="2" fillId="0" borderId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0" fillId="0" borderId="0"/>
    <xf numFmtId="0" fontId="30" fillId="0" borderId="0"/>
    <xf numFmtId="0" fontId="2" fillId="27" borderId="22" applyNumberFormat="0" applyFont="0" applyAlignment="0" applyProtection="0"/>
    <xf numFmtId="0" fontId="2" fillId="27" borderId="22" applyNumberFormat="0" applyFont="0" applyAlignment="0" applyProtection="0"/>
    <xf numFmtId="0" fontId="43" fillId="24" borderId="23" applyNumberForma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4" fontId="25" fillId="28" borderId="23" applyNumberFormat="0" applyProtection="0">
      <alignment vertical="center"/>
    </xf>
    <xf numFmtId="4" fontId="44" fillId="28" borderId="23" applyNumberFormat="0" applyProtection="0">
      <alignment vertical="center"/>
    </xf>
    <xf numFmtId="4" fontId="25" fillId="28" borderId="23" applyNumberFormat="0" applyProtection="0">
      <alignment horizontal="left" vertical="center" indent="1"/>
    </xf>
    <xf numFmtId="4" fontId="25" fillId="28" borderId="23" applyNumberFormat="0" applyProtection="0">
      <alignment horizontal="left" vertical="center" indent="1"/>
    </xf>
    <xf numFmtId="0" fontId="2" fillId="29" borderId="23" applyNumberFormat="0" applyProtection="0">
      <alignment horizontal="left" vertical="center" indent="1"/>
    </xf>
    <xf numFmtId="4" fontId="25" fillId="30" borderId="23" applyNumberFormat="0" applyProtection="0">
      <alignment horizontal="right" vertical="center"/>
    </xf>
    <xf numFmtId="4" fontId="25" fillId="31" borderId="23" applyNumberFormat="0" applyProtection="0">
      <alignment horizontal="right" vertical="center"/>
    </xf>
    <xf numFmtId="4" fontId="25" fillId="32" borderId="23" applyNumberFormat="0" applyProtection="0">
      <alignment horizontal="right" vertical="center"/>
    </xf>
    <xf numFmtId="4" fontId="25" fillId="33" borderId="23" applyNumberFormat="0" applyProtection="0">
      <alignment horizontal="right" vertical="center"/>
    </xf>
    <xf numFmtId="4" fontId="25" fillId="34" borderId="23" applyNumberFormat="0" applyProtection="0">
      <alignment horizontal="right" vertical="center"/>
    </xf>
    <xf numFmtId="4" fontId="25" fillId="35" borderId="23" applyNumberFormat="0" applyProtection="0">
      <alignment horizontal="right" vertical="center"/>
    </xf>
    <xf numFmtId="4" fontId="25" fillId="36" borderId="23" applyNumberFormat="0" applyProtection="0">
      <alignment horizontal="right" vertical="center"/>
    </xf>
    <xf numFmtId="4" fontId="25" fillId="37" borderId="23" applyNumberFormat="0" applyProtection="0">
      <alignment horizontal="right" vertical="center"/>
    </xf>
    <xf numFmtId="4" fontId="25" fillId="38" borderId="23" applyNumberFormat="0" applyProtection="0">
      <alignment horizontal="right" vertical="center"/>
    </xf>
    <xf numFmtId="4" fontId="45" fillId="39" borderId="23" applyNumberFormat="0" applyProtection="0">
      <alignment horizontal="left" vertical="center" indent="1"/>
    </xf>
    <xf numFmtId="4" fontId="25" fillId="40" borderId="24" applyNumberFormat="0" applyProtection="0">
      <alignment horizontal="left" vertical="center" indent="1"/>
    </xf>
    <xf numFmtId="4" fontId="46" fillId="41" borderId="0" applyNumberFormat="0" applyProtection="0">
      <alignment horizontal="left" vertical="center" indent="1"/>
    </xf>
    <xf numFmtId="0" fontId="2" fillId="29" borderId="23" applyNumberFormat="0" applyProtection="0">
      <alignment horizontal="left" vertical="center" indent="1"/>
    </xf>
    <xf numFmtId="4" fontId="25" fillId="40" borderId="23" applyNumberFormat="0" applyProtection="0">
      <alignment horizontal="left" vertical="center" indent="1"/>
    </xf>
    <xf numFmtId="4" fontId="25" fillId="42" borderId="23" applyNumberFormat="0" applyProtection="0">
      <alignment horizontal="left" vertical="center" indent="1"/>
    </xf>
    <xf numFmtId="0" fontId="2" fillId="42" borderId="23" applyNumberFormat="0" applyProtection="0">
      <alignment horizontal="left" vertical="center" indent="1"/>
    </xf>
    <xf numFmtId="0" fontId="2" fillId="42" borderId="23" applyNumberFormat="0" applyProtection="0">
      <alignment horizontal="left" vertical="center" indent="1"/>
    </xf>
    <xf numFmtId="0" fontId="2" fillId="43" borderId="23" applyNumberFormat="0" applyProtection="0">
      <alignment horizontal="left" vertical="center" indent="1"/>
    </xf>
    <xf numFmtId="0" fontId="2" fillId="43" borderId="23" applyNumberFormat="0" applyProtection="0">
      <alignment horizontal="left" vertical="center" indent="1"/>
    </xf>
    <xf numFmtId="0" fontId="2" fillId="44" borderId="23" applyNumberFormat="0" applyProtection="0">
      <alignment horizontal="left" vertical="center" indent="1"/>
    </xf>
    <xf numFmtId="0" fontId="2" fillId="44" borderId="23" applyNumberFormat="0" applyProtection="0">
      <alignment horizontal="left" vertical="center" indent="1"/>
    </xf>
    <xf numFmtId="0" fontId="2" fillId="29" borderId="23" applyNumberFormat="0" applyProtection="0">
      <alignment horizontal="left" vertical="center" indent="1"/>
    </xf>
    <xf numFmtId="0" fontId="2" fillId="29" borderId="23" applyNumberFormat="0" applyProtection="0">
      <alignment horizontal="left" vertical="center" indent="1"/>
    </xf>
    <xf numFmtId="4" fontId="25" fillId="45" borderId="23" applyNumberFormat="0" applyProtection="0">
      <alignment vertical="center"/>
    </xf>
    <xf numFmtId="4" fontId="44" fillId="45" borderId="23" applyNumberFormat="0" applyProtection="0">
      <alignment vertical="center"/>
    </xf>
    <xf numFmtId="4" fontId="25" fillId="45" borderId="23" applyNumberFormat="0" applyProtection="0">
      <alignment horizontal="left" vertical="center" indent="1"/>
    </xf>
    <xf numFmtId="4" fontId="25" fillId="45" borderId="23" applyNumberFormat="0" applyProtection="0">
      <alignment horizontal="left" vertical="center" indent="1"/>
    </xf>
    <xf numFmtId="4" fontId="25" fillId="40" borderId="23" applyNumberFormat="0" applyProtection="0">
      <alignment horizontal="right" vertical="center"/>
    </xf>
    <xf numFmtId="4" fontId="44" fillId="40" borderId="23" applyNumberFormat="0" applyProtection="0">
      <alignment horizontal="right" vertical="center"/>
    </xf>
    <xf numFmtId="0" fontId="2" fillId="29" borderId="23" applyNumberFormat="0" applyProtection="0">
      <alignment horizontal="left" vertical="center" indent="1"/>
    </xf>
    <xf numFmtId="0" fontId="2" fillId="29" borderId="23" applyNumberFormat="0" applyProtection="0">
      <alignment horizontal="left" vertical="center" indent="1"/>
    </xf>
    <xf numFmtId="0" fontId="47" fillId="0" borderId="0"/>
    <xf numFmtId="4" fontId="48" fillId="40" borderId="23" applyNumberFormat="0" applyProtection="0">
      <alignment horizontal="right" vertical="center"/>
    </xf>
    <xf numFmtId="0" fontId="49" fillId="0" borderId="0" applyNumberFormat="0" applyFill="0" applyBorder="0" applyAlignment="0" applyProtection="0"/>
    <xf numFmtId="0" fontId="45" fillId="0" borderId="25" applyNumberFormat="0" applyFill="0" applyAlignment="0" applyProtection="0"/>
    <xf numFmtId="0" fontId="31" fillId="0" borderId="26" applyNumberFormat="0" applyFont="0" applyFill="0" applyAlignment="0" applyProtection="0"/>
    <xf numFmtId="0" fontId="48" fillId="0" borderId="0" applyNumberFormat="0" applyFill="0" applyBorder="0" applyAlignment="0" applyProtection="0"/>
  </cellStyleXfs>
  <cellXfs count="368">
    <xf numFmtId="0" fontId="0" fillId="0" borderId="0" xfId="0"/>
    <xf numFmtId="0" fontId="0" fillId="2" borderId="0" xfId="0" applyFill="1" applyBorder="1"/>
    <xf numFmtId="0" fontId="3" fillId="2" borderId="0" xfId="0" applyFont="1" applyFill="1" applyBorder="1" applyAlignment="1">
      <alignment horizontal="left"/>
    </xf>
    <xf numFmtId="0" fontId="0" fillId="2" borderId="1" xfId="0" applyFill="1" applyBorder="1"/>
    <xf numFmtId="0" fontId="0" fillId="2" borderId="0" xfId="0" applyFill="1" applyBorder="1" applyAlignment="1">
      <alignment horizontal="left"/>
    </xf>
    <xf numFmtId="0" fontId="4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left"/>
    </xf>
    <xf numFmtId="0" fontId="6" fillId="0" borderId="0" xfId="0" applyFont="1" applyFill="1"/>
    <xf numFmtId="0" fontId="2" fillId="2" borderId="0" xfId="0" applyFont="1" applyFill="1" applyBorder="1"/>
    <xf numFmtId="0" fontId="7" fillId="2" borderId="0" xfId="0" applyFont="1" applyFill="1" applyBorder="1" applyAlignment="1">
      <alignment horizontal="left"/>
    </xf>
    <xf numFmtId="0" fontId="4" fillId="2" borderId="0" xfId="0" applyFont="1" applyFill="1" applyBorder="1"/>
    <xf numFmtId="0" fontId="8" fillId="2" borderId="0" xfId="0" applyFont="1" applyFill="1" applyBorder="1"/>
    <xf numFmtId="0" fontId="4" fillId="2" borderId="0" xfId="0" quotePrefix="1" applyFont="1" applyFill="1" applyBorder="1"/>
    <xf numFmtId="39" fontId="2" fillId="2" borderId="0" xfId="0" quotePrefix="1" applyNumberFormat="1" applyFont="1" applyFill="1" applyBorder="1"/>
    <xf numFmtId="0" fontId="8" fillId="2" borderId="0" xfId="0" applyFont="1" applyFill="1" applyBorder="1" applyAlignment="1">
      <alignment horizontal="left"/>
    </xf>
    <xf numFmtId="0" fontId="2" fillId="2" borderId="1" xfId="0" applyFont="1" applyFill="1" applyBorder="1"/>
    <xf numFmtId="0" fontId="8" fillId="2" borderId="1" xfId="0" applyFont="1" applyFill="1" applyBorder="1" applyAlignment="1">
      <alignment horizontal="center" wrapText="1"/>
    </xf>
    <xf numFmtId="0" fontId="8" fillId="2" borderId="1" xfId="0" applyFont="1" applyFill="1" applyBorder="1"/>
    <xf numFmtId="0" fontId="2" fillId="2" borderId="1" xfId="0" applyFont="1" applyFill="1" applyBorder="1" applyAlignment="1">
      <alignment wrapText="1"/>
    </xf>
    <xf numFmtId="0" fontId="8" fillId="2" borderId="0" xfId="0" applyFont="1" applyFill="1" applyBorder="1" applyAlignment="1">
      <alignment horizontal="center" wrapText="1"/>
    </xf>
    <xf numFmtId="0" fontId="2" fillId="2" borderId="0" xfId="0" applyFont="1" applyFill="1" applyBorder="1" applyAlignment="1">
      <alignment wrapText="1"/>
    </xf>
    <xf numFmtId="0" fontId="8" fillId="2" borderId="1" xfId="0" quotePrefix="1" applyFont="1" applyFill="1" applyBorder="1"/>
    <xf numFmtId="0" fontId="4" fillId="2" borderId="1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17" fontId="0" fillId="2" borderId="1" xfId="0" applyNumberFormat="1" applyFill="1" applyBorder="1"/>
    <xf numFmtId="10" fontId="5" fillId="0" borderId="1" xfId="3" applyNumberFormat="1" applyFont="1" applyFill="1" applyBorder="1"/>
    <xf numFmtId="164" fontId="5" fillId="2" borderId="0" xfId="3" quotePrefix="1" applyNumberFormat="1" applyFont="1" applyFill="1" applyBorder="1"/>
    <xf numFmtId="9" fontId="5" fillId="2" borderId="0" xfId="3" quotePrefix="1" applyFont="1" applyFill="1" applyBorder="1"/>
    <xf numFmtId="9" fontId="2" fillId="2" borderId="0" xfId="3" quotePrefix="1" applyFont="1" applyFill="1" applyBorder="1"/>
    <xf numFmtId="17" fontId="0" fillId="2" borderId="0" xfId="0" applyNumberFormat="1" applyFill="1" applyBorder="1"/>
    <xf numFmtId="9" fontId="8" fillId="2" borderId="0" xfId="3" applyFont="1" applyFill="1" applyBorder="1"/>
    <xf numFmtId="9" fontId="5" fillId="2" borderId="0" xfId="3" applyNumberFormat="1" applyFont="1" applyFill="1" applyBorder="1"/>
    <xf numFmtId="1" fontId="5" fillId="2" borderId="0" xfId="3" quotePrefix="1" applyNumberFormat="1" applyFont="1" applyFill="1" applyBorder="1"/>
    <xf numFmtId="17" fontId="4" fillId="2" borderId="0" xfId="0" applyNumberFormat="1" applyFont="1" applyFill="1" applyBorder="1"/>
    <xf numFmtId="0" fontId="10" fillId="2" borderId="0" xfId="4" applyFill="1" applyBorder="1" applyAlignment="1" applyProtection="1"/>
    <xf numFmtId="0" fontId="0" fillId="2" borderId="0" xfId="0" applyFill="1" applyBorder="1" applyAlignment="1">
      <alignment horizontal="center"/>
    </xf>
    <xf numFmtId="3" fontId="0" fillId="2" borderId="0" xfId="0" applyNumberFormat="1" applyFill="1" applyBorder="1" applyAlignment="1"/>
    <xf numFmtId="38" fontId="5" fillId="0" borderId="1" xfId="0" applyNumberFormat="1" applyFont="1" applyFill="1" applyBorder="1" applyAlignment="1">
      <alignment horizontal="right"/>
    </xf>
    <xf numFmtId="3" fontId="0" fillId="2" borderId="0" xfId="0" quotePrefix="1" applyNumberFormat="1" applyFill="1" applyBorder="1"/>
    <xf numFmtId="3" fontId="0" fillId="2" borderId="0" xfId="0" applyNumberFormat="1" applyFill="1" applyBorder="1"/>
    <xf numFmtId="9" fontId="0" fillId="2" borderId="0" xfId="3" applyFont="1" applyFill="1" applyBorder="1" applyAlignment="1"/>
    <xf numFmtId="165" fontId="5" fillId="2" borderId="0" xfId="1" applyNumberFormat="1" applyFont="1" applyFill="1" applyBorder="1" applyAlignment="1">
      <alignment horizontal="center"/>
    </xf>
    <xf numFmtId="164" fontId="2" fillId="2" borderId="0" xfId="0" applyNumberFormat="1" applyFont="1" applyFill="1" applyBorder="1"/>
    <xf numFmtId="0" fontId="2" fillId="2" borderId="0" xfId="0" quotePrefix="1" applyFont="1" applyFill="1" applyBorder="1"/>
    <xf numFmtId="3" fontId="5" fillId="2" borderId="0" xfId="0" applyNumberFormat="1" applyFont="1" applyFill="1" applyBorder="1"/>
    <xf numFmtId="0" fontId="0" fillId="2" borderId="0" xfId="0" applyFill="1" applyBorder="1" applyAlignment="1">
      <alignment horizontal="right"/>
    </xf>
    <xf numFmtId="9" fontId="0" fillId="2" borderId="0" xfId="0" applyNumberFormat="1" applyFill="1" applyBorder="1"/>
    <xf numFmtId="17" fontId="0" fillId="2" borderId="0" xfId="0" applyNumberFormat="1" applyFill="1" applyBorder="1" applyAlignment="1">
      <alignment horizontal="center"/>
    </xf>
    <xf numFmtId="37" fontId="0" fillId="2" borderId="0" xfId="0" applyNumberFormat="1" applyFill="1" applyBorder="1"/>
    <xf numFmtId="10" fontId="0" fillId="2" borderId="0" xfId="0" applyNumberFormat="1" applyFill="1" applyBorder="1"/>
    <xf numFmtId="0" fontId="2" fillId="2" borderId="1" xfId="0" applyFont="1" applyFill="1" applyBorder="1" applyAlignment="1">
      <alignment horizontal="center"/>
    </xf>
    <xf numFmtId="17" fontId="0" fillId="2" borderId="0" xfId="0" applyNumberFormat="1" applyFill="1" applyBorder="1" applyAlignment="1">
      <alignment horizontal="right"/>
    </xf>
    <xf numFmtId="0" fontId="0" fillId="2" borderId="1" xfId="0" applyFill="1" applyBorder="1" applyAlignment="1">
      <alignment horizontal="center"/>
    </xf>
    <xf numFmtId="44" fontId="2" fillId="2" borderId="0" xfId="2" quotePrefix="1" applyFont="1" applyFill="1" applyBorder="1"/>
    <xf numFmtId="0" fontId="0" fillId="2" borderId="0" xfId="0" applyFill="1" applyBorder="1" applyAlignment="1"/>
    <xf numFmtId="0" fontId="8" fillId="2" borderId="0" xfId="0" applyFont="1" applyFill="1" applyBorder="1" applyAlignment="1"/>
    <xf numFmtId="9" fontId="2" fillId="2" borderId="0" xfId="3" applyNumberFormat="1" applyFont="1" applyFill="1" applyBorder="1"/>
    <xf numFmtId="166" fontId="0" fillId="2" borderId="0" xfId="0" applyNumberFormat="1" applyFill="1" applyBorder="1"/>
    <xf numFmtId="9" fontId="0" fillId="2" borderId="0" xfId="3" applyNumberFormat="1" applyFont="1" applyFill="1" applyBorder="1"/>
    <xf numFmtId="9" fontId="5" fillId="2" borderId="0" xfId="3" applyFont="1" applyFill="1" applyBorder="1"/>
    <xf numFmtId="169" fontId="0" fillId="2" borderId="0" xfId="0" applyNumberFormat="1" applyFill="1" applyBorder="1"/>
    <xf numFmtId="168" fontId="2" fillId="2" borderId="0" xfId="0" applyNumberFormat="1" applyFont="1" applyFill="1" applyBorder="1"/>
    <xf numFmtId="170" fontId="0" fillId="2" borderId="0" xfId="0" applyNumberFormat="1" applyFill="1" applyBorder="1"/>
    <xf numFmtId="4" fontId="0" fillId="2" borderId="0" xfId="0" applyNumberFormat="1" applyFill="1" applyBorder="1" applyAlignment="1">
      <alignment wrapText="1"/>
    </xf>
    <xf numFmtId="172" fontId="4" fillId="2" borderId="0" xfId="0" applyNumberFormat="1" applyFont="1" applyFill="1" applyBorder="1"/>
    <xf numFmtId="172" fontId="5" fillId="0" borderId="1" xfId="0" applyNumberFormat="1" applyFont="1" applyFill="1" applyBorder="1"/>
    <xf numFmtId="172" fontId="0" fillId="2" borderId="0" xfId="0" applyNumberFormat="1" applyFill="1" applyBorder="1"/>
    <xf numFmtId="173" fontId="0" fillId="2" borderId="0" xfId="0" applyNumberFormat="1" applyFill="1" applyBorder="1"/>
    <xf numFmtId="172" fontId="2" fillId="2" borderId="0" xfId="0" applyNumberFormat="1" applyFont="1" applyFill="1" applyBorder="1"/>
    <xf numFmtId="172" fontId="5" fillId="2" borderId="0" xfId="0" applyNumberFormat="1" applyFont="1" applyFill="1" applyBorder="1"/>
    <xf numFmtId="176" fontId="0" fillId="2" borderId="0" xfId="2" applyNumberFormat="1" applyFont="1" applyFill="1" applyBorder="1"/>
    <xf numFmtId="173" fontId="5" fillId="0" borderId="0" xfId="0" applyNumberFormat="1" applyFont="1" applyFill="1" applyBorder="1"/>
    <xf numFmtId="172" fontId="2" fillId="2" borderId="0" xfId="0" applyNumberFormat="1" applyFont="1" applyFill="1" applyBorder="1" applyAlignment="1">
      <alignment horizontal="right"/>
    </xf>
    <xf numFmtId="176" fontId="0" fillId="2" borderId="0" xfId="0" applyNumberFormat="1" applyFill="1" applyBorder="1"/>
    <xf numFmtId="173" fontId="2" fillId="0" borderId="0" xfId="2" applyNumberFormat="1" applyFont="1" applyFill="1" applyAlignment="1">
      <alignment horizontal="center" wrapText="1"/>
    </xf>
    <xf numFmtId="0" fontId="0" fillId="0" borderId="0" xfId="0" applyFill="1"/>
    <xf numFmtId="0" fontId="0" fillId="2" borderId="1" xfId="0" quotePrefix="1" applyFill="1" applyBorder="1"/>
    <xf numFmtId="44" fontId="0" fillId="2" borderId="0" xfId="2" quotePrefix="1" applyFont="1" applyFill="1" applyBorder="1"/>
    <xf numFmtId="0" fontId="2" fillId="2" borderId="0" xfId="0" applyFont="1" applyFill="1" applyBorder="1" applyAlignment="1">
      <alignment horizontal="right"/>
    </xf>
    <xf numFmtId="0" fontId="8" fillId="2" borderId="0" xfId="0" quotePrefix="1" applyFont="1" applyFill="1" applyBorder="1"/>
    <xf numFmtId="44" fontId="0" fillId="2" borderId="0" xfId="2" applyFont="1" applyFill="1" applyBorder="1"/>
    <xf numFmtId="3" fontId="0" fillId="2" borderId="0" xfId="0" applyNumberFormat="1" applyFill="1" applyBorder="1" applyAlignment="1">
      <alignment horizontal="center"/>
    </xf>
    <xf numFmtId="0" fontId="0" fillId="2" borderId="0" xfId="0" quotePrefix="1" applyFill="1" applyBorder="1"/>
    <xf numFmtId="176" fontId="5" fillId="2" borderId="0" xfId="2" applyNumberFormat="1" applyFont="1" applyFill="1" applyBorder="1"/>
    <xf numFmtId="0" fontId="3" fillId="2" borderId="0" xfId="0" applyFont="1" applyFill="1" applyBorder="1" applyAlignment="1">
      <alignment horizontal="left" wrapText="1"/>
    </xf>
    <xf numFmtId="0" fontId="2" fillId="0" borderId="1" xfId="0" applyFont="1" applyFill="1" applyBorder="1"/>
    <xf numFmtId="0" fontId="8" fillId="0" borderId="1" xfId="0" applyFont="1" applyFill="1" applyBorder="1" applyAlignment="1">
      <alignment horizontal="center" wrapText="1"/>
    </xf>
    <xf numFmtId="44" fontId="5" fillId="0" borderId="1" xfId="2" applyFont="1" applyFill="1" applyBorder="1"/>
    <xf numFmtId="0" fontId="5" fillId="0" borderId="1" xfId="2" applyNumberFormat="1" applyFont="1" applyFill="1" applyBorder="1"/>
    <xf numFmtId="0" fontId="0" fillId="3" borderId="1" xfId="0" applyFill="1" applyBorder="1"/>
    <xf numFmtId="0" fontId="5" fillId="0" borderId="1" xfId="2" applyNumberFormat="1" applyFont="1" applyFill="1" applyBorder="1" applyAlignment="1">
      <alignment horizontal="right"/>
    </xf>
    <xf numFmtId="9" fontId="0" fillId="0" borderId="1" xfId="3" applyFont="1" applyFill="1" applyBorder="1"/>
    <xf numFmtId="166" fontId="5" fillId="0" borderId="1" xfId="2" applyNumberFormat="1" applyFont="1" applyFill="1" applyBorder="1"/>
    <xf numFmtId="44" fontId="4" fillId="2" borderId="0" xfId="0" applyNumberFormat="1" applyFont="1" applyFill="1" applyBorder="1" applyAlignment="1">
      <alignment horizontal="center"/>
    </xf>
    <xf numFmtId="44" fontId="4" fillId="2" borderId="0" xfId="0" applyNumberFormat="1" applyFont="1" applyFill="1" applyBorder="1"/>
    <xf numFmtId="44" fontId="0" fillId="2" borderId="0" xfId="0" applyNumberFormat="1" applyFill="1" applyBorder="1"/>
    <xf numFmtId="0" fontId="15" fillId="2" borderId="0" xfId="0" applyFont="1" applyFill="1" applyBorder="1" applyAlignment="1">
      <alignment horizontal="left"/>
    </xf>
    <xf numFmtId="177" fontId="2" fillId="2" borderId="0" xfId="2" applyNumberFormat="1" applyFont="1" applyFill="1" applyBorder="1"/>
    <xf numFmtId="43" fontId="0" fillId="2" borderId="0" xfId="0" applyNumberFormat="1" applyFill="1" applyBorder="1"/>
    <xf numFmtId="177" fontId="0" fillId="2" borderId="0" xfId="0" applyNumberFormat="1" applyFill="1" applyBorder="1"/>
    <xf numFmtId="17" fontId="15" fillId="2" borderId="0" xfId="0" applyNumberFormat="1" applyFont="1" applyFill="1" applyBorder="1" applyAlignment="1">
      <alignment horizontal="left"/>
    </xf>
    <xf numFmtId="176" fontId="2" fillId="2" borderId="0" xfId="2" quotePrefix="1" applyNumberFormat="1" applyFont="1" applyFill="1" applyBorder="1"/>
    <xf numFmtId="178" fontId="2" fillId="2" borderId="0" xfId="1" quotePrefix="1" applyNumberFormat="1" applyFont="1" applyFill="1" applyBorder="1"/>
    <xf numFmtId="178" fontId="4" fillId="2" borderId="0" xfId="1" quotePrefix="1" applyNumberFormat="1" applyFont="1" applyFill="1" applyBorder="1"/>
    <xf numFmtId="43" fontId="2" fillId="2" borderId="0" xfId="1" quotePrefix="1" applyFont="1" applyFill="1" applyBorder="1"/>
    <xf numFmtId="43" fontId="4" fillId="2" borderId="0" xfId="1" quotePrefix="1" applyNumberFormat="1" applyFont="1" applyFill="1" applyBorder="1"/>
    <xf numFmtId="43" fontId="2" fillId="2" borderId="0" xfId="1" quotePrefix="1" applyNumberFormat="1" applyFont="1" applyFill="1" applyBorder="1"/>
    <xf numFmtId="43" fontId="2" fillId="2" borderId="0" xfId="1" applyNumberFormat="1" applyFont="1" applyFill="1" applyBorder="1" applyAlignment="1">
      <alignment horizontal="right"/>
    </xf>
    <xf numFmtId="178" fontId="0" fillId="2" borderId="0" xfId="0" applyNumberFormat="1" applyFill="1" applyBorder="1"/>
    <xf numFmtId="178" fontId="4" fillId="2" borderId="0" xfId="0" applyNumberFormat="1" applyFont="1" applyFill="1" applyBorder="1"/>
    <xf numFmtId="0" fontId="4" fillId="2" borderId="0" xfId="0" applyFont="1" applyFill="1" applyBorder="1" applyAlignment="1">
      <alignment horizontal="right"/>
    </xf>
    <xf numFmtId="179" fontId="4" fillId="2" borderId="0" xfId="2" quotePrefix="1" applyNumberFormat="1" applyFont="1" applyFill="1" applyBorder="1"/>
    <xf numFmtId="0" fontId="4" fillId="2" borderId="0" xfId="0" applyFont="1" applyFill="1" applyBorder="1" applyAlignment="1">
      <alignment horizontal="center" wrapText="1"/>
    </xf>
    <xf numFmtId="177" fontId="2" fillId="2" borderId="0" xfId="2" quotePrefix="1" applyNumberFormat="1" applyFont="1" applyFill="1" applyBorder="1"/>
    <xf numFmtId="165" fontId="0" fillId="2" borderId="0" xfId="1" applyNumberFormat="1" applyFont="1" applyFill="1" applyBorder="1"/>
    <xf numFmtId="44" fontId="2" fillId="2" borderId="0" xfId="0" applyNumberFormat="1" applyFont="1" applyFill="1" applyBorder="1"/>
    <xf numFmtId="176" fontId="2" fillId="2" borderId="0" xfId="2" applyNumberFormat="1" applyFont="1" applyFill="1" applyBorder="1"/>
    <xf numFmtId="9" fontId="0" fillId="2" borderId="0" xfId="3" applyFont="1" applyFill="1" applyBorder="1"/>
    <xf numFmtId="176" fontId="0" fillId="2" borderId="0" xfId="3" applyNumberFormat="1" applyFont="1" applyFill="1" applyBorder="1"/>
    <xf numFmtId="0" fontId="8" fillId="2" borderId="0" xfId="0" applyFont="1" applyFill="1" applyBorder="1" applyAlignment="1">
      <alignment horizontal="right"/>
    </xf>
    <xf numFmtId="180" fontId="4" fillId="2" borderId="0" xfId="1" applyNumberFormat="1" applyFont="1" applyFill="1" applyBorder="1"/>
    <xf numFmtId="43" fontId="8" fillId="2" borderId="0" xfId="1" applyFont="1" applyFill="1" applyBorder="1"/>
    <xf numFmtId="180" fontId="2" fillId="2" borderId="0" xfId="1" quotePrefix="1" applyNumberFormat="1" applyFont="1" applyFill="1" applyBorder="1"/>
    <xf numFmtId="176" fontId="0" fillId="2" borderId="0" xfId="2" quotePrefix="1" applyNumberFormat="1" applyFont="1" applyFill="1" applyBorder="1"/>
    <xf numFmtId="3" fontId="15" fillId="2" borderId="0" xfId="0" applyNumberFormat="1" applyFont="1" applyFill="1" applyBorder="1"/>
    <xf numFmtId="0" fontId="4" fillId="2" borderId="0" xfId="0" applyFont="1" applyFill="1" applyBorder="1" applyAlignment="1">
      <alignment horizontal="left"/>
    </xf>
    <xf numFmtId="0" fontId="0" fillId="2" borderId="0" xfId="0" applyFill="1" applyBorder="1" applyAlignment="1">
      <alignment horizontal="center" wrapText="1"/>
    </xf>
    <xf numFmtId="172" fontId="0" fillId="2" borderId="0" xfId="0" applyNumberFormat="1" applyFill="1" applyBorder="1" applyAlignment="1">
      <alignment horizontal="right"/>
    </xf>
    <xf numFmtId="0" fontId="16" fillId="2" borderId="0" xfId="0" applyFont="1" applyFill="1" applyBorder="1"/>
    <xf numFmtId="181" fontId="5" fillId="2" borderId="0" xfId="0" applyNumberFormat="1" applyFont="1" applyFill="1" applyBorder="1"/>
    <xf numFmtId="6" fontId="5" fillId="2" borderId="0" xfId="0" applyNumberFormat="1" applyFont="1" applyFill="1" applyBorder="1"/>
    <xf numFmtId="6" fontId="0" fillId="2" borderId="0" xfId="0" applyNumberFormat="1" applyFill="1" applyBorder="1"/>
    <xf numFmtId="8" fontId="0" fillId="2" borderId="0" xfId="0" applyNumberFormat="1" applyFill="1" applyBorder="1"/>
    <xf numFmtId="181" fontId="0" fillId="2" borderId="0" xfId="0" applyNumberFormat="1" applyFill="1" applyBorder="1"/>
    <xf numFmtId="0" fontId="0" fillId="0" borderId="0" xfId="0" applyFill="1" applyAlignment="1">
      <alignment horizontal="left"/>
    </xf>
    <xf numFmtId="0" fontId="4" fillId="0" borderId="0" xfId="0" applyFont="1" applyFill="1" applyAlignment="1">
      <alignment horizontal="center"/>
    </xf>
    <xf numFmtId="0" fontId="2" fillId="0" borderId="0" xfId="0" applyFont="1" applyFill="1"/>
    <xf numFmtId="0" fontId="7" fillId="0" borderId="0" xfId="0" applyFont="1" applyFill="1" applyAlignment="1">
      <alignment horizontal="left"/>
    </xf>
    <xf numFmtId="0" fontId="4" fillId="0" borderId="0" xfId="0" applyFont="1" applyFill="1"/>
    <xf numFmtId="0" fontId="8" fillId="0" borderId="0" xfId="0" applyFont="1" applyFill="1"/>
    <xf numFmtId="0" fontId="3" fillId="0" borderId="0" xfId="0" applyFont="1" applyFill="1" applyAlignment="1">
      <alignment horizontal="left"/>
    </xf>
    <xf numFmtId="0" fontId="4" fillId="0" borderId="0" xfId="0" quotePrefix="1" applyFont="1" applyFill="1" applyBorder="1"/>
    <xf numFmtId="39" fontId="2" fillId="0" borderId="0" xfId="0" quotePrefix="1" applyNumberFormat="1" applyFont="1" applyFill="1"/>
    <xf numFmtId="0" fontId="8" fillId="0" borderId="0" xfId="0" applyFont="1" applyFill="1" applyAlignment="1">
      <alignment horizontal="left"/>
    </xf>
    <xf numFmtId="0" fontId="8" fillId="0" borderId="0" xfId="0" applyFont="1" applyFill="1" applyAlignment="1">
      <alignment horizontal="center" wrapText="1"/>
    </xf>
    <xf numFmtId="0" fontId="2" fillId="0" borderId="0" xfId="0" applyFont="1" applyFill="1" applyAlignment="1">
      <alignment wrapText="1"/>
    </xf>
    <xf numFmtId="0" fontId="8" fillId="0" borderId="0" xfId="0" quotePrefix="1" applyFont="1" applyFill="1"/>
    <xf numFmtId="0" fontId="9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17" fontId="0" fillId="0" borderId="0" xfId="0" applyNumberFormat="1" applyFill="1"/>
    <xf numFmtId="10" fontId="5" fillId="0" borderId="0" xfId="3" applyNumberFormat="1" applyFont="1" applyFill="1"/>
    <xf numFmtId="164" fontId="5" fillId="0" borderId="0" xfId="3" quotePrefix="1" applyNumberFormat="1" applyFont="1" applyFill="1"/>
    <xf numFmtId="9" fontId="5" fillId="0" borderId="0" xfId="3" quotePrefix="1" applyFont="1" applyFill="1"/>
    <xf numFmtId="9" fontId="2" fillId="0" borderId="0" xfId="3" quotePrefix="1" applyFont="1" applyFill="1"/>
    <xf numFmtId="9" fontId="8" fillId="0" borderId="0" xfId="3" applyFont="1" applyFill="1"/>
    <xf numFmtId="9" fontId="5" fillId="0" borderId="0" xfId="3" applyNumberFormat="1" applyFont="1" applyFill="1"/>
    <xf numFmtId="9" fontId="5" fillId="0" borderId="0" xfId="3" quotePrefix="1" applyFont="1" applyFill="1" applyAlignment="1">
      <alignment horizontal="center"/>
    </xf>
    <xf numFmtId="1" fontId="5" fillId="0" borderId="0" xfId="3" quotePrefix="1" applyNumberFormat="1" applyFont="1" applyFill="1"/>
    <xf numFmtId="17" fontId="4" fillId="0" borderId="0" xfId="0" applyNumberFormat="1" applyFont="1" applyFill="1"/>
    <xf numFmtId="17" fontId="8" fillId="0" borderId="0" xfId="0" applyNumberFormat="1" applyFont="1" applyFill="1"/>
    <xf numFmtId="0" fontId="10" fillId="0" borderId="0" xfId="4" applyFill="1" applyAlignment="1" applyProtection="1"/>
    <xf numFmtId="0" fontId="0" fillId="0" borderId="0" xfId="0" applyFill="1" applyAlignment="1">
      <alignment horizontal="center"/>
    </xf>
    <xf numFmtId="0" fontId="2" fillId="0" borderId="0" xfId="0" applyFont="1" applyFill="1" applyAlignment="1">
      <alignment horizontal="center"/>
    </xf>
    <xf numFmtId="3" fontId="0" fillId="0" borderId="0" xfId="0" applyNumberFormat="1" applyFill="1" applyAlignment="1"/>
    <xf numFmtId="38" fontId="5" fillId="0" borderId="0" xfId="0" applyNumberFormat="1" applyFont="1" applyFill="1" applyAlignment="1">
      <alignment horizontal="right"/>
    </xf>
    <xf numFmtId="165" fontId="2" fillId="0" borderId="0" xfId="1" applyNumberFormat="1" applyFont="1" applyFill="1"/>
    <xf numFmtId="164" fontId="0" fillId="0" borderId="0" xfId="0" applyNumberFormat="1" applyFill="1"/>
    <xf numFmtId="0" fontId="0" fillId="0" borderId="0" xfId="0" applyFill="1" applyAlignment="1">
      <alignment horizontal="right"/>
    </xf>
    <xf numFmtId="3" fontId="0" fillId="0" borderId="0" xfId="0" quotePrefix="1" applyNumberFormat="1" applyFill="1"/>
    <xf numFmtId="3" fontId="0" fillId="0" borderId="0" xfId="0" applyNumberFormat="1" applyFill="1"/>
    <xf numFmtId="9" fontId="0" fillId="0" borderId="0" xfId="3" applyFont="1" applyFill="1" applyAlignment="1"/>
    <xf numFmtId="165" fontId="5" fillId="0" borderId="0" xfId="1" applyNumberFormat="1" applyFont="1" applyFill="1" applyAlignment="1">
      <alignment horizontal="center"/>
    </xf>
    <xf numFmtId="164" fontId="5" fillId="0" borderId="0" xfId="3" applyNumberFormat="1" applyFont="1" applyFill="1"/>
    <xf numFmtId="164" fontId="5" fillId="0" borderId="0" xfId="0" applyNumberFormat="1" applyFont="1" applyFill="1"/>
    <xf numFmtId="164" fontId="2" fillId="0" borderId="0" xfId="0" applyNumberFormat="1" applyFont="1" applyFill="1"/>
    <xf numFmtId="3" fontId="5" fillId="0" borderId="0" xfId="0" applyNumberFormat="1" applyFont="1" applyFill="1"/>
    <xf numFmtId="0" fontId="2" fillId="0" borderId="0" xfId="0" quotePrefix="1" applyFont="1" applyFill="1"/>
    <xf numFmtId="9" fontId="0" fillId="0" borderId="0" xfId="0" applyNumberFormat="1" applyFill="1"/>
    <xf numFmtId="17" fontId="0" fillId="0" borderId="0" xfId="0" applyNumberFormat="1" applyFill="1" applyAlignment="1">
      <alignment horizontal="center"/>
    </xf>
    <xf numFmtId="9" fontId="0" fillId="0" borderId="0" xfId="3" applyFont="1" applyFill="1"/>
    <xf numFmtId="10" fontId="0" fillId="0" borderId="0" xfId="0" applyNumberFormat="1" applyFill="1"/>
    <xf numFmtId="0" fontId="3" fillId="0" borderId="0" xfId="0" applyFont="1" applyFill="1" applyAlignment="1">
      <alignment horizontal="center"/>
    </xf>
    <xf numFmtId="0" fontId="0" fillId="0" borderId="0" xfId="0" applyFill="1" applyAlignment="1"/>
    <xf numFmtId="40" fontId="5" fillId="0" borderId="0" xfId="0" applyNumberFormat="1" applyFont="1" applyFill="1" applyAlignment="1">
      <alignment horizontal="right"/>
    </xf>
    <xf numFmtId="166" fontId="5" fillId="0" borderId="0" xfId="0" applyNumberFormat="1" applyFont="1" applyFill="1"/>
    <xf numFmtId="167" fontId="2" fillId="0" borderId="0" xfId="0" applyNumberFormat="1" applyFont="1" applyFill="1"/>
    <xf numFmtId="166" fontId="2" fillId="0" borderId="0" xfId="0" applyNumberFormat="1" applyFont="1" applyFill="1"/>
    <xf numFmtId="9" fontId="2" fillId="0" borderId="0" xfId="3" applyNumberFormat="1" applyFont="1" applyFill="1"/>
    <xf numFmtId="0" fontId="8" fillId="0" borderId="0" xfId="0" applyFont="1" applyFill="1" applyAlignment="1"/>
    <xf numFmtId="166" fontId="5" fillId="0" borderId="4" xfId="0" applyNumberFormat="1" applyFont="1" applyFill="1" applyBorder="1"/>
    <xf numFmtId="9" fontId="5" fillId="0" borderId="4" xfId="3" applyNumberFormat="1" applyFont="1" applyFill="1" applyBorder="1"/>
    <xf numFmtId="166" fontId="0" fillId="0" borderId="5" xfId="0" applyNumberFormat="1" applyFill="1" applyBorder="1"/>
    <xf numFmtId="9" fontId="0" fillId="0" borderId="5" xfId="3" applyNumberFormat="1" applyFont="1" applyFill="1" applyBorder="1"/>
    <xf numFmtId="166" fontId="0" fillId="0" borderId="6" xfId="0" applyNumberFormat="1" applyFill="1" applyBorder="1"/>
    <xf numFmtId="9" fontId="0" fillId="0" borderId="6" xfId="3" applyNumberFormat="1" applyFont="1" applyFill="1" applyBorder="1"/>
    <xf numFmtId="166" fontId="0" fillId="0" borderId="0" xfId="0" applyNumberFormat="1" applyFill="1"/>
    <xf numFmtId="4" fontId="5" fillId="0" borderId="0" xfId="0" applyNumberFormat="1" applyFont="1" applyFill="1"/>
    <xf numFmtId="9" fontId="5" fillId="0" borderId="0" xfId="3" applyFont="1" applyFill="1"/>
    <xf numFmtId="168" fontId="5" fillId="0" borderId="0" xfId="0" applyNumberFormat="1" applyFont="1" applyFill="1"/>
    <xf numFmtId="0" fontId="0" fillId="0" borderId="7" xfId="0" applyFill="1" applyBorder="1"/>
    <xf numFmtId="10" fontId="0" fillId="0" borderId="0" xfId="0" applyNumberFormat="1" applyFill="1" applyAlignment="1">
      <alignment horizontal="center"/>
    </xf>
    <xf numFmtId="168" fontId="5" fillId="0" borderId="8" xfId="3" applyNumberFormat="1" applyFont="1" applyFill="1" applyBorder="1"/>
    <xf numFmtId="168" fontId="2" fillId="0" borderId="0" xfId="0" applyNumberFormat="1" applyFont="1" applyFill="1"/>
    <xf numFmtId="0" fontId="0" fillId="0" borderId="0" xfId="0" quotePrefix="1" applyFill="1"/>
    <xf numFmtId="170" fontId="0" fillId="0" borderId="0" xfId="0" applyNumberFormat="1" applyFill="1"/>
    <xf numFmtId="169" fontId="0" fillId="0" borderId="0" xfId="0" applyNumberFormat="1" applyFill="1"/>
    <xf numFmtId="171" fontId="2" fillId="0" borderId="0" xfId="3" applyNumberFormat="1" applyFont="1" applyFill="1"/>
    <xf numFmtId="169" fontId="0" fillId="0" borderId="0" xfId="0" quotePrefix="1" applyNumberFormat="1" applyFill="1"/>
    <xf numFmtId="44" fontId="2" fillId="0" borderId="0" xfId="2" quotePrefix="1" applyFont="1" applyFill="1"/>
    <xf numFmtId="17" fontId="0" fillId="0" borderId="0" xfId="0" applyNumberFormat="1" applyFill="1" applyAlignment="1">
      <alignment horizontal="right"/>
    </xf>
    <xf numFmtId="44" fontId="0" fillId="0" borderId="0" xfId="2" applyFont="1" applyFill="1"/>
    <xf numFmtId="44" fontId="2" fillId="0" borderId="0" xfId="2" applyFont="1" applyFill="1"/>
    <xf numFmtId="44" fontId="2" fillId="0" borderId="0" xfId="2" quotePrefix="1" applyNumberFormat="1" applyFont="1" applyFill="1"/>
    <xf numFmtId="176" fontId="0" fillId="0" borderId="0" xfId="0" applyNumberFormat="1" applyFill="1"/>
    <xf numFmtId="176" fontId="2" fillId="0" borderId="0" xfId="2" quotePrefix="1" applyNumberFormat="1" applyFont="1" applyFill="1"/>
    <xf numFmtId="176" fontId="2" fillId="0" borderId="0" xfId="2" applyNumberFormat="1" applyFont="1" applyFill="1"/>
    <xf numFmtId="39" fontId="0" fillId="0" borderId="0" xfId="0" applyNumberFormat="1" applyFill="1"/>
    <xf numFmtId="164" fontId="4" fillId="0" borderId="0" xfId="0" applyNumberFormat="1" applyFont="1" applyFill="1" applyAlignment="1">
      <alignment horizontal="center"/>
    </xf>
    <xf numFmtId="176" fontId="0" fillId="0" borderId="0" xfId="2" applyNumberFormat="1" applyFont="1" applyFill="1"/>
    <xf numFmtId="176" fontId="19" fillId="0" borderId="0" xfId="2" applyNumberFormat="1" applyFont="1" applyFill="1"/>
    <xf numFmtId="0" fontId="2" fillId="0" borderId="0" xfId="0" applyFont="1" applyFill="1" applyAlignment="1">
      <alignment horizontal="right"/>
    </xf>
    <xf numFmtId="172" fontId="5" fillId="0" borderId="0" xfId="0" applyNumberFormat="1" applyFont="1" applyFill="1"/>
    <xf numFmtId="172" fontId="4" fillId="0" borderId="0" xfId="0" applyNumberFormat="1" applyFont="1" applyFill="1"/>
    <xf numFmtId="172" fontId="2" fillId="0" borderId="0" xfId="0" applyNumberFormat="1" applyFont="1" applyFill="1"/>
    <xf numFmtId="172" fontId="0" fillId="0" borderId="0" xfId="0" applyNumberFormat="1" applyFill="1"/>
    <xf numFmtId="0" fontId="5" fillId="0" borderId="0" xfId="0" applyFont="1" applyFill="1"/>
    <xf numFmtId="173" fontId="5" fillId="0" borderId="0" xfId="0" applyNumberFormat="1" applyFont="1" applyFill="1"/>
    <xf numFmtId="173" fontId="0" fillId="0" borderId="0" xfId="0" applyNumberFormat="1" applyFill="1"/>
    <xf numFmtId="1" fontId="2" fillId="0" borderId="0" xfId="0" applyNumberFormat="1" applyFont="1" applyFill="1"/>
    <xf numFmtId="174" fontId="5" fillId="0" borderId="0" xfId="0" applyNumberFormat="1" applyFont="1" applyFill="1"/>
    <xf numFmtId="173" fontId="0" fillId="0" borderId="7" xfId="0" applyNumberFormat="1" applyFill="1" applyBorder="1"/>
    <xf numFmtId="3" fontId="2" fillId="0" borderId="0" xfId="0" applyNumberFormat="1" applyFont="1" applyFill="1" applyAlignment="1">
      <alignment horizontal="right"/>
    </xf>
    <xf numFmtId="0" fontId="0" fillId="0" borderId="0" xfId="0" quotePrefix="1" applyFill="1" applyAlignment="1">
      <alignment horizontal="right"/>
    </xf>
    <xf numFmtId="3" fontId="2" fillId="0" borderId="0" xfId="0" applyNumberFormat="1" applyFont="1" applyFill="1"/>
    <xf numFmtId="44" fontId="5" fillId="0" borderId="0" xfId="2" applyFont="1" applyFill="1"/>
    <xf numFmtId="172" fontId="2" fillId="0" borderId="0" xfId="0" applyNumberFormat="1" applyFont="1" applyFill="1" applyAlignment="1">
      <alignment horizontal="right"/>
    </xf>
    <xf numFmtId="173" fontId="2" fillId="0" borderId="0" xfId="2" applyNumberFormat="1" applyFont="1" applyFill="1"/>
    <xf numFmtId="0" fontId="2" fillId="0" borderId="0" xfId="0" quotePrefix="1" applyFont="1" applyFill="1" applyAlignment="1">
      <alignment horizontal="center"/>
    </xf>
    <xf numFmtId="172" fontId="2" fillId="0" borderId="0" xfId="0" quotePrefix="1" applyNumberFormat="1" applyFont="1" applyFill="1" applyAlignment="1">
      <alignment horizontal="center"/>
    </xf>
    <xf numFmtId="44" fontId="5" fillId="0" borderId="0" xfId="2" applyNumberFormat="1" applyFont="1" applyFill="1"/>
    <xf numFmtId="44" fontId="2" fillId="0" borderId="0" xfId="0" applyNumberFormat="1" applyFont="1" applyFill="1"/>
    <xf numFmtId="182" fontId="0" fillId="0" borderId="0" xfId="0" applyNumberFormat="1" applyFill="1"/>
    <xf numFmtId="44" fontId="2" fillId="0" borderId="0" xfId="2" applyNumberFormat="1" applyFont="1" applyFill="1"/>
    <xf numFmtId="44" fontId="0" fillId="0" borderId="0" xfId="0" applyNumberFormat="1" applyFill="1"/>
    <xf numFmtId="44" fontId="0" fillId="0" borderId="0" xfId="2" quotePrefix="1" applyFont="1" applyFill="1"/>
    <xf numFmtId="0" fontId="15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Continuous"/>
    </xf>
    <xf numFmtId="0" fontId="2" fillId="0" borderId="0" xfId="0" applyFont="1" applyFill="1" applyAlignment="1">
      <alignment horizontal="centerContinuous"/>
    </xf>
    <xf numFmtId="3" fontId="0" fillId="0" borderId="0" xfId="0" applyNumberFormat="1" applyFill="1" applyAlignment="1">
      <alignment horizontal="center"/>
    </xf>
    <xf numFmtId="3" fontId="0" fillId="0" borderId="7" xfId="0" applyNumberFormat="1" applyFill="1" applyBorder="1" applyAlignment="1">
      <alignment horizontal="center"/>
    </xf>
    <xf numFmtId="0" fontId="2" fillId="0" borderId="0" xfId="0" applyFont="1" applyFill="1" applyAlignment="1">
      <alignment horizontal="left"/>
    </xf>
    <xf numFmtId="176" fontId="5" fillId="0" borderId="0" xfId="2" applyNumberFormat="1" applyFont="1" applyFill="1"/>
    <xf numFmtId="44" fontId="0" fillId="0" borderId="0" xfId="2" quotePrefix="1" applyFont="1" applyFill="1" applyAlignment="1">
      <alignment horizontal="right"/>
    </xf>
    <xf numFmtId="44" fontId="0" fillId="0" borderId="0" xfId="2" applyFont="1" applyFill="1" applyAlignment="1">
      <alignment horizontal="center"/>
    </xf>
    <xf numFmtId="10" fontId="0" fillId="0" borderId="0" xfId="3" applyNumberFormat="1" applyFont="1" applyFill="1"/>
    <xf numFmtId="0" fontId="15" fillId="0" borderId="0" xfId="0" applyFont="1" applyFill="1" applyAlignment="1">
      <alignment horizontal="left"/>
    </xf>
    <xf numFmtId="177" fontId="2" fillId="0" borderId="0" xfId="2" applyNumberFormat="1" applyFont="1" applyFill="1"/>
    <xf numFmtId="43" fontId="0" fillId="0" borderId="0" xfId="0" applyNumberFormat="1" applyFill="1"/>
    <xf numFmtId="177" fontId="0" fillId="0" borderId="0" xfId="0" applyNumberFormat="1" applyFill="1"/>
    <xf numFmtId="17" fontId="15" fillId="0" borderId="0" xfId="0" applyNumberFormat="1" applyFont="1" applyFill="1" applyAlignment="1">
      <alignment horizontal="left"/>
    </xf>
    <xf numFmtId="178" fontId="2" fillId="0" borderId="0" xfId="1" quotePrefix="1" applyNumberFormat="1" applyFont="1" applyFill="1" applyBorder="1"/>
    <xf numFmtId="178" fontId="4" fillId="0" borderId="0" xfId="1" quotePrefix="1" applyNumberFormat="1" applyFont="1" applyFill="1" applyBorder="1"/>
    <xf numFmtId="43" fontId="2" fillId="0" borderId="0" xfId="1" quotePrefix="1" applyFont="1" applyFill="1"/>
    <xf numFmtId="43" fontId="4" fillId="0" borderId="0" xfId="1" quotePrefix="1" applyNumberFormat="1" applyFont="1" applyFill="1" applyBorder="1"/>
    <xf numFmtId="43" fontId="2" fillId="0" borderId="0" xfId="1" quotePrefix="1" applyNumberFormat="1" applyFont="1" applyFill="1" applyBorder="1"/>
    <xf numFmtId="43" fontId="2" fillId="0" borderId="0" xfId="1" applyNumberFormat="1" applyFont="1" applyFill="1" applyBorder="1" applyAlignment="1">
      <alignment horizontal="right"/>
    </xf>
    <xf numFmtId="178" fontId="0" fillId="0" borderId="0" xfId="0" applyNumberFormat="1" applyFill="1"/>
    <xf numFmtId="178" fontId="4" fillId="0" borderId="0" xfId="0" applyNumberFormat="1" applyFont="1" applyFill="1"/>
    <xf numFmtId="0" fontId="4" fillId="0" borderId="0" xfId="0" applyFont="1" applyFill="1" applyAlignment="1">
      <alignment horizontal="right"/>
    </xf>
    <xf numFmtId="179" fontId="4" fillId="0" borderId="0" xfId="2" quotePrefix="1" applyNumberFormat="1" applyFont="1" applyFill="1" applyBorder="1"/>
    <xf numFmtId="43" fontId="2" fillId="0" borderId="0" xfId="1" quotePrefix="1" applyNumberFormat="1" applyFont="1" applyFill="1"/>
    <xf numFmtId="178" fontId="2" fillId="0" borderId="0" xfId="1" quotePrefix="1" applyNumberFormat="1" applyFont="1" applyFill="1"/>
    <xf numFmtId="0" fontId="4" fillId="0" borderId="0" xfId="0" applyFont="1" applyFill="1" applyAlignment="1">
      <alignment horizontal="center" wrapText="1"/>
    </xf>
    <xf numFmtId="177" fontId="2" fillId="0" borderId="0" xfId="2" quotePrefix="1" applyNumberFormat="1" applyFont="1" applyFill="1"/>
    <xf numFmtId="165" fontId="0" fillId="0" borderId="0" xfId="1" applyNumberFormat="1" applyFont="1" applyFill="1"/>
    <xf numFmtId="176" fontId="0" fillId="0" borderId="0" xfId="3" applyNumberFormat="1" applyFont="1" applyFill="1"/>
    <xf numFmtId="0" fontId="8" fillId="0" borderId="0" xfId="0" applyFont="1" applyFill="1" applyAlignment="1">
      <alignment horizontal="right"/>
    </xf>
    <xf numFmtId="180" fontId="4" fillId="0" borderId="0" xfId="1" applyNumberFormat="1" applyFont="1" applyFill="1"/>
    <xf numFmtId="43" fontId="8" fillId="0" borderId="0" xfId="1" applyFont="1" applyFill="1"/>
    <xf numFmtId="180" fontId="2" fillId="0" borderId="0" xfId="1" quotePrefix="1" applyNumberFormat="1" applyFont="1" applyFill="1"/>
    <xf numFmtId="176" fontId="0" fillId="0" borderId="0" xfId="2" quotePrefix="1" applyNumberFormat="1" applyFont="1" applyFill="1"/>
    <xf numFmtId="3" fontId="15" fillId="0" borderId="0" xfId="0" applyNumberFormat="1" applyFont="1" applyFill="1"/>
    <xf numFmtId="0" fontId="20" fillId="0" borderId="7" xfId="0" applyFont="1" applyFill="1" applyBorder="1" applyAlignment="1">
      <alignment horizontal="center"/>
    </xf>
    <xf numFmtId="0" fontId="20" fillId="0" borderId="0" xfId="0" applyFont="1" applyFill="1" applyAlignment="1">
      <alignment horizontal="center"/>
    </xf>
    <xf numFmtId="0" fontId="21" fillId="0" borderId="0" xfId="0" applyFont="1" applyFill="1"/>
    <xf numFmtId="44" fontId="22" fillId="5" borderId="0" xfId="2" applyFont="1" applyFill="1"/>
    <xf numFmtId="44" fontId="23" fillId="0" borderId="0" xfId="2" applyFont="1" applyFill="1"/>
    <xf numFmtId="0" fontId="20" fillId="0" borderId="0" xfId="0" applyFont="1" applyFill="1"/>
    <xf numFmtId="176" fontId="23" fillId="0" borderId="0" xfId="2" applyNumberFormat="1" applyFont="1" applyFill="1"/>
    <xf numFmtId="0" fontId="23" fillId="0" borderId="0" xfId="0" applyFont="1" applyFill="1"/>
    <xf numFmtId="0" fontId="23" fillId="0" borderId="0" xfId="0" quotePrefix="1" applyFont="1" applyFill="1"/>
    <xf numFmtId="176" fontId="24" fillId="0" borderId="0" xfId="2" applyNumberFormat="1" applyFont="1" applyFill="1"/>
    <xf numFmtId="179" fontId="0" fillId="0" borderId="0" xfId="2" applyNumberFormat="1" applyFont="1" applyFill="1"/>
    <xf numFmtId="179" fontId="2" fillId="0" borderId="0" xfId="2" applyNumberFormat="1" applyFont="1" applyFill="1"/>
    <xf numFmtId="179" fontId="4" fillId="0" borderId="0" xfId="2" quotePrefix="1" applyNumberFormat="1" applyFont="1" applyFill="1"/>
    <xf numFmtId="0" fontId="4" fillId="0" borderId="0" xfId="0" applyFont="1" applyFill="1" applyAlignment="1">
      <alignment horizontal="left"/>
    </xf>
    <xf numFmtId="176" fontId="19" fillId="0" borderId="0" xfId="0" applyNumberFormat="1" applyFont="1" applyFill="1"/>
    <xf numFmtId="0" fontId="3" fillId="0" borderId="0" xfId="0" applyFont="1" applyFill="1"/>
    <xf numFmtId="166" fontId="3" fillId="0" borderId="0" xfId="0" applyNumberFormat="1" applyFont="1" applyFill="1"/>
    <xf numFmtId="177" fontId="4" fillId="0" borderId="0" xfId="2" quotePrefix="1" applyNumberFormat="1" applyFont="1" applyFill="1"/>
    <xf numFmtId="176" fontId="19" fillId="0" borderId="0" xfId="2" quotePrefix="1" applyNumberFormat="1" applyFont="1" applyFill="1"/>
    <xf numFmtId="176" fontId="4" fillId="0" borderId="0" xfId="0" applyNumberFormat="1" applyFont="1" applyFill="1"/>
    <xf numFmtId="0" fontId="0" fillId="0" borderId="9" xfId="0" applyFill="1" applyBorder="1"/>
    <xf numFmtId="0" fontId="0" fillId="0" borderId="10" xfId="0" applyFill="1" applyBorder="1"/>
    <xf numFmtId="0" fontId="0" fillId="0" borderId="11" xfId="0" applyFill="1" applyBorder="1"/>
    <xf numFmtId="0" fontId="0" fillId="0" borderId="12" xfId="0" applyFill="1" applyBorder="1" applyAlignment="1">
      <alignment horizontal="center"/>
    </xf>
    <xf numFmtId="0" fontId="0" fillId="0" borderId="0" xfId="0" applyFill="1" applyBorder="1"/>
    <xf numFmtId="0" fontId="0" fillId="0" borderId="13" xfId="0" applyFill="1" applyBorder="1"/>
    <xf numFmtId="0" fontId="8" fillId="0" borderId="0" xfId="0" applyFont="1" applyFill="1" applyBorder="1"/>
    <xf numFmtId="0" fontId="15" fillId="0" borderId="12" xfId="0" applyFont="1" applyFill="1" applyBorder="1" applyAlignment="1">
      <alignment horizontal="center"/>
    </xf>
    <xf numFmtId="168" fontId="0" fillId="0" borderId="0" xfId="3" applyNumberFormat="1" applyFont="1" applyFill="1"/>
    <xf numFmtId="169" fontId="0" fillId="0" borderId="12" xfId="0" applyNumberFormat="1" applyFill="1" applyBorder="1"/>
    <xf numFmtId="0" fontId="0" fillId="0" borderId="14" xfId="0" applyFill="1" applyBorder="1"/>
    <xf numFmtId="0" fontId="0" fillId="0" borderId="15" xfId="0" applyFill="1" applyBorder="1"/>
    <xf numFmtId="183" fontId="4" fillId="0" borderId="0" xfId="2" quotePrefix="1" applyNumberFormat="1" applyFont="1" applyFill="1"/>
    <xf numFmtId="168" fontId="15" fillId="0" borderId="0" xfId="3" applyNumberFormat="1" applyFont="1" applyFill="1"/>
    <xf numFmtId="0" fontId="5" fillId="0" borderId="0" xfId="1" applyNumberFormat="1" applyFont="1" applyFill="1" applyBorder="1"/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/>
    <xf numFmtId="10" fontId="5" fillId="2" borderId="1" xfId="3" applyNumberFormat="1" applyFont="1" applyFill="1" applyBorder="1"/>
    <xf numFmtId="10" fontId="5" fillId="2" borderId="1" xfId="3" quotePrefix="1" applyNumberFormat="1" applyFont="1" applyFill="1" applyBorder="1"/>
    <xf numFmtId="38" fontId="5" fillId="2" borderId="1" xfId="0" applyNumberFormat="1" applyFont="1" applyFill="1" applyBorder="1" applyAlignment="1">
      <alignment horizontal="right"/>
    </xf>
    <xf numFmtId="164" fontId="5" fillId="2" borderId="1" xfId="0" applyNumberFormat="1" applyFont="1" applyFill="1" applyBorder="1"/>
    <xf numFmtId="0" fontId="3" fillId="2" borderId="0" xfId="0" applyFont="1" applyFill="1" applyBorder="1" applyAlignment="1">
      <alignment horizontal="center"/>
    </xf>
    <xf numFmtId="40" fontId="5" fillId="2" borderId="1" xfId="0" applyNumberFormat="1" applyFont="1" applyFill="1" applyBorder="1" applyAlignment="1">
      <alignment horizontal="right"/>
    </xf>
    <xf numFmtId="0" fontId="11" fillId="2" borderId="1" xfId="5" applyFont="1" applyFill="1" applyBorder="1" applyAlignment="1">
      <alignment vertical="center"/>
    </xf>
    <xf numFmtId="166" fontId="5" fillId="2" borderId="1" xfId="0" applyNumberFormat="1" applyFont="1" applyFill="1" applyBorder="1"/>
    <xf numFmtId="166" fontId="2" fillId="2" borderId="0" xfId="0" applyNumberFormat="1" applyFont="1" applyFill="1" applyBorder="1"/>
    <xf numFmtId="167" fontId="2" fillId="2" borderId="0" xfId="0" applyNumberFormat="1" applyFont="1" applyFill="1" applyBorder="1"/>
    <xf numFmtId="9" fontId="5" fillId="2" borderId="1" xfId="3" applyNumberFormat="1" applyFont="1" applyFill="1" applyBorder="1"/>
    <xf numFmtId="4" fontId="5" fillId="2" borderId="0" xfId="0" applyNumberFormat="1" applyFont="1" applyFill="1" applyBorder="1"/>
    <xf numFmtId="168" fontId="5" fillId="2" borderId="0" xfId="0" applyNumberFormat="1" applyFont="1" applyFill="1" applyBorder="1"/>
    <xf numFmtId="168" fontId="5" fillId="2" borderId="1" xfId="3" applyNumberFormat="1" applyFont="1" applyFill="1" applyBorder="1"/>
    <xf numFmtId="171" fontId="5" fillId="2" borderId="1" xfId="3" applyNumberFormat="1" applyFont="1" applyFill="1" applyBorder="1"/>
    <xf numFmtId="169" fontId="0" fillId="2" borderId="0" xfId="0" quotePrefix="1" applyNumberFormat="1" applyFill="1" applyBorder="1"/>
    <xf numFmtId="0" fontId="0" fillId="2" borderId="1" xfId="0" applyFill="1" applyBorder="1" applyAlignment="1">
      <alignment horizontal="right"/>
    </xf>
    <xf numFmtId="172" fontId="5" fillId="2" borderId="1" xfId="0" applyNumberFormat="1" applyFont="1" applyFill="1" applyBorder="1"/>
    <xf numFmtId="174" fontId="5" fillId="2" borderId="1" xfId="0" applyNumberFormat="1" applyFont="1" applyFill="1" applyBorder="1"/>
    <xf numFmtId="3" fontId="2" fillId="2" borderId="0" xfId="0" applyNumberFormat="1" applyFont="1" applyFill="1" applyBorder="1" applyAlignment="1">
      <alignment horizontal="right"/>
    </xf>
    <xf numFmtId="175" fontId="12" fillId="2" borderId="1" xfId="0" applyNumberFormat="1" applyFont="1" applyFill="1" applyBorder="1" applyAlignment="1">
      <alignment horizontal="left"/>
    </xf>
    <xf numFmtId="0" fontId="5" fillId="2" borderId="1" xfId="0" applyFont="1" applyFill="1" applyBorder="1"/>
    <xf numFmtId="173" fontId="5" fillId="2" borderId="1" xfId="0" applyNumberFormat="1" applyFont="1" applyFill="1" applyBorder="1"/>
    <xf numFmtId="0" fontId="5" fillId="2" borderId="0" xfId="0" applyFont="1" applyFill="1" applyBorder="1"/>
    <xf numFmtId="43" fontId="13" fillId="2" borderId="0" xfId="1" applyFont="1" applyFill="1" applyBorder="1"/>
    <xf numFmtId="0" fontId="0" fillId="2" borderId="0" xfId="0" quotePrefix="1" applyFill="1" applyBorder="1" applyAlignment="1">
      <alignment horizontal="right"/>
    </xf>
    <xf numFmtId="173" fontId="2" fillId="2" borderId="0" xfId="2" applyNumberFormat="1" applyFont="1" applyFill="1" applyAlignment="1">
      <alignment horizontal="center" wrapText="1"/>
    </xf>
    <xf numFmtId="0" fontId="0" fillId="2" borderId="0" xfId="0" applyFill="1"/>
    <xf numFmtId="44" fontId="5" fillId="2" borderId="1" xfId="2" applyNumberFormat="1" applyFont="1" applyFill="1" applyBorder="1"/>
    <xf numFmtId="44" fontId="14" fillId="2" borderId="1" xfId="2" applyNumberFormat="1" applyFont="1" applyFill="1" applyBorder="1"/>
    <xf numFmtId="0" fontId="2" fillId="2" borderId="1" xfId="0" applyFont="1" applyFill="1" applyBorder="1" applyAlignment="1">
      <alignment horizontal="right"/>
    </xf>
    <xf numFmtId="0" fontId="0" fillId="0" borderId="1" xfId="0" applyFont="1" applyFill="1" applyBorder="1" applyAlignment="1">
      <alignment horizontal="center" wrapText="1"/>
    </xf>
    <xf numFmtId="0" fontId="0" fillId="0" borderId="0" xfId="0" applyFont="1" applyFill="1"/>
    <xf numFmtId="0" fontId="50" fillId="0" borderId="0" xfId="0" applyFont="1" applyFill="1"/>
    <xf numFmtId="0" fontId="51" fillId="0" borderId="0" xfId="0" applyFont="1" applyFill="1"/>
    <xf numFmtId="0" fontId="0" fillId="0" borderId="0" xfId="0" applyFont="1" applyFill="1" applyAlignment="1">
      <alignment horizontal="left"/>
    </xf>
    <xf numFmtId="0" fontId="2" fillId="2" borderId="0" xfId="0" applyFont="1" applyFill="1" applyBorder="1" applyAlignment="1">
      <alignment horizontal="left"/>
    </xf>
    <xf numFmtId="0" fontId="0" fillId="2" borderId="0" xfId="0" applyFill="1" applyBorder="1" applyAlignment="1">
      <alignment horizontal="left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0" fillId="2" borderId="1" xfId="0" applyFill="1" applyBorder="1" applyAlignment="1">
      <alignment horizontal="right"/>
    </xf>
    <xf numFmtId="0" fontId="2" fillId="2" borderId="1" xfId="0" applyFont="1" applyFill="1" applyBorder="1" applyAlignment="1">
      <alignment horizontal="right"/>
    </xf>
    <xf numFmtId="4" fontId="0" fillId="0" borderId="0" xfId="0" applyNumberFormat="1" applyFill="1" applyAlignment="1">
      <alignment horizontal="center" wrapText="1"/>
    </xf>
    <xf numFmtId="4" fontId="0" fillId="0" borderId="0" xfId="0" applyNumberFormat="1" applyAlignment="1">
      <alignment horizontal="center" wrapText="1"/>
    </xf>
    <xf numFmtId="0" fontId="20" fillId="4" borderId="4" xfId="0" applyFont="1" applyFill="1" applyBorder="1" applyAlignment="1">
      <alignment horizontal="center" vertical="center" wrapText="1"/>
    </xf>
    <xf numFmtId="0" fontId="20" fillId="4" borderId="5" xfId="0" applyFont="1" applyFill="1" applyBorder="1" applyAlignment="1">
      <alignment horizontal="center" vertical="center" wrapText="1"/>
    </xf>
    <xf numFmtId="0" fontId="20" fillId="4" borderId="6" xfId="0" applyFont="1" applyFill="1" applyBorder="1" applyAlignment="1">
      <alignment horizontal="center" vertical="center" wrapText="1"/>
    </xf>
    <xf numFmtId="17" fontId="8" fillId="0" borderId="0" xfId="0" applyNumberFormat="1" applyFont="1" applyFill="1" applyBorder="1"/>
  </cellXfs>
  <cellStyles count="154">
    <cellStyle name="20% - Accent1 2" xfId="6"/>
    <cellStyle name="20% - Accent2 2" xfId="7"/>
    <cellStyle name="20% - Accent3 2" xfId="8"/>
    <cellStyle name="20% - Accent4 2" xfId="9"/>
    <cellStyle name="20% - Accent5 2" xfId="10"/>
    <cellStyle name="20% - Accent6 2" xfId="11"/>
    <cellStyle name="40% - Accent1 2" xfId="12"/>
    <cellStyle name="40% - Accent2 2" xfId="13"/>
    <cellStyle name="40% - Accent3 2" xfId="14"/>
    <cellStyle name="40% - Accent4 2" xfId="15"/>
    <cellStyle name="40% - Accent5 2" xfId="16"/>
    <cellStyle name="40% - Accent6 2" xfId="17"/>
    <cellStyle name="60% - Accent1 2" xfId="18"/>
    <cellStyle name="60% - Accent2 2" xfId="19"/>
    <cellStyle name="60% - Accent3 2" xfId="20"/>
    <cellStyle name="60% - Accent4 2" xfId="21"/>
    <cellStyle name="60% - Accent5 2" xfId="22"/>
    <cellStyle name="60% - Accent6 2" xfId="23"/>
    <cellStyle name="Accent1 2" xfId="24"/>
    <cellStyle name="Accent2 2" xfId="25"/>
    <cellStyle name="Accent3 2" xfId="26"/>
    <cellStyle name="Accent4 2" xfId="27"/>
    <cellStyle name="Accent5 2" xfId="28"/>
    <cellStyle name="Accent6 2" xfId="29"/>
    <cellStyle name="Bad 2" xfId="30"/>
    <cellStyle name="Calculation 2" xfId="31"/>
    <cellStyle name="Check Cell 2" xfId="32"/>
    <cellStyle name="Comma" xfId="1" builtinId="3"/>
    <cellStyle name="Comma 2" xfId="33"/>
    <cellStyle name="Comma 3" xfId="34"/>
    <cellStyle name="Comma 3 2" xfId="35"/>
    <cellStyle name="Comma 4" xfId="36"/>
    <cellStyle name="Comma 4 2" xfId="37"/>
    <cellStyle name="Comma 5" xfId="38"/>
    <cellStyle name="Comma 5 2" xfId="39"/>
    <cellStyle name="Comma 5 3" xfId="40"/>
    <cellStyle name="Comma 6" xfId="41"/>
    <cellStyle name="Comma0" xfId="42"/>
    <cellStyle name="Currency" xfId="2" builtinId="4"/>
    <cellStyle name="Currency 2" xfId="43"/>
    <cellStyle name="Currency 2 2" xfId="44"/>
    <cellStyle name="Currency 2 2 2" xfId="45"/>
    <cellStyle name="Currency 2 3" xfId="46"/>
    <cellStyle name="Currency 3" xfId="47"/>
    <cellStyle name="Currency 3 2" xfId="48"/>
    <cellStyle name="Currency 4" xfId="49"/>
    <cellStyle name="Currency 4 2" xfId="50"/>
    <cellStyle name="Currency 5" xfId="51"/>
    <cellStyle name="Currency 5 2" xfId="52"/>
    <cellStyle name="Currency 5 3" xfId="53"/>
    <cellStyle name="Currency0" xfId="54"/>
    <cellStyle name="Date" xfId="55"/>
    <cellStyle name="Explanatory Text 2" xfId="56"/>
    <cellStyle name="Fixed" xfId="57"/>
    <cellStyle name="Good 2" xfId="58"/>
    <cellStyle name="Heading 1 2" xfId="59"/>
    <cellStyle name="Heading 1 3" xfId="60"/>
    <cellStyle name="Heading 2 2" xfId="61"/>
    <cellStyle name="Heading 2 3" xfId="62"/>
    <cellStyle name="Heading 3 2" xfId="63"/>
    <cellStyle name="Heading 4 2" xfId="64"/>
    <cellStyle name="Hyperlink" xfId="4" builtinId="8"/>
    <cellStyle name="Hyperlink 2" xfId="65"/>
    <cellStyle name="Input 2" xfId="66"/>
    <cellStyle name="Linked Cell 2" xfId="67"/>
    <cellStyle name="Neutral 2" xfId="68"/>
    <cellStyle name="Normal" xfId="0" builtinId="0"/>
    <cellStyle name="Normal 2" xfId="69"/>
    <cellStyle name="Normal 2 2" xfId="70"/>
    <cellStyle name="Normal 2 2 2" xfId="71"/>
    <cellStyle name="Normal 2 2 2 2" xfId="72"/>
    <cellStyle name="Normal 2 2 3" xfId="73"/>
    <cellStyle name="Normal 2 2 3 2" xfId="74"/>
    <cellStyle name="Normal 2 2 4" xfId="75"/>
    <cellStyle name="Normal 2 2 4 2" xfId="76"/>
    <cellStyle name="Normal 2 2 5" xfId="77"/>
    <cellStyle name="Normal 2 3" xfId="78"/>
    <cellStyle name="Normal 2 3 2" xfId="79"/>
    <cellStyle name="Normal 2 3 2 2" xfId="80"/>
    <cellStyle name="Normal 2 3 3" xfId="81"/>
    <cellStyle name="Normal 2 4" xfId="5"/>
    <cellStyle name="Normal 2 4 2" xfId="82"/>
    <cellStyle name="Normal 2 4 3" xfId="83"/>
    <cellStyle name="Normal 2 5" xfId="84"/>
    <cellStyle name="Normal 2 6" xfId="85"/>
    <cellStyle name="Normal 3" xfId="86"/>
    <cellStyle name="Normal 3 2" xfId="87"/>
    <cellStyle name="Normal 3 2 2" xfId="88"/>
    <cellStyle name="Normal 3 3" xfId="89"/>
    <cellStyle name="Normal 3 4" xfId="90"/>
    <cellStyle name="Normal 4" xfId="91"/>
    <cellStyle name="Normal 4 2" xfId="92"/>
    <cellStyle name="Normal 4 3" xfId="93"/>
    <cellStyle name="Normal 5" xfId="94"/>
    <cellStyle name="Note 2" xfId="95"/>
    <cellStyle name="Note 2 2" xfId="96"/>
    <cellStyle name="Output 2" xfId="97"/>
    <cellStyle name="Percent" xfId="3" builtinId="5"/>
    <cellStyle name="Percent 2" xfId="98"/>
    <cellStyle name="Percent 2 2" xfId="99"/>
    <cellStyle name="Percent 2 2 2" xfId="100"/>
    <cellStyle name="Percent 2 3" xfId="101"/>
    <cellStyle name="Percent 3" xfId="102"/>
    <cellStyle name="Percent 3 2" xfId="103"/>
    <cellStyle name="Percent 3 2 2" xfId="104"/>
    <cellStyle name="Percent 4" xfId="105"/>
    <cellStyle name="Percent 4 2" xfId="106"/>
    <cellStyle name="Percent 5" xfId="107"/>
    <cellStyle name="Percent 5 2" xfId="108"/>
    <cellStyle name="Percent 5 3" xfId="109"/>
    <cellStyle name="Percent 6" xfId="110"/>
    <cellStyle name="Percent 7" xfId="111"/>
    <cellStyle name="SAPBEXaggData" xfId="112"/>
    <cellStyle name="SAPBEXaggDataEmph" xfId="113"/>
    <cellStyle name="SAPBEXaggItem" xfId="114"/>
    <cellStyle name="SAPBEXaggItemX" xfId="115"/>
    <cellStyle name="SAPBEXchaText" xfId="116"/>
    <cellStyle name="SAPBEXexcBad7" xfId="117"/>
    <cellStyle name="SAPBEXexcBad8" xfId="118"/>
    <cellStyle name="SAPBEXexcBad9" xfId="119"/>
    <cellStyle name="SAPBEXexcCritical4" xfId="120"/>
    <cellStyle name="SAPBEXexcCritical5" xfId="121"/>
    <cellStyle name="SAPBEXexcCritical6" xfId="122"/>
    <cellStyle name="SAPBEXexcGood1" xfId="123"/>
    <cellStyle name="SAPBEXexcGood2" xfId="124"/>
    <cellStyle name="SAPBEXexcGood3" xfId="125"/>
    <cellStyle name="SAPBEXfilterDrill" xfId="126"/>
    <cellStyle name="SAPBEXfilterItem" xfId="127"/>
    <cellStyle name="SAPBEXfilterText" xfId="128"/>
    <cellStyle name="SAPBEXformats" xfId="129"/>
    <cellStyle name="SAPBEXheaderItem" xfId="130"/>
    <cellStyle name="SAPBEXheaderText" xfId="131"/>
    <cellStyle name="SAPBEXHLevel0" xfId="132"/>
    <cellStyle name="SAPBEXHLevel0X" xfId="133"/>
    <cellStyle name="SAPBEXHLevel1" xfId="134"/>
    <cellStyle name="SAPBEXHLevel1X" xfId="135"/>
    <cellStyle name="SAPBEXHLevel2" xfId="136"/>
    <cellStyle name="SAPBEXHLevel2X" xfId="137"/>
    <cellStyle name="SAPBEXHLevel3" xfId="138"/>
    <cellStyle name="SAPBEXHLevel3X" xfId="139"/>
    <cellStyle name="SAPBEXresData" xfId="140"/>
    <cellStyle name="SAPBEXresDataEmph" xfId="141"/>
    <cellStyle name="SAPBEXresItem" xfId="142"/>
    <cellStyle name="SAPBEXresItemX" xfId="143"/>
    <cellStyle name="SAPBEXstdData" xfId="144"/>
    <cellStyle name="SAPBEXstdDataEmph" xfId="145"/>
    <cellStyle name="SAPBEXstdItem" xfId="146"/>
    <cellStyle name="SAPBEXstdItemX" xfId="147"/>
    <cellStyle name="SAPBEXtitle" xfId="148"/>
    <cellStyle name="SAPBEXundefined" xfId="149"/>
    <cellStyle name="Title 2" xfId="150"/>
    <cellStyle name="Total 2" xfId="151"/>
    <cellStyle name="Total 3" xfId="152"/>
    <cellStyle name="Warning Text 2" xfId="15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../../../2015%20BGS-RSCP%20for%202016-2017/2015-11%20Compliance%20Filing/2014%20BGS-FP%20for%202015-2016/BGS-FP%20Bid%20Factors%20for%202015-16FINAL(02-13-15).xlsx" TargetMode="External"/><Relationship Id="rId13" Type="http://schemas.openxmlformats.org/officeDocument/2006/relationships/vmlDrawing" Target="../drawings/vmlDrawing1.vml"/><Relationship Id="rId3" Type="http://schemas.openxmlformats.org/officeDocument/2006/relationships/hyperlink" Target="../../../2015%20BGS-RSCP%20for%202016-2017/2015-11%20Compliance%20Filing/2015%20BGS-RSCP%20for%202016-2017/2015-07%20Initial%20Filing/BGS-FP%20Initial%20Filing%20Supporting%20Documents/Table3%20-%20kWh%20forecast/Net%20Sales%20Forecast%20used%20in%2015-16%20BGS.xls" TargetMode="External"/><Relationship Id="rId7" Type="http://schemas.openxmlformats.org/officeDocument/2006/relationships/hyperlink" Target="../../../2015%20BGS-RSCP%20for%202016-2017/2015-11%20Compliance%20Filing/2015%20BGS-RSCP%20for%202016-2017/2015-07%20Initial%20Filing/BGS-FP%20Initial%20Filing%20Supporting%20Documents/Table10%20-%20Gen%20and%20Trans%20Obs/CAP%20AND%20TRAN%20LOADS%20FOR%202015%20For%20Myron%20-%20Copy.xls" TargetMode="External"/><Relationship Id="rId12" Type="http://schemas.openxmlformats.org/officeDocument/2006/relationships/printerSettings" Target="../printerSettings/printerSettings1.bin"/><Relationship Id="rId2" Type="http://schemas.openxmlformats.org/officeDocument/2006/relationships/hyperlink" Target="../../../2015%20BGS-RSCP%20for%202016-2017/2015-11%20Compliance%20Filing/2015%20BGS-RSCP%20for%202016-2017/2015-07%20Initial%20Filing/BGS-FP%20Initial%20Filing%20Supporting%20Documents/Table1&amp;2%20-%20OnPeak%25/Table%202%20-%20001.2014%20-%20012.2014%20KWH%20(RLM,%20LPLS-H-O).xls" TargetMode="External"/><Relationship Id="rId1" Type="http://schemas.openxmlformats.org/officeDocument/2006/relationships/hyperlink" Target="../../../2015%20BGS-RSCP%20for%202016-2017/2015-11%20Compliance%20Filing/2015%20BGS-RSCP%20for%202016-2017/2015-07%20Initial%20Filing/BGS-FP%20Initial%20Filing%20Supporting%20Documents/Table1&amp;2%20-%20OnPeak%25/Table%201%20-%20Time%20period%20usage%20for%202016-17%20Spreadsheet.xls" TargetMode="External"/><Relationship Id="rId6" Type="http://schemas.openxmlformats.org/officeDocument/2006/relationships/hyperlink" Target="../../../2015%20BGS-RSCP%20for%202016-2017/2015-11%20Compliance%20Filing/2015%20BGS-RSCP%20for%202016-2017/2015-07%20Initial%20Filing/BGS-FP%20Initial%20Filing%20Supporting%20Documents/Table4&amp;5&amp;6%20-%20NERA%20Inputs/2016%20Inputs%20to%20FP%20Pricing_3%20JUN%202015_DRAFT.xlsx" TargetMode="External"/><Relationship Id="rId11" Type="http://schemas.openxmlformats.org/officeDocument/2006/relationships/hyperlink" Target="../../../2015%20BGS-RSCP%20for%202016-2017/2015-11%20Compliance%20Filing/2014%20BGS-FP%20for%202015-2016/BGS-FP%20Bid%20Factors%20for%202015-16FINAL(02-13-15).xlsx" TargetMode="External"/><Relationship Id="rId5" Type="http://schemas.openxmlformats.org/officeDocument/2006/relationships/hyperlink" Target="../../../2015%20BGS-RSCP%20for%202016-2017/2015-11%20Compliance%20Filing/2015%20BGS-RSCP%20for%202016-2017/2015-07%20Initial%20Filing/BGS-FP%20Initial%20Filing%20Supporting%20Documents/Table4&amp;5&amp;6%20-%20NERA%20Inputs/2016%20Inputs%20to%20FP%20Pricing_3%20JUN%202015_DRAFT.xlsx" TargetMode="External"/><Relationship Id="rId10" Type="http://schemas.openxmlformats.org/officeDocument/2006/relationships/hyperlink" Target="../../../2015%20BGS-RSCP%20for%202016-2017/2015-11%20Compliance%20Filing/2015%20BGS-RSCP%20for%202016-2017/2015-07%20Initial%20Filing/BGS-FP%20Initial%20Filing%20Supporting%20Documents/Table4&amp;5&amp;6%20-%20NERA%20Inputs/2016%20Inputs%20to%20FP%20Pricing_3%20JUN%202015_DRAFT.xlsx" TargetMode="External"/><Relationship Id="rId4" Type="http://schemas.openxmlformats.org/officeDocument/2006/relationships/hyperlink" Target="../../../2015%20BGS-RSCP%20for%202016-2017/2015-11%20Compliance%20Filing/2015%20BGS-RSCP%20for%202016-2017/2015-07%20Initial%20Filing/BGS-FP%20Initial%20Filing%20Supporting%20Documents/Table3%20-%20kWh%20forecast/LPLS%20Split%20Mar%202015.xls" TargetMode="External"/><Relationship Id="rId9" Type="http://schemas.openxmlformats.org/officeDocument/2006/relationships/hyperlink" Target="../../../2015%20BGS-RSCP%20for%202016-2017/2015-11%20Compliance%20Filing/2015%20BGS-RSCP%20for%202016-2017/2015-07%20Initial%20Filing/BGS-FP%20Initial%20Filing%20Supporting%20Documents/Table4&amp;5&amp;6%20-%20NERA%20Inputs/2016%20Inputs%20to%20FP%20Pricing_3%20JUN%202015_DRAFT.xlsx" TargetMode="External"/><Relationship Id="rId1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/>
  <dimension ref="A1:AF394"/>
  <sheetViews>
    <sheetView tabSelected="1" view="pageBreakPreview" zoomScaleNormal="100" zoomScaleSheetLayoutView="100" workbookViewId="0">
      <selection activeCell="G41" sqref="G41"/>
    </sheetView>
  </sheetViews>
  <sheetFormatPr defaultColWidth="9.140625" defaultRowHeight="12.75" outlineLevelRow="1" x14ac:dyDescent="0.2"/>
  <cols>
    <col min="1" max="1" width="17.42578125" style="4" customWidth="1"/>
    <col min="2" max="2" width="36.28515625" style="1" customWidth="1"/>
    <col min="3" max="3" width="13.42578125" style="1" customWidth="1"/>
    <col min="4" max="4" width="11" style="1" customWidth="1"/>
    <col min="5" max="5" width="17.7109375" style="1" customWidth="1"/>
    <col min="6" max="6" width="12.7109375" style="1" customWidth="1"/>
    <col min="7" max="8" width="10.7109375" style="1" customWidth="1"/>
    <col min="9" max="9" width="11" style="1" customWidth="1"/>
    <col min="10" max="10" width="10.7109375" style="1" customWidth="1"/>
    <col min="11" max="11" width="12.28515625" style="1" customWidth="1"/>
    <col min="12" max="12" width="12.42578125" style="1" customWidth="1"/>
    <col min="13" max="13" width="16.5703125" style="1" customWidth="1"/>
    <col min="14" max="14" width="15.140625" style="1" bestFit="1" customWidth="1"/>
    <col min="15" max="15" width="10.42578125" style="1" customWidth="1"/>
    <col min="16" max="16" width="25.85546875" style="1" customWidth="1"/>
    <col min="17" max="17" width="11.140625" style="1" customWidth="1"/>
    <col min="18" max="18" width="10.85546875" style="1" bestFit="1" customWidth="1"/>
    <col min="19" max="19" width="9.140625" style="1"/>
    <col min="20" max="20" width="10.140625" style="1" bestFit="1" customWidth="1"/>
    <col min="21" max="21" width="14.42578125" style="1" customWidth="1"/>
    <col min="22" max="22" width="11" style="1" bestFit="1" customWidth="1"/>
    <col min="23" max="23" width="10.7109375" style="1" customWidth="1"/>
    <col min="24" max="24" width="11.7109375" style="1" customWidth="1"/>
    <col min="25" max="25" width="11.28515625" style="1" bestFit="1" customWidth="1"/>
    <col min="26" max="26" width="10.140625" style="1" customWidth="1"/>
    <col min="27" max="27" width="10.7109375" style="1" customWidth="1"/>
    <col min="28" max="28" width="12.85546875" style="1" bestFit="1" customWidth="1"/>
    <col min="29" max="29" width="9.140625" style="1"/>
    <col min="30" max="30" width="17.5703125" style="1" customWidth="1"/>
    <col min="31" max="31" width="9.140625" style="1"/>
    <col min="32" max="32" width="10.28515625" style="1" bestFit="1" customWidth="1"/>
    <col min="33" max="33" width="10.5703125" style="1" customWidth="1"/>
    <col min="34" max="16384" width="9.140625" style="1"/>
  </cols>
  <sheetData>
    <row r="1" spans="1:24" x14ac:dyDescent="0.2">
      <c r="A1" s="1"/>
    </row>
    <row r="2" spans="1:24" x14ac:dyDescent="0.2">
      <c r="A2" s="2"/>
      <c r="B2" s="318"/>
      <c r="D2" s="317"/>
    </row>
    <row r="3" spans="1:24" x14ac:dyDescent="0.2">
      <c r="C3" s="5"/>
      <c r="D3" s="5"/>
      <c r="E3" s="5"/>
      <c r="F3" s="5"/>
      <c r="G3" s="5"/>
      <c r="H3" s="5"/>
      <c r="I3" s="5"/>
      <c r="J3" s="5"/>
      <c r="K3" s="5"/>
      <c r="L3" s="5"/>
    </row>
    <row r="4" spans="1:24" x14ac:dyDescent="0.2">
      <c r="A4" s="1"/>
    </row>
    <row r="5" spans="1:24" x14ac:dyDescent="0.2">
      <c r="A5" s="6"/>
      <c r="B5" s="356"/>
      <c r="C5" s="357"/>
      <c r="D5" s="357"/>
      <c r="E5" s="357"/>
      <c r="F5" s="357"/>
      <c r="G5" s="357"/>
      <c r="H5" s="357"/>
      <c r="I5" s="357"/>
      <c r="J5" s="357"/>
      <c r="K5" s="357"/>
      <c r="L5" s="357"/>
    </row>
    <row r="6" spans="1:24" x14ac:dyDescent="0.2">
      <c r="C6" s="5"/>
      <c r="D6" s="5"/>
      <c r="E6" s="5"/>
      <c r="F6" s="5"/>
      <c r="G6" s="5"/>
      <c r="H6" s="5"/>
      <c r="I6" s="5"/>
      <c r="J6" s="5"/>
      <c r="K6" s="5"/>
      <c r="L6" s="5"/>
    </row>
    <row r="7" spans="1:24" ht="15.75" x14ac:dyDescent="0.25">
      <c r="B7" s="7" t="s">
        <v>373</v>
      </c>
      <c r="C7" s="8"/>
      <c r="D7" s="8"/>
      <c r="E7" s="8"/>
      <c r="F7" s="8"/>
      <c r="J7" s="7"/>
    </row>
    <row r="8" spans="1:24" x14ac:dyDescent="0.2">
      <c r="A8" s="9"/>
      <c r="B8" s="10" t="s">
        <v>1</v>
      </c>
      <c r="C8" s="8"/>
      <c r="D8" s="8"/>
      <c r="E8" s="8"/>
      <c r="F8" s="8"/>
    </row>
    <row r="9" spans="1:24" x14ac:dyDescent="0.2">
      <c r="B9" s="8"/>
      <c r="C9" s="8"/>
      <c r="D9" s="8"/>
      <c r="E9" s="11" t="s">
        <v>2</v>
      </c>
      <c r="F9" s="8"/>
    </row>
    <row r="10" spans="1:24" x14ac:dyDescent="0.2">
      <c r="A10" s="2" t="s">
        <v>3</v>
      </c>
      <c r="B10" s="12" t="s">
        <v>4</v>
      </c>
      <c r="C10" s="13"/>
      <c r="D10" s="8"/>
      <c r="E10" s="11" t="s">
        <v>5</v>
      </c>
      <c r="F10" s="8"/>
      <c r="N10" s="12"/>
      <c r="O10" s="12"/>
      <c r="P10" s="8"/>
      <c r="Q10" s="8"/>
      <c r="R10" s="8"/>
      <c r="S10" s="8"/>
      <c r="T10" s="8"/>
      <c r="U10" s="8"/>
      <c r="V10" s="8"/>
      <c r="W10" s="8"/>
      <c r="X10" s="8"/>
    </row>
    <row r="11" spans="1:24" ht="25.5" x14ac:dyDescent="0.2">
      <c r="A11" s="14"/>
      <c r="B11" s="15"/>
      <c r="C11" s="16" t="s">
        <v>6</v>
      </c>
      <c r="D11" s="16" t="s">
        <v>6</v>
      </c>
      <c r="E11" s="16" t="s">
        <v>6</v>
      </c>
      <c r="F11" s="16" t="s">
        <v>6</v>
      </c>
      <c r="G11" s="16" t="s">
        <v>6</v>
      </c>
      <c r="H11" s="16" t="s">
        <v>6</v>
      </c>
      <c r="I11" s="17" t="s">
        <v>7</v>
      </c>
      <c r="J11" s="18"/>
      <c r="K11" s="16" t="s">
        <v>6</v>
      </c>
      <c r="L11" s="16" t="s">
        <v>6</v>
      </c>
      <c r="M11" s="19"/>
      <c r="N11" s="11"/>
      <c r="O11" s="19"/>
      <c r="P11" s="19"/>
      <c r="Q11" s="19"/>
      <c r="R11" s="19"/>
      <c r="S11" s="19"/>
      <c r="T11" s="19"/>
      <c r="U11" s="11"/>
      <c r="V11" s="20"/>
      <c r="W11" s="19"/>
      <c r="X11" s="19"/>
    </row>
    <row r="12" spans="1:24" x14ac:dyDescent="0.2">
      <c r="A12" s="14"/>
      <c r="B12" s="21" t="s">
        <v>8</v>
      </c>
      <c r="C12" s="22" t="s">
        <v>9</v>
      </c>
      <c r="D12" s="22" t="s">
        <v>10</v>
      </c>
      <c r="E12" s="22" t="s">
        <v>11</v>
      </c>
      <c r="F12" s="22" t="s">
        <v>12</v>
      </c>
      <c r="G12" s="22" t="s">
        <v>13</v>
      </c>
      <c r="H12" s="22" t="s">
        <v>14</v>
      </c>
      <c r="I12" s="22" t="s">
        <v>15</v>
      </c>
      <c r="J12" s="22" t="s">
        <v>16</v>
      </c>
      <c r="K12" s="22" t="s">
        <v>17</v>
      </c>
      <c r="L12" s="22" t="s">
        <v>18</v>
      </c>
      <c r="M12" s="23"/>
      <c r="N12" s="24"/>
      <c r="O12" s="5"/>
      <c r="P12" s="5"/>
      <c r="Q12" s="5"/>
      <c r="R12" s="5"/>
      <c r="S12" s="5"/>
      <c r="T12" s="5"/>
      <c r="U12" s="5"/>
      <c r="V12" s="5"/>
      <c r="W12" s="5"/>
      <c r="X12" s="5"/>
    </row>
    <row r="13" spans="1:24" x14ac:dyDescent="0.2">
      <c r="A13" s="14"/>
      <c r="B13" s="3"/>
      <c r="C13" s="22"/>
      <c r="D13" s="22"/>
      <c r="E13" s="22"/>
      <c r="F13" s="22"/>
      <c r="G13" s="22"/>
      <c r="H13" s="22"/>
      <c r="I13" s="22"/>
      <c r="J13" s="22"/>
      <c r="K13" s="22"/>
      <c r="L13" s="22"/>
      <c r="O13" s="8"/>
      <c r="P13" s="8"/>
      <c r="Q13" s="8"/>
      <c r="R13" s="8"/>
      <c r="S13" s="8"/>
      <c r="T13" s="8"/>
      <c r="U13" s="8"/>
      <c r="V13" s="8"/>
      <c r="W13" s="8"/>
      <c r="X13" s="8"/>
    </row>
    <row r="14" spans="1:24" x14ac:dyDescent="0.2">
      <c r="A14" s="14"/>
      <c r="B14" s="25" t="s">
        <v>19</v>
      </c>
      <c r="C14" s="26">
        <v>0.47570000000000001</v>
      </c>
      <c r="D14" s="26">
        <v>0.46899999999999997</v>
      </c>
      <c r="E14" s="26">
        <v>0.48270000000000002</v>
      </c>
      <c r="F14" s="26">
        <v>0.43669999999999998</v>
      </c>
      <c r="G14" s="26">
        <v>0.43669999999999998</v>
      </c>
      <c r="H14" s="26">
        <v>0.4713</v>
      </c>
      <c r="I14" s="26">
        <v>0.29970000000000002</v>
      </c>
      <c r="J14" s="26">
        <v>0.29970000000000002</v>
      </c>
      <c r="K14" s="26">
        <v>0.55600000000000005</v>
      </c>
      <c r="L14" s="26">
        <v>0.53700000000000003</v>
      </c>
      <c r="M14" s="27"/>
      <c r="N14" s="28"/>
      <c r="O14" s="29"/>
      <c r="P14" s="29"/>
      <c r="Q14" s="29"/>
      <c r="R14" s="29"/>
      <c r="S14" s="29"/>
      <c r="T14" s="29"/>
      <c r="U14" s="29"/>
      <c r="V14" s="29"/>
      <c r="W14" s="29"/>
      <c r="X14" s="29"/>
    </row>
    <row r="15" spans="1:24" x14ac:dyDescent="0.2">
      <c r="A15" s="14"/>
      <c r="B15" s="25" t="s">
        <v>20</v>
      </c>
      <c r="C15" s="26">
        <v>0.502</v>
      </c>
      <c r="D15" s="26">
        <v>0.48499999999999999</v>
      </c>
      <c r="E15" s="26">
        <v>0.50929999999999997</v>
      </c>
      <c r="F15" s="26">
        <v>0.45269999999999999</v>
      </c>
      <c r="G15" s="26">
        <v>0.45269999999999999</v>
      </c>
      <c r="H15" s="26">
        <v>0.48530000000000001</v>
      </c>
      <c r="I15" s="26">
        <v>0.29670000000000002</v>
      </c>
      <c r="J15" s="26">
        <v>0.29670000000000002</v>
      </c>
      <c r="K15" s="26">
        <v>0.57330000000000003</v>
      </c>
      <c r="L15" s="26">
        <v>0.56030000000000002</v>
      </c>
      <c r="M15" s="27"/>
      <c r="N15" s="28"/>
      <c r="O15" s="29"/>
      <c r="P15" s="29"/>
      <c r="Q15" s="29"/>
      <c r="R15" s="29"/>
      <c r="S15" s="29"/>
      <c r="T15" s="29"/>
      <c r="U15" s="29"/>
      <c r="V15" s="29"/>
      <c r="W15" s="29"/>
      <c r="X15" s="29"/>
    </row>
    <row r="16" spans="1:24" x14ac:dyDescent="0.2">
      <c r="A16" s="14"/>
      <c r="B16" s="25" t="s">
        <v>21</v>
      </c>
      <c r="C16" s="26">
        <v>0.49199999999999999</v>
      </c>
      <c r="D16" s="26">
        <v>0.48870000000000002</v>
      </c>
      <c r="E16" s="26">
        <v>0.49930000000000002</v>
      </c>
      <c r="F16" s="26">
        <v>0.46400000000000002</v>
      </c>
      <c r="G16" s="26">
        <v>0.46400000000000002</v>
      </c>
      <c r="H16" s="26">
        <v>0.47870000000000001</v>
      </c>
      <c r="I16" s="26">
        <v>0.253</v>
      </c>
      <c r="J16" s="26">
        <v>0.253</v>
      </c>
      <c r="K16" s="26">
        <v>0.57730000000000004</v>
      </c>
      <c r="L16" s="26">
        <v>0.56269999999999998</v>
      </c>
      <c r="M16" s="27"/>
      <c r="N16" s="28"/>
      <c r="O16" s="29"/>
      <c r="P16" s="29"/>
      <c r="Q16" s="29"/>
      <c r="R16" s="29"/>
      <c r="S16" s="29"/>
      <c r="T16" s="29"/>
      <c r="U16" s="29"/>
      <c r="V16" s="29"/>
      <c r="W16" s="29"/>
      <c r="X16" s="29"/>
    </row>
    <row r="17" spans="1:24" x14ac:dyDescent="0.2">
      <c r="A17" s="14"/>
      <c r="B17" s="25" t="s">
        <v>22</v>
      </c>
      <c r="C17" s="26">
        <v>0.51029999999999998</v>
      </c>
      <c r="D17" s="26">
        <v>0.51829999999999998</v>
      </c>
      <c r="E17" s="26">
        <v>0.51670000000000005</v>
      </c>
      <c r="F17" s="26">
        <v>0.46729999999999999</v>
      </c>
      <c r="G17" s="26">
        <v>0.46729999999999999</v>
      </c>
      <c r="H17" s="26">
        <v>0.50829999999999997</v>
      </c>
      <c r="I17" s="26">
        <v>0.2293</v>
      </c>
      <c r="J17" s="26">
        <v>0.2293</v>
      </c>
      <c r="K17" s="26">
        <v>0.59499999999999997</v>
      </c>
      <c r="L17" s="26">
        <v>0.58030000000000004</v>
      </c>
      <c r="M17" s="27"/>
      <c r="N17" s="28"/>
      <c r="O17" s="29"/>
      <c r="P17" s="29"/>
      <c r="Q17" s="29"/>
      <c r="R17" s="29"/>
      <c r="S17" s="29"/>
      <c r="T17" s="29"/>
      <c r="U17" s="29"/>
      <c r="V17" s="29"/>
      <c r="W17" s="29"/>
      <c r="X17" s="29"/>
    </row>
    <row r="18" spans="1:24" x14ac:dyDescent="0.2">
      <c r="A18" s="14"/>
      <c r="B18" s="25" t="s">
        <v>23</v>
      </c>
      <c r="C18" s="26">
        <v>0.46800000000000003</v>
      </c>
      <c r="D18" s="26">
        <v>0.48470000000000002</v>
      </c>
      <c r="E18" s="26">
        <v>0.48270000000000002</v>
      </c>
      <c r="F18" s="26">
        <v>0.42030000000000001</v>
      </c>
      <c r="G18" s="26">
        <v>0.42030000000000001</v>
      </c>
      <c r="H18" s="26">
        <v>0.54269999999999996</v>
      </c>
      <c r="I18" s="26">
        <v>0.20200000000000001</v>
      </c>
      <c r="J18" s="26">
        <v>0.20200000000000001</v>
      </c>
      <c r="K18" s="26">
        <v>0.56699999999999995</v>
      </c>
      <c r="L18" s="26">
        <v>0.55300000000000005</v>
      </c>
      <c r="M18" s="27"/>
      <c r="N18" s="28"/>
      <c r="O18" s="29"/>
      <c r="P18" s="29"/>
      <c r="Q18" s="29"/>
      <c r="R18" s="29"/>
      <c r="S18" s="29"/>
      <c r="T18" s="29"/>
      <c r="U18" s="29"/>
      <c r="V18" s="29"/>
      <c r="W18" s="29"/>
      <c r="X18" s="29"/>
    </row>
    <row r="19" spans="1:24" x14ac:dyDescent="0.2">
      <c r="A19" s="14"/>
      <c r="B19" s="25" t="s">
        <v>24</v>
      </c>
      <c r="C19" s="26">
        <v>0.53369999999999995</v>
      </c>
      <c r="D19" s="26">
        <v>0.54330000000000001</v>
      </c>
      <c r="E19" s="26">
        <v>0.55430000000000001</v>
      </c>
      <c r="F19" s="26">
        <v>0.46899999999999997</v>
      </c>
      <c r="G19" s="26">
        <v>0.46899999999999997</v>
      </c>
      <c r="H19" s="26">
        <v>0.64170000000000005</v>
      </c>
      <c r="I19" s="26">
        <v>0.20369999999999999</v>
      </c>
      <c r="J19" s="26">
        <v>0.20369999999999999</v>
      </c>
      <c r="K19" s="26">
        <v>0.61429999999999996</v>
      </c>
      <c r="L19" s="26">
        <v>0.59</v>
      </c>
      <c r="M19" s="27"/>
      <c r="N19" s="28"/>
      <c r="O19" s="29"/>
      <c r="P19" s="29"/>
      <c r="Q19" s="29"/>
      <c r="R19" s="29"/>
      <c r="S19" s="29"/>
      <c r="T19" s="29"/>
      <c r="U19" s="29"/>
      <c r="V19" s="29"/>
      <c r="W19" s="29"/>
      <c r="X19" s="29"/>
    </row>
    <row r="20" spans="1:24" x14ac:dyDescent="0.2">
      <c r="A20" s="14"/>
      <c r="B20" s="25" t="s">
        <v>25</v>
      </c>
      <c r="C20" s="26">
        <v>0.52829999999999999</v>
      </c>
      <c r="D20" s="26">
        <v>0.5353</v>
      </c>
      <c r="E20" s="26">
        <v>0.54930000000000001</v>
      </c>
      <c r="F20" s="26">
        <v>0.47799999999999998</v>
      </c>
      <c r="G20" s="26">
        <v>0.47799999999999998</v>
      </c>
      <c r="H20" s="26">
        <v>0.64400000000000002</v>
      </c>
      <c r="I20" s="26">
        <v>0.1953</v>
      </c>
      <c r="J20" s="26">
        <v>0.1953</v>
      </c>
      <c r="K20" s="26">
        <v>0.6</v>
      </c>
      <c r="L20" s="26">
        <v>0.56699999999999995</v>
      </c>
      <c r="M20" s="27"/>
      <c r="N20" s="28"/>
      <c r="O20" s="29"/>
      <c r="P20" s="29"/>
      <c r="Q20" s="29"/>
      <c r="R20" s="29"/>
      <c r="S20" s="29"/>
      <c r="T20" s="29"/>
      <c r="U20" s="29"/>
      <c r="V20" s="29"/>
      <c r="W20" s="29"/>
      <c r="X20" s="29"/>
    </row>
    <row r="21" spans="1:24" x14ac:dyDescent="0.2">
      <c r="A21" s="14"/>
      <c r="B21" s="25" t="s">
        <v>26</v>
      </c>
      <c r="C21" s="26">
        <v>0.51300000000000001</v>
      </c>
      <c r="D21" s="26">
        <v>0.52600000000000002</v>
      </c>
      <c r="E21" s="26">
        <v>0.5373</v>
      </c>
      <c r="F21" s="26">
        <v>0.50370000000000004</v>
      </c>
      <c r="G21" s="26">
        <v>0.50370000000000004</v>
      </c>
      <c r="H21" s="26">
        <v>0.63270000000000004</v>
      </c>
      <c r="I21" s="26">
        <v>0.21199999999999999</v>
      </c>
      <c r="J21" s="26">
        <v>0.21199999999999999</v>
      </c>
      <c r="K21" s="26">
        <v>0.59530000000000005</v>
      </c>
      <c r="L21" s="26">
        <v>0.56069999999999998</v>
      </c>
      <c r="M21" s="27"/>
      <c r="N21" s="28"/>
      <c r="O21" s="29"/>
      <c r="P21" s="29"/>
      <c r="Q21" s="29"/>
      <c r="R21" s="29"/>
      <c r="S21" s="29"/>
      <c r="T21" s="29"/>
      <c r="U21" s="29"/>
      <c r="V21" s="29"/>
      <c r="W21" s="29"/>
      <c r="X21" s="29"/>
    </row>
    <row r="22" spans="1:24" x14ac:dyDescent="0.2">
      <c r="A22" s="14"/>
      <c r="B22" s="25" t="s">
        <v>27</v>
      </c>
      <c r="C22" s="26">
        <v>0.502</v>
      </c>
      <c r="D22" s="26">
        <v>0.52070000000000005</v>
      </c>
      <c r="E22" s="26">
        <v>0.52500000000000002</v>
      </c>
      <c r="F22" s="26">
        <v>0.48970000000000002</v>
      </c>
      <c r="G22" s="26">
        <v>0.48970000000000002</v>
      </c>
      <c r="H22" s="26">
        <v>0.63100000000000001</v>
      </c>
      <c r="I22" s="26">
        <v>0.23769999999999999</v>
      </c>
      <c r="J22" s="26">
        <v>0.23769999999999999</v>
      </c>
      <c r="K22" s="26">
        <v>0.59699999999999998</v>
      </c>
      <c r="L22" s="26">
        <v>0.56830000000000003</v>
      </c>
      <c r="M22" s="27"/>
      <c r="N22" s="28"/>
      <c r="O22" s="29"/>
      <c r="P22" s="29"/>
      <c r="Q22" s="29"/>
      <c r="R22" s="29"/>
      <c r="S22" s="29"/>
      <c r="T22" s="29"/>
      <c r="U22" s="29"/>
      <c r="V22" s="29"/>
      <c r="W22" s="29"/>
      <c r="X22" s="29"/>
    </row>
    <row r="23" spans="1:24" x14ac:dyDescent="0.2">
      <c r="A23" s="14"/>
      <c r="B23" s="25" t="s">
        <v>28</v>
      </c>
      <c r="C23" s="26">
        <v>0.50070000000000003</v>
      </c>
      <c r="D23" s="26">
        <v>0.51670000000000005</v>
      </c>
      <c r="E23" s="26">
        <v>0.52100000000000002</v>
      </c>
      <c r="F23" s="26">
        <v>0.504</v>
      </c>
      <c r="G23" s="26">
        <v>0.504</v>
      </c>
      <c r="H23" s="26">
        <v>0.57230000000000003</v>
      </c>
      <c r="I23" s="26">
        <v>0.2697</v>
      </c>
      <c r="J23" s="26">
        <v>0.2697</v>
      </c>
      <c r="K23" s="26">
        <v>0.59870000000000001</v>
      </c>
      <c r="L23" s="26">
        <v>0.57669999999999999</v>
      </c>
      <c r="M23" s="27"/>
      <c r="N23" s="28"/>
      <c r="O23" s="29"/>
      <c r="P23" s="29"/>
      <c r="Q23" s="29"/>
      <c r="R23" s="29"/>
      <c r="S23" s="29"/>
      <c r="T23" s="29"/>
      <c r="U23" s="29"/>
      <c r="V23" s="29"/>
      <c r="W23" s="29"/>
      <c r="X23" s="29"/>
    </row>
    <row r="24" spans="1:24" x14ac:dyDescent="0.2">
      <c r="A24" s="14"/>
      <c r="B24" s="25" t="s">
        <v>29</v>
      </c>
      <c r="C24" s="26">
        <v>0.45669999999999999</v>
      </c>
      <c r="D24" s="26">
        <v>0.45469999999999999</v>
      </c>
      <c r="E24" s="26">
        <v>0.47970000000000002</v>
      </c>
      <c r="F24" s="26">
        <v>0.42399999999999999</v>
      </c>
      <c r="G24" s="26">
        <v>0.42399999999999999</v>
      </c>
      <c r="H24" s="26">
        <v>0.47070000000000001</v>
      </c>
      <c r="I24" s="26">
        <v>0.29799999999999999</v>
      </c>
      <c r="J24" s="26">
        <v>0.29799999999999999</v>
      </c>
      <c r="K24" s="26">
        <v>0.55469999999999997</v>
      </c>
      <c r="L24" s="26">
        <v>0.5333</v>
      </c>
      <c r="M24" s="27"/>
      <c r="N24" s="28"/>
      <c r="O24" s="29"/>
      <c r="P24" s="29"/>
      <c r="Q24" s="29"/>
      <c r="R24" s="29"/>
      <c r="S24" s="29"/>
      <c r="T24" s="29"/>
      <c r="U24" s="29"/>
      <c r="V24" s="29"/>
      <c r="W24" s="29"/>
      <c r="X24" s="29"/>
    </row>
    <row r="25" spans="1:24" x14ac:dyDescent="0.2">
      <c r="A25" s="14"/>
      <c r="B25" s="25" t="s">
        <v>30</v>
      </c>
      <c r="C25" s="26">
        <v>0.49230000000000002</v>
      </c>
      <c r="D25" s="26">
        <v>0.49170000000000003</v>
      </c>
      <c r="E25" s="26">
        <v>0.51270000000000004</v>
      </c>
      <c r="F25" s="26">
        <v>0.45500000000000002</v>
      </c>
      <c r="G25" s="26">
        <v>0.45500000000000002</v>
      </c>
      <c r="H25" s="26">
        <v>0.49730000000000002</v>
      </c>
      <c r="I25" s="26">
        <v>0.318</v>
      </c>
      <c r="J25" s="26">
        <v>0.318</v>
      </c>
      <c r="K25" s="26">
        <v>0.57399999999999995</v>
      </c>
      <c r="L25" s="26">
        <v>0.54830000000000001</v>
      </c>
      <c r="M25" s="27"/>
      <c r="N25" s="28"/>
      <c r="O25" s="29"/>
      <c r="P25" s="29"/>
      <c r="Q25" s="29"/>
      <c r="R25" s="29"/>
      <c r="S25" s="29"/>
      <c r="T25" s="29"/>
      <c r="U25" s="29"/>
      <c r="V25" s="29"/>
      <c r="W25" s="29"/>
      <c r="X25" s="29"/>
    </row>
    <row r="26" spans="1:24" x14ac:dyDescent="0.2">
      <c r="A26" s="14"/>
      <c r="B26" s="30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9"/>
      <c r="P26" s="29"/>
      <c r="Q26" s="29"/>
      <c r="R26" s="29"/>
      <c r="S26" s="29"/>
      <c r="T26" s="29"/>
      <c r="U26" s="29"/>
      <c r="V26" s="29"/>
      <c r="W26" s="29"/>
      <c r="X26" s="29"/>
    </row>
    <row r="27" spans="1:24" x14ac:dyDescent="0.2">
      <c r="A27" s="14"/>
      <c r="B27" s="30"/>
      <c r="C27" s="28"/>
      <c r="D27" s="28"/>
      <c r="E27" s="11" t="str">
        <f>E9</f>
        <v>Based on average of year 2014,2015 &amp; 2016 Load Profile Information</v>
      </c>
      <c r="K27" s="28"/>
      <c r="L27" s="28"/>
      <c r="M27" s="28"/>
      <c r="N27" s="28"/>
      <c r="O27" s="29"/>
      <c r="P27" s="29"/>
      <c r="Q27" s="29"/>
      <c r="R27" s="29"/>
      <c r="S27" s="29"/>
      <c r="T27" s="29"/>
      <c r="U27" s="29"/>
      <c r="V27" s="29"/>
      <c r="W27" s="29"/>
      <c r="X27" s="29"/>
    </row>
    <row r="28" spans="1:24" x14ac:dyDescent="0.2">
      <c r="A28" s="2" t="s">
        <v>31</v>
      </c>
      <c r="B28" s="12" t="s">
        <v>32</v>
      </c>
      <c r="C28" s="28"/>
      <c r="D28" s="28"/>
      <c r="E28" s="31" t="s">
        <v>383</v>
      </c>
      <c r="G28" s="28"/>
      <c r="H28" s="28"/>
      <c r="I28" s="32"/>
      <c r="J28" s="32"/>
      <c r="K28" s="28"/>
      <c r="L28" s="28"/>
      <c r="M28" s="28"/>
      <c r="N28" s="28"/>
      <c r="O28" s="29"/>
      <c r="P28" s="29"/>
      <c r="Q28" s="29"/>
      <c r="R28" s="29"/>
      <c r="S28" s="29"/>
      <c r="T28" s="29"/>
      <c r="U28" s="29"/>
      <c r="V28" s="29"/>
      <c r="W28" s="29"/>
      <c r="X28" s="29"/>
    </row>
    <row r="29" spans="1:24" ht="25.5" x14ac:dyDescent="0.2">
      <c r="A29" s="14"/>
      <c r="B29" s="3"/>
      <c r="C29" s="16" t="s">
        <v>6</v>
      </c>
      <c r="D29" s="16" t="s">
        <v>6</v>
      </c>
      <c r="E29" s="19"/>
      <c r="F29" s="11"/>
      <c r="G29" s="19"/>
      <c r="H29" s="19"/>
      <c r="I29" s="19"/>
      <c r="J29" s="19"/>
      <c r="K29" s="19"/>
      <c r="L29" s="19"/>
      <c r="M29" s="19"/>
      <c r="N29" s="19"/>
      <c r="O29" s="19"/>
      <c r="P29" s="19"/>
    </row>
    <row r="30" spans="1:24" x14ac:dyDescent="0.2">
      <c r="A30" s="14"/>
      <c r="B30" s="21" t="s">
        <v>8</v>
      </c>
      <c r="C30" s="22" t="s">
        <v>11</v>
      </c>
      <c r="D30" s="22" t="s">
        <v>18</v>
      </c>
      <c r="E30" s="5"/>
      <c r="F30" s="24"/>
      <c r="G30" s="5"/>
      <c r="H30" s="5"/>
      <c r="I30" s="5"/>
      <c r="J30" s="5"/>
      <c r="K30" s="5"/>
      <c r="L30" s="5"/>
      <c r="M30" s="5"/>
      <c r="N30" s="5"/>
      <c r="O30" s="5"/>
      <c r="P30" s="5"/>
    </row>
    <row r="31" spans="1:24" x14ac:dyDescent="0.2">
      <c r="A31" s="14"/>
      <c r="B31" s="3"/>
      <c r="C31" s="3"/>
      <c r="D31" s="3"/>
      <c r="G31" s="8"/>
      <c r="H31" s="8"/>
      <c r="I31" s="8"/>
      <c r="J31" s="8"/>
      <c r="K31" s="8"/>
      <c r="L31" s="8"/>
      <c r="M31" s="8"/>
      <c r="N31" s="8"/>
      <c r="O31" s="8"/>
      <c r="P31" s="8"/>
    </row>
    <row r="32" spans="1:24" x14ac:dyDescent="0.2">
      <c r="A32" s="14"/>
      <c r="B32" s="25" t="s">
        <v>19</v>
      </c>
      <c r="C32" s="320">
        <v>0.43409999999999999</v>
      </c>
      <c r="D32" s="321">
        <v>0.48459999999999998</v>
      </c>
      <c r="E32" s="27"/>
      <c r="F32" s="28"/>
      <c r="G32" s="29"/>
      <c r="H32" s="29"/>
      <c r="I32" s="29"/>
      <c r="J32" s="29"/>
      <c r="K32" s="29"/>
      <c r="L32" s="29"/>
      <c r="M32" s="29"/>
      <c r="N32" s="29"/>
      <c r="O32" s="29"/>
      <c r="P32" s="29"/>
    </row>
    <row r="33" spans="1:32" x14ac:dyDescent="0.2">
      <c r="A33" s="14"/>
      <c r="B33" s="25" t="s">
        <v>20</v>
      </c>
      <c r="C33" s="320">
        <v>0.42659999999999998</v>
      </c>
      <c r="D33" s="321">
        <v>0.48249999999999998</v>
      </c>
      <c r="E33" s="27"/>
      <c r="F33" s="28"/>
      <c r="G33" s="29"/>
      <c r="H33" s="29"/>
      <c r="I33" s="29"/>
      <c r="J33" s="29"/>
      <c r="K33" s="29"/>
      <c r="L33" s="29"/>
      <c r="M33" s="29"/>
      <c r="N33" s="29"/>
      <c r="O33" s="29"/>
      <c r="P33" s="29"/>
    </row>
    <row r="34" spans="1:32" x14ac:dyDescent="0.2">
      <c r="A34" s="14"/>
      <c r="B34" s="25" t="s">
        <v>21</v>
      </c>
      <c r="C34" s="320">
        <v>0.41970000000000002</v>
      </c>
      <c r="D34" s="321">
        <v>0.48480000000000001</v>
      </c>
      <c r="E34" s="27"/>
      <c r="F34" s="28"/>
      <c r="G34" s="29"/>
      <c r="H34" s="29"/>
      <c r="I34" s="29"/>
      <c r="J34" s="29"/>
      <c r="K34" s="29"/>
      <c r="L34" s="29"/>
      <c r="M34" s="29"/>
      <c r="N34" s="29"/>
      <c r="O34" s="29"/>
      <c r="P34" s="29"/>
    </row>
    <row r="35" spans="1:32" x14ac:dyDescent="0.2">
      <c r="A35" s="14"/>
      <c r="B35" s="25" t="s">
        <v>22</v>
      </c>
      <c r="C35" s="320">
        <v>0.42299999999999999</v>
      </c>
      <c r="D35" s="321">
        <v>0.49020000000000002</v>
      </c>
      <c r="E35" s="27"/>
      <c r="F35" s="28"/>
      <c r="G35" s="29"/>
      <c r="H35" s="29"/>
      <c r="I35" s="29"/>
      <c r="J35" s="29"/>
      <c r="K35" s="29"/>
      <c r="L35" s="29"/>
      <c r="M35" s="29"/>
      <c r="N35" s="29"/>
      <c r="O35" s="29"/>
      <c r="P35" s="29"/>
    </row>
    <row r="36" spans="1:32" x14ac:dyDescent="0.2">
      <c r="A36" s="14"/>
      <c r="B36" s="25" t="s">
        <v>23</v>
      </c>
      <c r="C36" s="320">
        <v>0.44019999999999998</v>
      </c>
      <c r="D36" s="321">
        <v>0.50590000000000002</v>
      </c>
      <c r="E36" s="27"/>
      <c r="F36" s="33"/>
      <c r="G36" s="29"/>
      <c r="H36" s="29"/>
      <c r="I36" s="29"/>
      <c r="J36" s="29"/>
      <c r="K36" s="29"/>
      <c r="L36" s="29"/>
      <c r="M36" s="29"/>
      <c r="N36" s="29"/>
      <c r="O36" s="29"/>
      <c r="P36" s="29"/>
    </row>
    <row r="37" spans="1:32" x14ac:dyDescent="0.2">
      <c r="A37" s="14"/>
      <c r="B37" s="25" t="s">
        <v>24</v>
      </c>
      <c r="C37" s="320">
        <v>0.46579999999999999</v>
      </c>
      <c r="D37" s="320">
        <v>0.51170000000000004</v>
      </c>
      <c r="E37" s="27"/>
      <c r="F37" s="33"/>
      <c r="G37" s="29"/>
      <c r="H37" s="29"/>
      <c r="I37" s="29"/>
      <c r="J37" s="29"/>
      <c r="K37" s="29"/>
      <c r="L37" s="29"/>
      <c r="M37" s="29"/>
      <c r="N37" s="29"/>
      <c r="O37" s="29"/>
      <c r="P37" s="29"/>
    </row>
    <row r="38" spans="1:32" x14ac:dyDescent="0.2">
      <c r="A38" s="14"/>
      <c r="B38" s="25" t="s">
        <v>25</v>
      </c>
      <c r="C38" s="320">
        <v>0.4894</v>
      </c>
      <c r="D38" s="320">
        <v>0.51300000000000001</v>
      </c>
      <c r="E38" s="27"/>
      <c r="F38" s="33"/>
      <c r="G38" s="29"/>
      <c r="H38" s="29"/>
      <c r="I38" s="29"/>
      <c r="J38" s="29"/>
      <c r="K38" s="29"/>
      <c r="L38" s="29"/>
      <c r="M38" s="29"/>
      <c r="N38" s="29"/>
      <c r="O38" s="29"/>
      <c r="P38" s="29"/>
    </row>
    <row r="39" spans="1:32" x14ac:dyDescent="0.2">
      <c r="A39" s="14"/>
      <c r="B39" s="25" t="s">
        <v>26</v>
      </c>
      <c r="C39" s="320">
        <v>0.48180000000000001</v>
      </c>
      <c r="D39" s="321">
        <v>0.50580000000000003</v>
      </c>
      <c r="E39" s="27"/>
      <c r="F39" s="33"/>
      <c r="G39" s="29"/>
      <c r="H39" s="29"/>
      <c r="I39" s="29"/>
      <c r="J39" s="29"/>
      <c r="K39" s="29"/>
      <c r="L39" s="29"/>
      <c r="M39" s="29"/>
      <c r="N39" s="29"/>
      <c r="O39" s="29"/>
      <c r="P39" s="29"/>
    </row>
    <row r="40" spans="1:32" x14ac:dyDescent="0.2">
      <c r="A40" s="14"/>
      <c r="B40" s="25" t="s">
        <v>27</v>
      </c>
      <c r="C40" s="320">
        <v>0.48480000000000001</v>
      </c>
      <c r="D40" s="321">
        <v>0.50839999999999996</v>
      </c>
      <c r="E40" s="27"/>
      <c r="F40" s="33"/>
      <c r="G40" s="29"/>
      <c r="H40" s="29"/>
      <c r="I40" s="29"/>
      <c r="J40" s="29"/>
      <c r="K40" s="29"/>
      <c r="L40" s="29"/>
      <c r="M40" s="29"/>
      <c r="N40" s="29"/>
      <c r="O40" s="29"/>
      <c r="P40" s="29"/>
    </row>
    <row r="41" spans="1:32" x14ac:dyDescent="0.2">
      <c r="A41" s="14"/>
      <c r="B41" s="25" t="s">
        <v>28</v>
      </c>
      <c r="C41" s="320">
        <v>0.45929999999999999</v>
      </c>
      <c r="D41" s="321">
        <v>0.51300000000000001</v>
      </c>
      <c r="E41" s="27"/>
      <c r="F41" s="33"/>
      <c r="G41" s="29"/>
      <c r="H41" s="29"/>
      <c r="I41" s="29"/>
      <c r="J41" s="29"/>
      <c r="K41" s="29"/>
      <c r="L41" s="29"/>
      <c r="M41" s="29"/>
      <c r="N41" s="29"/>
      <c r="O41" s="29"/>
      <c r="P41" s="29"/>
    </row>
    <row r="42" spans="1:32" x14ac:dyDescent="0.2">
      <c r="A42" s="14"/>
      <c r="B42" s="25" t="s">
        <v>29</v>
      </c>
      <c r="C42" s="320">
        <v>0.43580000000000002</v>
      </c>
      <c r="D42" s="321">
        <v>0.50390000000000001</v>
      </c>
      <c r="E42" s="27"/>
      <c r="F42" s="33"/>
      <c r="G42" s="29"/>
      <c r="H42" s="29"/>
      <c r="I42" s="29"/>
      <c r="J42" s="29"/>
      <c r="K42" s="29"/>
      <c r="L42" s="29"/>
      <c r="M42" s="29"/>
      <c r="N42" s="29"/>
      <c r="O42" s="29"/>
      <c r="P42" s="29"/>
    </row>
    <row r="43" spans="1:32" x14ac:dyDescent="0.2">
      <c r="A43" s="14"/>
      <c r="B43" s="25" t="s">
        <v>30</v>
      </c>
      <c r="C43" s="320">
        <v>0.43120000000000003</v>
      </c>
      <c r="D43" s="321">
        <v>0.49109999999999998</v>
      </c>
      <c r="E43" s="27"/>
      <c r="F43" s="33"/>
      <c r="G43" s="29"/>
      <c r="H43" s="29"/>
      <c r="I43" s="29"/>
      <c r="J43" s="29"/>
      <c r="K43" s="29"/>
      <c r="L43" s="29"/>
      <c r="M43" s="29"/>
      <c r="N43" s="29"/>
      <c r="O43" s="29"/>
      <c r="P43" s="29"/>
    </row>
    <row r="44" spans="1:32" x14ac:dyDescent="0.2">
      <c r="A44" s="14"/>
      <c r="B44" s="30"/>
      <c r="C44" s="28"/>
      <c r="D44" s="28"/>
      <c r="E44" s="28"/>
      <c r="F44" s="28"/>
      <c r="G44" s="28"/>
      <c r="H44" s="28"/>
      <c r="I44" s="32"/>
      <c r="J44" s="32"/>
      <c r="K44" s="28"/>
      <c r="L44" s="28"/>
      <c r="M44" s="28"/>
      <c r="N44" s="33"/>
      <c r="O44" s="29"/>
      <c r="P44" s="29"/>
      <c r="Q44" s="29"/>
      <c r="R44" s="29"/>
      <c r="S44" s="29"/>
      <c r="T44" s="29"/>
      <c r="U44" s="29"/>
      <c r="V44" s="29"/>
      <c r="W44" s="29"/>
      <c r="X44" s="29"/>
    </row>
    <row r="45" spans="1:32" x14ac:dyDescent="0.2">
      <c r="A45" s="14"/>
      <c r="B45" s="30"/>
      <c r="C45" s="28"/>
      <c r="D45" s="28"/>
      <c r="E45" s="28"/>
      <c r="F45" s="28"/>
      <c r="G45" s="28"/>
      <c r="H45" s="28"/>
      <c r="I45" s="32"/>
      <c r="J45" s="32"/>
      <c r="K45" s="28"/>
      <c r="L45" s="28"/>
      <c r="M45" s="28"/>
      <c r="N45" s="33"/>
      <c r="O45" s="29"/>
      <c r="P45" s="29"/>
      <c r="Q45" s="29"/>
      <c r="R45" s="29"/>
      <c r="S45" s="29"/>
      <c r="T45" s="29"/>
      <c r="U45" s="29"/>
      <c r="V45" s="29"/>
      <c r="W45" s="29"/>
      <c r="X45" s="29"/>
    </row>
    <row r="46" spans="1:32" x14ac:dyDescent="0.2">
      <c r="A46" s="2" t="s">
        <v>33</v>
      </c>
      <c r="B46" s="34" t="s">
        <v>34</v>
      </c>
      <c r="C46" s="5"/>
      <c r="D46" s="5"/>
      <c r="E46" s="5"/>
      <c r="F46" s="5"/>
      <c r="G46" s="5"/>
      <c r="H46" s="5"/>
      <c r="I46" s="5"/>
      <c r="J46" s="5"/>
      <c r="K46" s="5"/>
      <c r="L46" s="5"/>
      <c r="O46" s="10"/>
    </row>
    <row r="47" spans="1:32" x14ac:dyDescent="0.2">
      <c r="A47" s="14"/>
      <c r="B47" s="367" t="s">
        <v>388</v>
      </c>
      <c r="G47" s="35"/>
      <c r="L47" s="5"/>
      <c r="AB47" s="36"/>
    </row>
    <row r="48" spans="1:32" x14ac:dyDescent="0.2">
      <c r="A48" s="14"/>
      <c r="B48" s="17" t="s">
        <v>35</v>
      </c>
      <c r="C48" s="22" t="s">
        <v>9</v>
      </c>
      <c r="D48" s="22" t="s">
        <v>10</v>
      </c>
      <c r="E48" s="22" t="s">
        <v>11</v>
      </c>
      <c r="F48" s="22" t="s">
        <v>12</v>
      </c>
      <c r="G48" s="22" t="s">
        <v>13</v>
      </c>
      <c r="H48" s="22" t="s">
        <v>14</v>
      </c>
      <c r="I48" s="22" t="s">
        <v>15</v>
      </c>
      <c r="J48" s="22" t="s">
        <v>16</v>
      </c>
      <c r="K48" s="22" t="s">
        <v>17</v>
      </c>
      <c r="L48" s="22" t="s">
        <v>18</v>
      </c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B48" s="36"/>
      <c r="AF48" s="36"/>
    </row>
    <row r="49" spans="1:32" x14ac:dyDescent="0.2">
      <c r="A49" s="14"/>
      <c r="B49" s="3"/>
      <c r="C49" s="22"/>
      <c r="D49" s="22"/>
      <c r="E49" s="22"/>
      <c r="F49" s="22"/>
      <c r="G49" s="22"/>
      <c r="H49" s="22"/>
      <c r="I49" s="22"/>
      <c r="J49" s="22"/>
      <c r="K49" s="22"/>
      <c r="L49" s="22"/>
      <c r="Y49" s="37"/>
      <c r="AB49" s="36"/>
      <c r="AF49" s="36"/>
    </row>
    <row r="50" spans="1:32" x14ac:dyDescent="0.2">
      <c r="A50" s="14"/>
      <c r="B50" s="25" t="s">
        <v>19</v>
      </c>
      <c r="C50" s="322">
        <v>1046226.9803722645</v>
      </c>
      <c r="D50" s="322">
        <v>20269.48548847908</v>
      </c>
      <c r="E50" s="322">
        <v>17920.82019425742</v>
      </c>
      <c r="F50" s="322">
        <v>131</v>
      </c>
      <c r="G50" s="322">
        <v>3</v>
      </c>
      <c r="H50" s="322">
        <v>2531.5984050932002</v>
      </c>
      <c r="I50" s="38">
        <v>16433</v>
      </c>
      <c r="J50" s="38">
        <v>31380</v>
      </c>
      <c r="K50" s="38">
        <v>540032.49328409287</v>
      </c>
      <c r="L50" s="38">
        <v>618043.99327527231</v>
      </c>
      <c r="O50" s="39"/>
      <c r="P50" s="40"/>
      <c r="Q50" s="40"/>
      <c r="R50" s="40"/>
      <c r="S50" s="40"/>
      <c r="T50" s="40"/>
      <c r="U50" s="40"/>
      <c r="V50" s="40"/>
      <c r="W50" s="40"/>
      <c r="X50" s="40"/>
      <c r="Y50" s="37"/>
      <c r="Z50" s="41"/>
      <c r="AB50" s="42"/>
      <c r="AF50" s="43"/>
    </row>
    <row r="51" spans="1:32" x14ac:dyDescent="0.2">
      <c r="A51" s="14"/>
      <c r="B51" s="25" t="s">
        <v>20</v>
      </c>
      <c r="C51" s="322">
        <v>890995.66366619279</v>
      </c>
      <c r="D51" s="322">
        <v>17115.969077571226</v>
      </c>
      <c r="E51" s="322">
        <v>14519.571085566635</v>
      </c>
      <c r="F51" s="322">
        <v>139</v>
      </c>
      <c r="G51" s="322">
        <v>3</v>
      </c>
      <c r="H51" s="322">
        <v>2132.0965033473353</v>
      </c>
      <c r="I51" s="38">
        <v>14486</v>
      </c>
      <c r="J51" s="38">
        <v>29833</v>
      </c>
      <c r="K51" s="38">
        <v>501922.35325672565</v>
      </c>
      <c r="L51" s="38">
        <v>602193.31770700612</v>
      </c>
      <c r="O51" s="40"/>
      <c r="P51" s="40"/>
      <c r="Q51" s="40"/>
      <c r="R51" s="40"/>
      <c r="X51" s="40"/>
      <c r="Y51" s="37"/>
      <c r="Z51" s="41"/>
      <c r="AB51" s="42"/>
      <c r="AD51" s="44"/>
    </row>
    <row r="52" spans="1:32" x14ac:dyDescent="0.2">
      <c r="A52" s="14"/>
      <c r="B52" s="25" t="s">
        <v>21</v>
      </c>
      <c r="C52" s="322">
        <v>869461.35242252576</v>
      </c>
      <c r="D52" s="322">
        <v>15107.632067914465</v>
      </c>
      <c r="E52" s="322">
        <v>15191.066323071032</v>
      </c>
      <c r="F52" s="322">
        <v>118</v>
      </c>
      <c r="G52" s="322">
        <v>3</v>
      </c>
      <c r="H52" s="322">
        <v>2019.6567356917826</v>
      </c>
      <c r="I52" s="38">
        <v>13475</v>
      </c>
      <c r="J52" s="38">
        <v>26173</v>
      </c>
      <c r="K52" s="38">
        <v>520694.99650067708</v>
      </c>
      <c r="L52" s="38">
        <v>617360.81365211378</v>
      </c>
      <c r="M52" s="45"/>
      <c r="N52" s="46"/>
      <c r="O52" s="40"/>
      <c r="P52" s="40"/>
      <c r="Q52" s="40"/>
      <c r="R52" s="40"/>
      <c r="X52" s="40"/>
      <c r="Y52" s="37"/>
      <c r="Z52" s="47"/>
      <c r="AB52" s="42"/>
    </row>
    <row r="53" spans="1:32" x14ac:dyDescent="0.2">
      <c r="A53" s="14"/>
      <c r="B53" s="25" t="s">
        <v>22</v>
      </c>
      <c r="C53" s="322">
        <v>776635.47644123051</v>
      </c>
      <c r="D53" s="322">
        <v>9125.3516136177259</v>
      </c>
      <c r="E53" s="322">
        <v>14323.05860968116</v>
      </c>
      <c r="F53" s="322">
        <v>129</v>
      </c>
      <c r="G53" s="322">
        <v>3</v>
      </c>
      <c r="H53" s="322">
        <v>1195.0984395510634</v>
      </c>
      <c r="I53" s="38">
        <v>12345</v>
      </c>
      <c r="J53" s="38">
        <v>23503</v>
      </c>
      <c r="K53" s="38">
        <v>503500.69221160281</v>
      </c>
      <c r="L53" s="38">
        <v>552517.14087284321</v>
      </c>
      <c r="M53" s="45"/>
      <c r="Y53" s="37"/>
      <c r="AB53" s="42"/>
    </row>
    <row r="54" spans="1:32" x14ac:dyDescent="0.2">
      <c r="A54" s="14"/>
      <c r="B54" s="25" t="s">
        <v>23</v>
      </c>
      <c r="C54" s="322">
        <v>804206.82560811564</v>
      </c>
      <c r="D54" s="322">
        <v>6595.7015929436748</v>
      </c>
      <c r="E54" s="322">
        <v>14690.937415248756</v>
      </c>
      <c r="F54" s="322">
        <v>119</v>
      </c>
      <c r="G54" s="322">
        <v>2</v>
      </c>
      <c r="H54" s="322">
        <v>651.6395625492255</v>
      </c>
      <c r="I54" s="38">
        <v>10458</v>
      </c>
      <c r="J54" s="38">
        <v>21900</v>
      </c>
      <c r="K54" s="38">
        <v>509234.56519134471</v>
      </c>
      <c r="L54" s="38">
        <v>627125.15679412219</v>
      </c>
      <c r="N54" s="46"/>
      <c r="O54" s="39"/>
      <c r="P54" s="40"/>
      <c r="Q54" s="40"/>
      <c r="R54" s="40"/>
      <c r="S54" s="40"/>
      <c r="T54" s="40"/>
      <c r="U54" s="40"/>
      <c r="V54" s="40"/>
      <c r="W54" s="40"/>
      <c r="X54" s="40"/>
      <c r="Y54" s="37"/>
      <c r="Z54" s="47"/>
      <c r="AB54" s="42"/>
    </row>
    <row r="55" spans="1:32" x14ac:dyDescent="0.2">
      <c r="A55" s="14"/>
      <c r="B55" s="25" t="s">
        <v>24</v>
      </c>
      <c r="C55" s="322">
        <v>1185203.9435420637</v>
      </c>
      <c r="D55" s="322">
        <v>7215.7697098731624</v>
      </c>
      <c r="E55" s="322">
        <v>22053.170220342035</v>
      </c>
      <c r="F55" s="322">
        <v>93</v>
      </c>
      <c r="G55" s="322">
        <v>3</v>
      </c>
      <c r="H55" s="322">
        <v>900.36995766605412</v>
      </c>
      <c r="I55" s="38">
        <v>10264</v>
      </c>
      <c r="J55" s="38">
        <v>18101</v>
      </c>
      <c r="K55" s="38">
        <v>551415.71439738327</v>
      </c>
      <c r="L55" s="38">
        <v>606560.99598155764</v>
      </c>
      <c r="M55" s="45"/>
      <c r="N55" s="46"/>
      <c r="O55" s="39"/>
      <c r="Q55" s="40"/>
      <c r="X55" s="40"/>
      <c r="Y55" s="37"/>
      <c r="Z55" s="41"/>
      <c r="AB55" s="42"/>
    </row>
    <row r="56" spans="1:32" x14ac:dyDescent="0.2">
      <c r="A56" s="14"/>
      <c r="B56" s="25" t="s">
        <v>25</v>
      </c>
      <c r="C56" s="322">
        <v>1578158.4480166801</v>
      </c>
      <c r="D56" s="322">
        <v>8472.0486052754786</v>
      </c>
      <c r="E56" s="322">
        <v>29501.086190276379</v>
      </c>
      <c r="F56" s="322">
        <v>79</v>
      </c>
      <c r="G56" s="322">
        <v>1</v>
      </c>
      <c r="H56" s="322">
        <v>895.25905913625627</v>
      </c>
      <c r="I56" s="38">
        <v>10333</v>
      </c>
      <c r="J56" s="38">
        <v>18677</v>
      </c>
      <c r="K56" s="38">
        <v>652821.9604009795</v>
      </c>
      <c r="L56" s="38">
        <v>703284.43812753016</v>
      </c>
      <c r="M56" s="45"/>
      <c r="N56" s="46"/>
      <c r="O56" s="39"/>
      <c r="Q56" s="40"/>
      <c r="X56" s="40"/>
      <c r="Y56" s="37"/>
      <c r="Z56" s="47"/>
      <c r="AB56" s="42"/>
    </row>
    <row r="57" spans="1:32" x14ac:dyDescent="0.2">
      <c r="A57" s="14"/>
      <c r="B57" s="25" t="s">
        <v>26</v>
      </c>
      <c r="C57" s="322">
        <v>1468970.8643378057</v>
      </c>
      <c r="D57" s="322">
        <v>8098.8682531264913</v>
      </c>
      <c r="E57" s="322">
        <v>25876.315782000216</v>
      </c>
      <c r="F57" s="322">
        <v>78</v>
      </c>
      <c r="G57" s="322">
        <v>2</v>
      </c>
      <c r="H57" s="322">
        <v>823.70647971908636</v>
      </c>
      <c r="I57" s="38">
        <v>11212</v>
      </c>
      <c r="J57" s="38">
        <v>20782</v>
      </c>
      <c r="K57" s="38">
        <v>635276.55290464114</v>
      </c>
      <c r="L57" s="38">
        <v>698740.93679706601</v>
      </c>
      <c r="M57" s="45"/>
      <c r="AB57" s="42"/>
    </row>
    <row r="58" spans="1:32" x14ac:dyDescent="0.2">
      <c r="A58" s="14"/>
      <c r="B58" s="25" t="s">
        <v>27</v>
      </c>
      <c r="C58" s="322">
        <v>1016761.5303941517</v>
      </c>
      <c r="D58" s="322">
        <v>6008.8683674269478</v>
      </c>
      <c r="E58" s="322">
        <v>19559.976391216835</v>
      </c>
      <c r="F58" s="322">
        <v>78</v>
      </c>
      <c r="G58" s="322">
        <v>1</v>
      </c>
      <c r="H58" s="322">
        <v>804.96651844316091</v>
      </c>
      <c r="I58" s="38">
        <v>12484</v>
      </c>
      <c r="J58" s="38">
        <v>21773</v>
      </c>
      <c r="K58" s="38">
        <v>539118.1620151758</v>
      </c>
      <c r="L58" s="38">
        <v>605139.48928227916</v>
      </c>
      <c r="M58" s="45"/>
      <c r="N58" s="46"/>
      <c r="O58" s="39"/>
      <c r="P58" s="39"/>
      <c r="AB58" s="42"/>
    </row>
    <row r="59" spans="1:32" x14ac:dyDescent="0.2">
      <c r="A59" s="14"/>
      <c r="B59" s="25" t="s">
        <v>28</v>
      </c>
      <c r="C59" s="322">
        <v>781499.08670564461</v>
      </c>
      <c r="D59" s="322">
        <v>7601.2944502611745</v>
      </c>
      <c r="E59" s="322">
        <v>14770.101208851909</v>
      </c>
      <c r="F59" s="322">
        <v>98</v>
      </c>
      <c r="G59" s="322">
        <v>2</v>
      </c>
      <c r="H59" s="322">
        <v>929.33171600157527</v>
      </c>
      <c r="I59" s="38">
        <v>14901</v>
      </c>
      <c r="J59" s="38">
        <v>24425</v>
      </c>
      <c r="K59" s="38">
        <v>491883.40229346958</v>
      </c>
      <c r="L59" s="38">
        <v>590915.98797315964</v>
      </c>
      <c r="M59" s="45"/>
      <c r="N59" s="46"/>
      <c r="O59" s="40"/>
      <c r="P59" s="40"/>
      <c r="AB59" s="42"/>
    </row>
    <row r="60" spans="1:32" x14ac:dyDescent="0.2">
      <c r="A60" s="14"/>
      <c r="B60" s="25" t="s">
        <v>29</v>
      </c>
      <c r="C60" s="322">
        <v>785899.67380477104</v>
      </c>
      <c r="D60" s="322">
        <v>10255.337921651553</v>
      </c>
      <c r="E60" s="322">
        <v>12934.43253600702</v>
      </c>
      <c r="F60" s="322">
        <v>106</v>
      </c>
      <c r="G60" s="322">
        <v>2</v>
      </c>
      <c r="H60" s="322">
        <v>1090.3250196902075</v>
      </c>
      <c r="I60" s="38">
        <v>15525</v>
      </c>
      <c r="J60" s="38">
        <v>28254</v>
      </c>
      <c r="K60" s="38">
        <v>459720.8855780444</v>
      </c>
      <c r="L60" s="38">
        <v>552723.4572262757</v>
      </c>
      <c r="M60" s="45"/>
      <c r="AB60" s="42"/>
    </row>
    <row r="61" spans="1:32" x14ac:dyDescent="0.2">
      <c r="A61" s="14"/>
      <c r="B61" s="25" t="s">
        <v>30</v>
      </c>
      <c r="C61" s="322">
        <v>979239.85074580973</v>
      </c>
      <c r="D61" s="322">
        <v>14916.768834372617</v>
      </c>
      <c r="E61" s="322">
        <v>16795.762986344369</v>
      </c>
      <c r="F61" s="322">
        <v>115</v>
      </c>
      <c r="G61" s="322">
        <v>2</v>
      </c>
      <c r="H61" s="322">
        <v>1766.6672584667892</v>
      </c>
      <c r="I61" s="38">
        <v>17052</v>
      </c>
      <c r="J61" s="38">
        <v>31467</v>
      </c>
      <c r="K61" s="38">
        <v>514762.81522794341</v>
      </c>
      <c r="L61" s="38">
        <v>574214.09524859348</v>
      </c>
      <c r="M61" s="45"/>
      <c r="AB61" s="42"/>
    </row>
    <row r="62" spans="1:32" x14ac:dyDescent="0.2">
      <c r="A62" s="14"/>
      <c r="B62" s="48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O62" s="10"/>
      <c r="AB62" s="40"/>
    </row>
    <row r="63" spans="1:32" x14ac:dyDescent="0.2">
      <c r="A63" s="14"/>
      <c r="B63" s="30"/>
      <c r="I63" s="49"/>
      <c r="J63" s="49"/>
      <c r="O63" s="11"/>
      <c r="AB63" s="50"/>
    </row>
    <row r="64" spans="1:32" x14ac:dyDescent="0.2">
      <c r="A64" s="14"/>
      <c r="B64" s="10" t="s">
        <v>36</v>
      </c>
      <c r="C64" s="51" t="s">
        <v>37</v>
      </c>
      <c r="D64" s="51" t="s">
        <v>37</v>
      </c>
      <c r="L64" s="40"/>
      <c r="Y64" s="5"/>
      <c r="Z64" s="5"/>
      <c r="AB64" s="50"/>
    </row>
    <row r="65" spans="1:26" x14ac:dyDescent="0.2">
      <c r="A65" s="14"/>
      <c r="B65" s="52"/>
      <c r="C65" s="53" t="s">
        <v>38</v>
      </c>
      <c r="D65" s="53" t="s">
        <v>39</v>
      </c>
      <c r="E65" s="54"/>
      <c r="F65" s="54"/>
      <c r="G65" s="54"/>
      <c r="H65" s="54"/>
      <c r="I65" s="54"/>
      <c r="J65" s="54"/>
    </row>
    <row r="66" spans="1:26" x14ac:dyDescent="0.2">
      <c r="A66" s="14"/>
      <c r="C66" s="323">
        <v>0.39235454228816002</v>
      </c>
      <c r="D66" s="323">
        <v>0.37054372342479364</v>
      </c>
      <c r="E66" s="54"/>
      <c r="F66" s="54"/>
      <c r="G66" s="54"/>
      <c r="H66" s="54"/>
      <c r="I66" s="54"/>
      <c r="J66" s="54"/>
    </row>
    <row r="67" spans="1:26" x14ac:dyDescent="0.2">
      <c r="A67" s="14"/>
      <c r="C67" s="54"/>
      <c r="D67" s="54"/>
      <c r="E67" s="54"/>
      <c r="F67" s="54"/>
      <c r="G67" s="54"/>
      <c r="H67" s="54"/>
      <c r="I67" s="54"/>
      <c r="J67" s="54"/>
      <c r="K67" s="54"/>
    </row>
    <row r="68" spans="1:26" x14ac:dyDescent="0.2">
      <c r="A68" s="14"/>
      <c r="C68" s="54"/>
      <c r="D68" s="54"/>
      <c r="E68" s="54"/>
      <c r="F68" s="54"/>
      <c r="G68" s="54"/>
      <c r="H68" s="54"/>
      <c r="I68" s="54"/>
      <c r="J68" s="54"/>
      <c r="K68" s="54"/>
    </row>
    <row r="69" spans="1:26" x14ac:dyDescent="0.2">
      <c r="A69" s="14"/>
      <c r="B69" s="10"/>
    </row>
    <row r="70" spans="1:26" x14ac:dyDescent="0.2">
      <c r="A70" s="2" t="s">
        <v>40</v>
      </c>
      <c r="B70" s="10" t="s">
        <v>41</v>
      </c>
      <c r="E70" s="324" t="s">
        <v>42</v>
      </c>
      <c r="F70" s="10" t="s">
        <v>43</v>
      </c>
      <c r="N70" s="36"/>
    </row>
    <row r="71" spans="1:26" s="55" customFormat="1" x14ac:dyDescent="0.2">
      <c r="A71" s="14"/>
      <c r="B71" s="11" t="s">
        <v>44</v>
      </c>
      <c r="F71" s="5" t="s">
        <v>45</v>
      </c>
      <c r="G71" s="8"/>
      <c r="N71" s="46"/>
      <c r="O71" s="39"/>
      <c r="P71" s="39"/>
      <c r="Q71" s="39"/>
      <c r="R71" s="39"/>
      <c r="S71" s="39"/>
      <c r="T71" s="39"/>
      <c r="U71" s="39"/>
      <c r="V71" s="39"/>
      <c r="W71" s="39"/>
      <c r="X71" s="39"/>
      <c r="Y71" s="37"/>
      <c r="Z71" s="41"/>
    </row>
    <row r="72" spans="1:26" x14ac:dyDescent="0.2">
      <c r="A72" s="14"/>
      <c r="C72" s="5" t="s">
        <v>46</v>
      </c>
      <c r="F72" s="5" t="s">
        <v>47</v>
      </c>
      <c r="N72" s="46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37"/>
      <c r="Z72" s="47"/>
    </row>
    <row r="73" spans="1:26" x14ac:dyDescent="0.2">
      <c r="A73" s="14"/>
      <c r="B73" s="25" t="s">
        <v>19</v>
      </c>
      <c r="C73" s="325">
        <v>47.85</v>
      </c>
      <c r="E73" s="326" t="s">
        <v>48</v>
      </c>
      <c r="F73" s="327">
        <v>0.64759218661486828</v>
      </c>
      <c r="K73" s="56"/>
      <c r="Y73" s="37"/>
    </row>
    <row r="74" spans="1:26" x14ac:dyDescent="0.2">
      <c r="A74" s="14"/>
      <c r="B74" s="25" t="s">
        <v>20</v>
      </c>
      <c r="C74" s="325">
        <v>45.55</v>
      </c>
      <c r="D74" s="328"/>
      <c r="E74" s="326" t="s">
        <v>49</v>
      </c>
      <c r="F74" s="327">
        <v>0.74945337279191615</v>
      </c>
      <c r="K74" s="56"/>
      <c r="N74" s="36"/>
      <c r="Y74" s="37"/>
    </row>
    <row r="75" spans="1:26" x14ac:dyDescent="0.2">
      <c r="A75" s="14"/>
      <c r="B75" s="25" t="s">
        <v>21</v>
      </c>
      <c r="C75" s="325">
        <v>36.31</v>
      </c>
      <c r="D75" s="328"/>
      <c r="E75" s="329"/>
      <c r="H75" s="57"/>
      <c r="I75" s="57"/>
      <c r="J75" s="56"/>
      <c r="N75" s="46"/>
      <c r="O75" s="39"/>
      <c r="P75" s="39"/>
      <c r="Q75" s="39"/>
      <c r="R75" s="39"/>
      <c r="S75" s="39"/>
      <c r="T75" s="39"/>
      <c r="U75" s="39"/>
      <c r="V75" s="39"/>
      <c r="W75" s="39"/>
      <c r="X75" s="39"/>
      <c r="Y75" s="37"/>
      <c r="Z75" s="41"/>
    </row>
    <row r="76" spans="1:26" x14ac:dyDescent="0.2">
      <c r="A76" s="14"/>
      <c r="B76" s="25" t="s">
        <v>22</v>
      </c>
      <c r="C76" s="325">
        <v>31.37</v>
      </c>
      <c r="D76" s="328"/>
      <c r="E76" s="329"/>
      <c r="H76" s="57"/>
      <c r="I76" s="57"/>
      <c r="J76" s="56"/>
      <c r="N76" s="46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37"/>
      <c r="Z76" s="47"/>
    </row>
    <row r="77" spans="1:26" x14ac:dyDescent="0.2">
      <c r="A77" s="14"/>
      <c r="B77" s="25" t="s">
        <v>23</v>
      </c>
      <c r="C77" s="325">
        <v>30.92</v>
      </c>
      <c r="D77" s="328"/>
      <c r="E77" s="329"/>
      <c r="H77" s="57"/>
      <c r="I77" s="57"/>
      <c r="Y77" s="37"/>
    </row>
    <row r="78" spans="1:26" x14ac:dyDescent="0.2">
      <c r="A78" s="14"/>
      <c r="B78" s="25" t="s">
        <v>24</v>
      </c>
      <c r="C78" s="325">
        <v>33.92</v>
      </c>
      <c r="F78" s="358" t="s">
        <v>50</v>
      </c>
      <c r="G78" s="359"/>
      <c r="N78" s="46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37"/>
      <c r="Z78" s="41"/>
    </row>
    <row r="79" spans="1:26" x14ac:dyDescent="0.2">
      <c r="A79" s="14"/>
      <c r="B79" s="25" t="s">
        <v>25</v>
      </c>
      <c r="C79" s="325">
        <v>39.03</v>
      </c>
      <c r="D79" s="58"/>
      <c r="E79" s="22"/>
      <c r="F79" s="22" t="s">
        <v>46</v>
      </c>
      <c r="G79" s="22" t="s">
        <v>51</v>
      </c>
      <c r="H79" s="59"/>
      <c r="I79" s="59"/>
      <c r="N79" s="46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37"/>
      <c r="Z79" s="47"/>
    </row>
    <row r="80" spans="1:26" x14ac:dyDescent="0.2">
      <c r="A80" s="14"/>
      <c r="B80" s="25" t="s">
        <v>26</v>
      </c>
      <c r="C80" s="325">
        <v>36.24</v>
      </c>
      <c r="D80" s="58"/>
      <c r="E80" s="326" t="s">
        <v>48</v>
      </c>
      <c r="F80" s="330">
        <v>0.93443637421483516</v>
      </c>
      <c r="G80" s="330">
        <v>0.86826091477797551</v>
      </c>
      <c r="H80" s="59"/>
      <c r="I80" s="59"/>
    </row>
    <row r="81" spans="1:21" x14ac:dyDescent="0.2">
      <c r="A81" s="14"/>
      <c r="B81" s="25" t="s">
        <v>27</v>
      </c>
      <c r="C81" s="325">
        <v>33.479999999999997</v>
      </c>
      <c r="D81" s="58"/>
      <c r="E81" s="326" t="s">
        <v>49</v>
      </c>
      <c r="F81" s="330">
        <v>0.98085862775435639</v>
      </c>
      <c r="G81" s="330">
        <v>0.96397847917778534</v>
      </c>
      <c r="H81" s="59"/>
      <c r="I81" s="59"/>
    </row>
    <row r="82" spans="1:21" x14ac:dyDescent="0.2">
      <c r="A82" s="14"/>
      <c r="B82" s="25" t="s">
        <v>28</v>
      </c>
      <c r="C82" s="325">
        <v>32</v>
      </c>
      <c r="D82" s="58"/>
      <c r="E82" s="329"/>
      <c r="H82" s="57"/>
      <c r="I82" s="57"/>
    </row>
    <row r="83" spans="1:21" x14ac:dyDescent="0.2">
      <c r="A83" s="14"/>
      <c r="B83" s="25" t="s">
        <v>29</v>
      </c>
      <c r="C83" s="325">
        <v>31.75</v>
      </c>
      <c r="D83" s="328"/>
      <c r="E83" s="329"/>
      <c r="H83" s="57"/>
      <c r="I83" s="57"/>
    </row>
    <row r="84" spans="1:21" x14ac:dyDescent="0.2">
      <c r="A84" s="14"/>
      <c r="B84" s="25" t="s">
        <v>30</v>
      </c>
      <c r="C84" s="325">
        <v>34.5</v>
      </c>
      <c r="D84" s="328"/>
      <c r="E84" s="329"/>
      <c r="H84" s="57"/>
      <c r="I84" s="57"/>
    </row>
    <row r="85" spans="1:21" x14ac:dyDescent="0.2">
      <c r="A85" s="14"/>
      <c r="B85" s="30"/>
      <c r="C85" s="331"/>
      <c r="D85" s="331"/>
      <c r="G85" s="60"/>
      <c r="K85" s="60"/>
    </row>
    <row r="86" spans="1:21" x14ac:dyDescent="0.2">
      <c r="A86" s="14"/>
      <c r="B86" s="332"/>
      <c r="C86" s="332"/>
      <c r="D86" s="331"/>
      <c r="G86" s="60"/>
      <c r="K86" s="60"/>
    </row>
    <row r="87" spans="1:21" x14ac:dyDescent="0.2">
      <c r="A87" s="14"/>
      <c r="E87" s="61"/>
      <c r="F87" s="61"/>
      <c r="G87" s="61"/>
      <c r="H87" s="61"/>
      <c r="I87" s="61"/>
      <c r="J87" s="61"/>
      <c r="K87" s="61"/>
      <c r="L87" s="61"/>
      <c r="M87" s="61"/>
    </row>
    <row r="88" spans="1:21" x14ac:dyDescent="0.2">
      <c r="A88" s="2" t="s">
        <v>52</v>
      </c>
      <c r="B88" s="3" t="s">
        <v>53</v>
      </c>
      <c r="C88" s="3" t="s">
        <v>54</v>
      </c>
      <c r="D88" s="3" t="s">
        <v>55</v>
      </c>
      <c r="E88" s="61"/>
      <c r="F88" s="61"/>
      <c r="G88" s="61"/>
      <c r="H88" s="61"/>
      <c r="I88" s="61"/>
      <c r="J88" s="61"/>
      <c r="K88" s="61"/>
      <c r="L88" s="61"/>
      <c r="M88" s="61"/>
    </row>
    <row r="89" spans="1:21" x14ac:dyDescent="0.2">
      <c r="A89" s="14"/>
      <c r="B89" s="3" t="s">
        <v>56</v>
      </c>
      <c r="C89" s="333">
        <v>7.5377E-2</v>
      </c>
      <c r="D89" s="3" t="s">
        <v>57</v>
      </c>
      <c r="E89" s="62"/>
      <c r="F89" s="62"/>
      <c r="G89" s="62"/>
      <c r="H89" s="62"/>
      <c r="I89" s="62"/>
      <c r="J89" s="62"/>
      <c r="K89" s="62"/>
      <c r="L89" s="62"/>
      <c r="M89" s="61"/>
    </row>
    <row r="90" spans="1:21" x14ac:dyDescent="0.2">
      <c r="A90" s="14"/>
      <c r="B90" s="3" t="s">
        <v>58</v>
      </c>
      <c r="C90" s="320">
        <v>4.5599999999999998E-3</v>
      </c>
      <c r="D90" s="3" t="s">
        <v>59</v>
      </c>
      <c r="E90" s="63"/>
      <c r="F90" s="63"/>
      <c r="G90" s="63"/>
      <c r="H90" s="63"/>
      <c r="I90" s="63"/>
      <c r="J90" s="63"/>
      <c r="K90" s="63"/>
      <c r="L90" s="63"/>
      <c r="M90" s="61"/>
    </row>
    <row r="91" spans="1:21" x14ac:dyDescent="0.2">
      <c r="A91" s="14"/>
      <c r="B91" s="3" t="s">
        <v>60</v>
      </c>
      <c r="C91" s="334">
        <v>1.07687434555201E-2</v>
      </c>
      <c r="D91" s="3" t="s">
        <v>61</v>
      </c>
      <c r="E91" s="63"/>
      <c r="F91" s="63"/>
      <c r="G91" s="63"/>
      <c r="H91" s="63"/>
      <c r="I91" s="63"/>
      <c r="J91" s="63"/>
      <c r="K91" s="63"/>
      <c r="L91" s="63"/>
      <c r="M91" s="61"/>
    </row>
    <row r="92" spans="1:21" x14ac:dyDescent="0.2">
      <c r="A92" s="14"/>
      <c r="C92" s="335"/>
      <c r="D92" s="61"/>
      <c r="E92" s="61"/>
      <c r="F92" s="61"/>
      <c r="G92" s="61"/>
      <c r="H92" s="61"/>
      <c r="I92" s="61"/>
      <c r="J92" s="61"/>
      <c r="K92" s="61"/>
      <c r="L92" s="61"/>
      <c r="M92" s="61"/>
    </row>
    <row r="93" spans="1:21" x14ac:dyDescent="0.2">
      <c r="A93" s="14"/>
    </row>
    <row r="94" spans="1:21" x14ac:dyDescent="0.2">
      <c r="A94" s="14"/>
      <c r="T94" s="40"/>
      <c r="U94" s="40"/>
    </row>
    <row r="95" spans="1:21" x14ac:dyDescent="0.2">
      <c r="A95" s="14"/>
      <c r="T95" s="40"/>
      <c r="U95" s="40"/>
    </row>
    <row r="96" spans="1:21" x14ac:dyDescent="0.2">
      <c r="A96" s="2" t="s">
        <v>62</v>
      </c>
      <c r="B96" s="10" t="s">
        <v>63</v>
      </c>
      <c r="L96" s="5"/>
      <c r="T96" s="40"/>
      <c r="U96" s="40"/>
    </row>
    <row r="97" spans="1:22" x14ac:dyDescent="0.2">
      <c r="A97" s="14"/>
      <c r="B97" s="309" t="s">
        <v>382</v>
      </c>
      <c r="C97" s="307"/>
      <c r="D97" s="307"/>
      <c r="E97" s="307"/>
      <c r="F97" s="307"/>
      <c r="G97" s="307"/>
      <c r="H97" s="307"/>
      <c r="L97" s="5"/>
      <c r="T97" s="40"/>
      <c r="U97" s="40"/>
    </row>
    <row r="98" spans="1:22" x14ac:dyDescent="0.2">
      <c r="A98" s="14"/>
      <c r="B98" s="11" t="s">
        <v>64</v>
      </c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T98" s="40"/>
      <c r="U98" s="40"/>
    </row>
    <row r="99" spans="1:22" ht="12.75" customHeight="1" x14ac:dyDescent="0.2">
      <c r="A99" s="14"/>
      <c r="B99" s="11"/>
      <c r="C99" s="5"/>
      <c r="D99" s="5"/>
      <c r="E99" s="5"/>
      <c r="F99" s="5"/>
      <c r="G99" s="5"/>
      <c r="H99" s="5"/>
      <c r="I99" s="5"/>
      <c r="J99" s="5"/>
      <c r="K99" s="5"/>
      <c r="M99" s="5"/>
      <c r="R99" s="64"/>
      <c r="S99" s="64"/>
      <c r="T99" s="64"/>
      <c r="U99" s="64"/>
      <c r="V99" s="64"/>
    </row>
    <row r="100" spans="1:22" x14ac:dyDescent="0.2">
      <c r="A100" s="14"/>
      <c r="B100" s="3"/>
      <c r="C100" s="22" t="s">
        <v>9</v>
      </c>
      <c r="D100" s="22" t="s">
        <v>10</v>
      </c>
      <c r="E100" s="22" t="s">
        <v>11</v>
      </c>
      <c r="F100" s="22" t="s">
        <v>12</v>
      </c>
      <c r="G100" s="22" t="s">
        <v>13</v>
      </c>
      <c r="H100" s="22" t="s">
        <v>14</v>
      </c>
      <c r="I100" s="22" t="s">
        <v>15</v>
      </c>
      <c r="J100" s="22" t="s">
        <v>16</v>
      </c>
      <c r="K100" s="22" t="s">
        <v>17</v>
      </c>
      <c r="L100" s="22" t="s">
        <v>18</v>
      </c>
    </row>
    <row r="101" spans="1:22" x14ac:dyDescent="0.2">
      <c r="A101" s="65"/>
      <c r="B101" s="336" t="s">
        <v>65</v>
      </c>
      <c r="C101" s="337">
        <v>3614.8035376744388</v>
      </c>
      <c r="D101" s="337">
        <v>23.643695494965005</v>
      </c>
      <c r="E101" s="337">
        <v>69.399876937336387</v>
      </c>
      <c r="F101" s="337">
        <v>0</v>
      </c>
      <c r="G101" s="337">
        <v>0</v>
      </c>
      <c r="H101" s="337">
        <v>2.8850730932572</v>
      </c>
      <c r="I101" s="66">
        <v>0</v>
      </c>
      <c r="J101" s="66">
        <v>0</v>
      </c>
      <c r="K101" s="66">
        <v>1791.2766878838574</v>
      </c>
      <c r="L101" s="66">
        <v>1397.5169179511906</v>
      </c>
      <c r="M101" s="67"/>
      <c r="V101" s="68"/>
    </row>
    <row r="102" spans="1:22" x14ac:dyDescent="0.2">
      <c r="A102" s="1"/>
      <c r="B102" s="336" t="s">
        <v>66</v>
      </c>
      <c r="C102" s="337">
        <v>3884.3082612142225</v>
      </c>
      <c r="D102" s="337">
        <v>25.019442282317307</v>
      </c>
      <c r="E102" s="337">
        <v>73.093907081139662</v>
      </c>
      <c r="F102" s="337">
        <v>0</v>
      </c>
      <c r="G102" s="337">
        <v>0</v>
      </c>
      <c r="H102" s="337">
        <v>2.9247629259559189</v>
      </c>
      <c r="I102" s="66">
        <v>0</v>
      </c>
      <c r="J102" s="66">
        <v>0</v>
      </c>
      <c r="K102" s="66">
        <v>1779.5058449484745</v>
      </c>
      <c r="L102" s="66">
        <v>1369.6951113062776</v>
      </c>
      <c r="V102" s="68"/>
    </row>
    <row r="103" spans="1:22" x14ac:dyDescent="0.2">
      <c r="A103" s="65"/>
      <c r="C103" s="69"/>
      <c r="D103" s="69"/>
      <c r="E103" s="69"/>
      <c r="F103" s="69"/>
      <c r="G103" s="69"/>
      <c r="H103" s="69"/>
      <c r="I103" s="69"/>
      <c r="J103" s="69"/>
      <c r="K103" s="69"/>
      <c r="L103" s="69"/>
      <c r="M103" s="67"/>
      <c r="V103" s="68"/>
    </row>
    <row r="104" spans="1:22" x14ac:dyDescent="0.2">
      <c r="A104" s="1"/>
      <c r="B104" s="336" t="s">
        <v>67</v>
      </c>
      <c r="C104" s="338">
        <v>1.0459721343534554</v>
      </c>
      <c r="D104" s="70"/>
      <c r="E104" s="70"/>
      <c r="F104" s="70"/>
      <c r="G104" s="70"/>
      <c r="H104" s="70"/>
      <c r="I104" s="70"/>
      <c r="J104" s="70"/>
      <c r="K104" s="70"/>
      <c r="M104" s="70"/>
      <c r="V104" s="68"/>
    </row>
    <row r="105" spans="1:22" x14ac:dyDescent="0.2">
      <c r="A105" s="14"/>
      <c r="B105" s="15" t="s">
        <v>381</v>
      </c>
      <c r="C105" s="338">
        <v>1.0967</v>
      </c>
      <c r="I105" s="70"/>
      <c r="K105" s="5"/>
      <c r="M105" s="70"/>
    </row>
    <row r="106" spans="1:22" x14ac:dyDescent="0.2">
      <c r="A106" s="14"/>
      <c r="D106" s="46"/>
      <c r="E106" s="339"/>
      <c r="G106" s="46"/>
      <c r="H106" s="8"/>
      <c r="I106" s="70"/>
      <c r="M106" s="70"/>
    </row>
    <row r="107" spans="1:22" x14ac:dyDescent="0.2">
      <c r="A107" s="14"/>
      <c r="B107" s="8" t="s">
        <v>68</v>
      </c>
      <c r="C107" s="3"/>
      <c r="D107" s="15" t="s">
        <v>69</v>
      </c>
      <c r="E107" s="3" t="s">
        <v>68</v>
      </c>
      <c r="G107" s="46"/>
      <c r="H107" s="8"/>
      <c r="I107" s="70"/>
      <c r="K107" s="5"/>
      <c r="M107" s="70"/>
    </row>
    <row r="108" spans="1:22" x14ac:dyDescent="0.2">
      <c r="A108" s="14"/>
      <c r="B108" s="340"/>
      <c r="C108" s="341">
        <v>2016</v>
      </c>
      <c r="D108" s="3">
        <v>28</v>
      </c>
      <c r="E108" s="342">
        <v>82516.44</v>
      </c>
      <c r="G108" s="46"/>
      <c r="H108" s="8"/>
      <c r="I108" s="70"/>
      <c r="M108" s="70"/>
    </row>
    <row r="109" spans="1:22" x14ac:dyDescent="0.2">
      <c r="A109" s="14"/>
      <c r="B109" s="14"/>
      <c r="C109" s="341">
        <v>2017</v>
      </c>
      <c r="D109" s="3">
        <v>28</v>
      </c>
      <c r="E109" s="342">
        <v>91224.18</v>
      </c>
      <c r="G109" s="46"/>
      <c r="H109" s="343"/>
      <c r="J109" s="72"/>
      <c r="K109" s="5"/>
      <c r="M109" s="70"/>
    </row>
    <row r="110" spans="1:22" x14ac:dyDescent="0.2">
      <c r="A110" s="14"/>
      <c r="C110" s="341">
        <v>2018</v>
      </c>
      <c r="D110" s="3">
        <v>29</v>
      </c>
      <c r="E110" s="342">
        <v>113092.93324614984</v>
      </c>
      <c r="F110" s="344"/>
      <c r="G110" s="345"/>
      <c r="H110" s="8"/>
      <c r="I110" s="70"/>
      <c r="M110" s="70"/>
    </row>
    <row r="111" spans="1:22" x14ac:dyDescent="0.2">
      <c r="A111" s="14"/>
      <c r="G111" s="46"/>
      <c r="I111" s="70"/>
      <c r="J111" s="73"/>
      <c r="K111" s="5"/>
      <c r="M111" s="70"/>
    </row>
    <row r="112" spans="1:22" ht="25.5" x14ac:dyDescent="0.2">
      <c r="A112" s="14"/>
      <c r="B112" s="8"/>
      <c r="C112" s="46"/>
      <c r="E112" s="346" t="s">
        <v>70</v>
      </c>
      <c r="F112" s="347"/>
      <c r="I112" s="70"/>
      <c r="J112" s="73"/>
      <c r="M112" s="70"/>
    </row>
    <row r="113" spans="1:18" x14ac:dyDescent="0.2">
      <c r="A113" s="14"/>
      <c r="B113" s="8" t="s">
        <v>71</v>
      </c>
      <c r="C113" s="360" t="s">
        <v>72</v>
      </c>
      <c r="D113" s="360"/>
      <c r="E113" s="348">
        <v>169.73527191124808</v>
      </c>
      <c r="F113" s="77" t="s">
        <v>73</v>
      </c>
      <c r="I113" s="70"/>
      <c r="J113" s="73"/>
    </row>
    <row r="114" spans="1:18" x14ac:dyDescent="0.2">
      <c r="A114" s="14"/>
      <c r="C114" s="360" t="s">
        <v>74</v>
      </c>
      <c r="D114" s="360"/>
      <c r="E114" s="348">
        <v>169.73527191124808</v>
      </c>
      <c r="F114" s="77" t="s">
        <v>73</v>
      </c>
      <c r="P114" s="46"/>
    </row>
    <row r="115" spans="1:18" ht="18" x14ac:dyDescent="0.25">
      <c r="A115" s="14"/>
      <c r="C115" s="361" t="s">
        <v>75</v>
      </c>
      <c r="D115" s="361"/>
      <c r="E115" s="349">
        <v>0</v>
      </c>
      <c r="F115" s="77" t="s">
        <v>73</v>
      </c>
      <c r="G115" s="8"/>
      <c r="H115" s="8"/>
      <c r="I115" s="8"/>
      <c r="O115" s="46"/>
      <c r="P115" s="78"/>
    </row>
    <row r="116" spans="1:18" x14ac:dyDescent="0.2">
      <c r="A116" s="14"/>
      <c r="F116" s="8"/>
      <c r="G116" s="8"/>
      <c r="H116" s="8"/>
      <c r="I116" s="8"/>
      <c r="J116" s="8"/>
      <c r="P116" s="46"/>
      <c r="Q116" s="78"/>
    </row>
    <row r="117" spans="1:18" x14ac:dyDescent="0.2">
      <c r="A117" s="14"/>
      <c r="F117" s="8"/>
      <c r="G117" s="8"/>
      <c r="H117" s="8"/>
      <c r="I117" s="8"/>
      <c r="J117" s="8"/>
      <c r="P117" s="46"/>
      <c r="Q117" s="78"/>
    </row>
    <row r="118" spans="1:18" x14ac:dyDescent="0.2">
      <c r="A118" s="2"/>
      <c r="B118" s="3"/>
      <c r="C118" s="22" t="s">
        <v>9</v>
      </c>
      <c r="D118" s="22" t="s">
        <v>10</v>
      </c>
      <c r="F118" s="8"/>
      <c r="G118" s="8"/>
      <c r="H118" s="8"/>
      <c r="I118" s="8"/>
      <c r="J118" s="79"/>
    </row>
    <row r="119" spans="1:18" x14ac:dyDescent="0.2">
      <c r="A119" s="2"/>
      <c r="B119" s="350" t="s">
        <v>76</v>
      </c>
      <c r="C119" s="327">
        <v>0.86519999999999975</v>
      </c>
      <c r="D119" s="327">
        <v>1.1569000000000003</v>
      </c>
      <c r="E119" s="8" t="s">
        <v>77</v>
      </c>
      <c r="F119" s="80" t="s">
        <v>78</v>
      </c>
      <c r="I119" s="8"/>
      <c r="J119" s="79"/>
      <c r="K119" s="81"/>
      <c r="Q119" s="82"/>
      <c r="R119" s="82"/>
    </row>
    <row r="120" spans="1:18" x14ac:dyDescent="0.2">
      <c r="A120" s="2"/>
      <c r="F120" s="8"/>
      <c r="H120" s="8"/>
      <c r="I120" s="8"/>
      <c r="J120" s="79"/>
      <c r="K120" s="81"/>
      <c r="Q120" s="82"/>
      <c r="R120" s="82"/>
    </row>
    <row r="121" spans="1:18" x14ac:dyDescent="0.2">
      <c r="A121" s="1"/>
      <c r="B121" s="8"/>
      <c r="C121" s="8"/>
      <c r="D121" s="8"/>
      <c r="E121" s="8"/>
      <c r="F121" s="8"/>
      <c r="G121" s="8"/>
      <c r="H121" s="8"/>
      <c r="I121" s="8"/>
      <c r="J121" s="8"/>
    </row>
    <row r="122" spans="1:18" x14ac:dyDescent="0.2">
      <c r="A122" s="2" t="s">
        <v>79</v>
      </c>
      <c r="B122" s="10" t="s">
        <v>80</v>
      </c>
      <c r="D122" s="8"/>
      <c r="I122" s="8"/>
      <c r="J122" s="8"/>
    </row>
    <row r="123" spans="1:18" x14ac:dyDescent="0.2">
      <c r="A123" s="2"/>
      <c r="B123" s="8" t="s">
        <v>81</v>
      </c>
      <c r="D123" s="348">
        <v>2</v>
      </c>
      <c r="E123" s="83" t="s">
        <v>82</v>
      </c>
      <c r="I123" s="8"/>
      <c r="J123" s="8"/>
    </row>
    <row r="124" spans="1:18" x14ac:dyDescent="0.2">
      <c r="A124" s="2"/>
      <c r="B124" s="8" t="s">
        <v>83</v>
      </c>
      <c r="D124" s="348">
        <v>6.96</v>
      </c>
      <c r="E124" s="83" t="s">
        <v>82</v>
      </c>
      <c r="I124" s="8"/>
      <c r="J124" s="8"/>
    </row>
    <row r="125" spans="1:18" x14ac:dyDescent="0.2">
      <c r="A125" s="14"/>
      <c r="B125" s="11"/>
      <c r="E125" s="83"/>
    </row>
    <row r="126" spans="1:18" x14ac:dyDescent="0.2">
      <c r="A126" s="14"/>
      <c r="B126" s="11"/>
      <c r="F126" s="83"/>
    </row>
    <row r="127" spans="1:18" x14ac:dyDescent="0.2">
      <c r="A127" s="14"/>
      <c r="B127" s="10"/>
      <c r="E127" s="84"/>
      <c r="F127" s="83"/>
    </row>
    <row r="128" spans="1:18" x14ac:dyDescent="0.2">
      <c r="A128" s="2"/>
      <c r="B128" s="10"/>
    </row>
    <row r="129" spans="1:10" x14ac:dyDescent="0.2">
      <c r="A129" s="2" t="s">
        <v>84</v>
      </c>
      <c r="B129" s="10" t="s">
        <v>85</v>
      </c>
    </row>
    <row r="130" spans="1:10" x14ac:dyDescent="0.2">
      <c r="A130" s="2"/>
      <c r="B130" s="10" t="s">
        <v>86</v>
      </c>
      <c r="C130" s="5"/>
      <c r="D130" s="348">
        <v>276.83</v>
      </c>
      <c r="E130" s="5" t="s">
        <v>87</v>
      </c>
      <c r="F130" s="5"/>
      <c r="G130" s="5"/>
      <c r="H130" s="5"/>
      <c r="I130" s="5"/>
      <c r="J130" s="5"/>
    </row>
    <row r="131" spans="1:10" x14ac:dyDescent="0.2">
      <c r="A131" s="2"/>
      <c r="B131" s="319"/>
      <c r="C131" s="307"/>
      <c r="D131" s="307"/>
      <c r="E131" s="307"/>
      <c r="I131" s="5"/>
      <c r="J131" s="5"/>
    </row>
    <row r="132" spans="1:10" x14ac:dyDescent="0.2">
      <c r="A132" s="14"/>
      <c r="B132" s="46"/>
      <c r="C132" s="78"/>
      <c r="D132" s="78"/>
      <c r="E132" s="78"/>
      <c r="F132" s="78"/>
      <c r="G132" s="78"/>
      <c r="H132" s="78"/>
      <c r="I132" s="5"/>
      <c r="J132" s="5"/>
    </row>
    <row r="133" spans="1:10" x14ac:dyDescent="0.2">
      <c r="A133" s="14"/>
      <c r="B133" s="46"/>
      <c r="C133" s="78"/>
      <c r="D133" s="78"/>
      <c r="E133" s="78"/>
      <c r="F133" s="78"/>
      <c r="G133" s="78"/>
      <c r="H133" s="78"/>
      <c r="I133" s="5"/>
      <c r="J133" s="5"/>
    </row>
    <row r="134" spans="1:10" x14ac:dyDescent="0.2">
      <c r="A134" s="14"/>
      <c r="B134" s="46"/>
      <c r="G134" s="78"/>
      <c r="H134" s="78"/>
      <c r="I134" s="5"/>
      <c r="J134" s="5"/>
    </row>
    <row r="135" spans="1:10" ht="63.75" x14ac:dyDescent="0.2">
      <c r="A135" s="85" t="s">
        <v>88</v>
      </c>
      <c r="B135" s="86" t="s">
        <v>89</v>
      </c>
      <c r="C135" s="351" t="s">
        <v>90</v>
      </c>
      <c r="D135" s="351" t="s">
        <v>285</v>
      </c>
      <c r="E135" s="87" t="s">
        <v>374</v>
      </c>
      <c r="G135" s="78"/>
      <c r="H135" s="78"/>
      <c r="I135" s="5"/>
      <c r="J135" s="5"/>
    </row>
    <row r="136" spans="1:10" x14ac:dyDescent="0.2">
      <c r="A136" s="14"/>
      <c r="B136" s="86" t="s">
        <v>91</v>
      </c>
      <c r="C136" s="88">
        <v>96.38</v>
      </c>
      <c r="D136" s="88">
        <v>90.78</v>
      </c>
      <c r="E136" s="88">
        <v>90.78</v>
      </c>
      <c r="G136" s="78"/>
      <c r="H136" s="78"/>
      <c r="I136" s="5"/>
      <c r="J136" s="5"/>
    </row>
    <row r="137" spans="1:10" x14ac:dyDescent="0.2">
      <c r="A137" s="14"/>
      <c r="B137" s="86" t="s">
        <v>92</v>
      </c>
      <c r="C137" s="89">
        <v>28</v>
      </c>
      <c r="D137" s="89">
        <v>28</v>
      </c>
      <c r="E137" s="89">
        <v>29</v>
      </c>
      <c r="G137" s="78"/>
      <c r="H137" s="78"/>
      <c r="I137" s="5"/>
      <c r="J137" s="5"/>
    </row>
    <row r="138" spans="1:10" hidden="1" x14ac:dyDescent="0.2">
      <c r="A138" s="14"/>
      <c r="B138" s="15" t="s">
        <v>93</v>
      </c>
      <c r="C138" s="90"/>
      <c r="D138" s="90"/>
      <c r="E138" s="91" t="s">
        <v>94</v>
      </c>
      <c r="G138" s="78"/>
      <c r="H138" s="78"/>
      <c r="I138" s="5"/>
      <c r="J138" s="5"/>
    </row>
    <row r="139" spans="1:10" x14ac:dyDescent="0.2">
      <c r="A139" s="14"/>
      <c r="B139" s="10" t="s">
        <v>95</v>
      </c>
      <c r="F139" s="78"/>
      <c r="G139" s="78"/>
      <c r="H139" s="78"/>
      <c r="I139" s="5"/>
      <c r="J139" s="5"/>
    </row>
    <row r="140" spans="1:10" x14ac:dyDescent="0.2">
      <c r="A140" s="2"/>
      <c r="B140" s="92" t="s">
        <v>96</v>
      </c>
      <c r="C140" s="93">
        <v>1</v>
      </c>
      <c r="D140" s="93">
        <v>1</v>
      </c>
      <c r="E140" s="93">
        <v>1</v>
      </c>
      <c r="F140" s="78"/>
      <c r="G140" s="78"/>
      <c r="H140" s="78"/>
      <c r="I140" s="5"/>
      <c r="J140" s="5"/>
    </row>
    <row r="141" spans="1:10" x14ac:dyDescent="0.2">
      <c r="A141" s="14"/>
      <c r="B141" s="92" t="s">
        <v>97</v>
      </c>
      <c r="C141" s="93">
        <v>1</v>
      </c>
      <c r="D141" s="93">
        <v>1</v>
      </c>
      <c r="E141" s="93">
        <v>1</v>
      </c>
      <c r="F141" s="78"/>
      <c r="G141" s="78"/>
      <c r="H141" s="78"/>
      <c r="I141" s="5"/>
      <c r="J141" s="5"/>
    </row>
    <row r="142" spans="1:10" x14ac:dyDescent="0.2">
      <c r="A142" s="14"/>
      <c r="B142" s="10"/>
      <c r="I142" s="5"/>
      <c r="J142" s="5"/>
    </row>
    <row r="143" spans="1:10" x14ac:dyDescent="0.2">
      <c r="A143" s="14"/>
      <c r="B143" s="11"/>
      <c r="G143" s="78"/>
      <c r="I143" s="5"/>
      <c r="J143" s="5"/>
    </row>
    <row r="144" spans="1:10" x14ac:dyDescent="0.2">
      <c r="A144" s="14"/>
      <c r="B144" s="11"/>
      <c r="I144" s="5"/>
      <c r="J144" s="5"/>
    </row>
    <row r="145" spans="1:11" x14ac:dyDescent="0.2">
      <c r="A145" s="14"/>
      <c r="C145" s="5"/>
      <c r="D145" s="5"/>
      <c r="E145" s="5"/>
      <c r="F145" s="5"/>
      <c r="G145" s="5"/>
      <c r="H145" s="5"/>
      <c r="I145" s="5"/>
      <c r="J145" s="5"/>
    </row>
    <row r="146" spans="1:11" x14ac:dyDescent="0.2">
      <c r="A146" s="14"/>
      <c r="C146" s="5"/>
      <c r="D146" s="5"/>
      <c r="E146" s="54"/>
      <c r="F146" s="94"/>
      <c r="G146" s="5"/>
    </row>
    <row r="147" spans="1:11" x14ac:dyDescent="0.2">
      <c r="A147" s="14"/>
      <c r="B147" s="30"/>
      <c r="C147" s="54"/>
      <c r="D147" s="54"/>
      <c r="E147" s="54"/>
      <c r="F147" s="54"/>
      <c r="G147" s="54"/>
      <c r="H147" s="54"/>
      <c r="I147" s="54"/>
      <c r="J147" s="54"/>
      <c r="K147" s="54"/>
    </row>
    <row r="148" spans="1:11" x14ac:dyDescent="0.2">
      <c r="A148" s="14"/>
      <c r="B148" s="52"/>
      <c r="C148" s="54"/>
      <c r="D148" s="54"/>
      <c r="E148" s="54"/>
      <c r="F148" s="54"/>
      <c r="G148" s="54"/>
      <c r="H148" s="54"/>
      <c r="I148" s="54"/>
      <c r="J148" s="54"/>
    </row>
    <row r="149" spans="1:11" x14ac:dyDescent="0.2">
      <c r="A149" s="14"/>
      <c r="B149" s="52"/>
      <c r="C149" s="54"/>
      <c r="D149" s="54"/>
      <c r="E149" s="54"/>
      <c r="F149" s="54"/>
      <c r="G149" s="54"/>
      <c r="H149" s="54"/>
      <c r="I149" s="54"/>
      <c r="J149" s="54"/>
    </row>
    <row r="150" spans="1:11" x14ac:dyDescent="0.2">
      <c r="A150" s="14"/>
      <c r="B150" s="79"/>
      <c r="C150" s="54"/>
      <c r="D150" s="54"/>
      <c r="E150" s="54"/>
      <c r="F150" s="54"/>
      <c r="G150" s="54"/>
      <c r="H150" s="54"/>
      <c r="I150" s="54"/>
      <c r="J150" s="54"/>
    </row>
    <row r="151" spans="1:11" x14ac:dyDescent="0.2">
      <c r="A151" s="14"/>
      <c r="B151" s="79"/>
      <c r="C151" s="54"/>
      <c r="D151" s="54"/>
      <c r="E151" s="54"/>
      <c r="F151" s="54"/>
      <c r="G151" s="54"/>
      <c r="H151" s="54"/>
      <c r="I151" s="54"/>
      <c r="J151" s="54"/>
    </row>
    <row r="152" spans="1:11" x14ac:dyDescent="0.2">
      <c r="A152" s="14"/>
      <c r="C152" s="54"/>
      <c r="D152" s="54"/>
      <c r="E152" s="54"/>
      <c r="F152" s="54"/>
      <c r="G152" s="54"/>
      <c r="H152" s="54"/>
      <c r="I152" s="54"/>
      <c r="J152" s="54"/>
    </row>
    <row r="153" spans="1:11" x14ac:dyDescent="0.2">
      <c r="A153" s="14"/>
      <c r="B153" s="30"/>
      <c r="C153" s="54"/>
      <c r="D153" s="54"/>
      <c r="E153" s="54"/>
      <c r="F153" s="54"/>
      <c r="G153" s="54"/>
      <c r="H153" s="54"/>
      <c r="I153" s="54"/>
      <c r="J153" s="54"/>
      <c r="K153" s="54"/>
    </row>
    <row r="154" spans="1:11" x14ac:dyDescent="0.2">
      <c r="A154" s="14"/>
      <c r="B154" s="52"/>
      <c r="C154" s="54"/>
      <c r="D154" s="54"/>
      <c r="E154" s="54"/>
      <c r="F154" s="54"/>
      <c r="G154" s="54"/>
      <c r="H154" s="54"/>
      <c r="I154" s="54"/>
      <c r="J154" s="54"/>
    </row>
    <row r="155" spans="1:11" x14ac:dyDescent="0.2">
      <c r="A155" s="14"/>
      <c r="B155" s="52"/>
      <c r="C155" s="54"/>
      <c r="D155" s="54"/>
      <c r="E155" s="54"/>
      <c r="F155" s="54"/>
      <c r="G155" s="54"/>
      <c r="H155" s="54"/>
      <c r="I155" s="54"/>
      <c r="J155" s="54"/>
    </row>
    <row r="156" spans="1:11" x14ac:dyDescent="0.2">
      <c r="A156" s="14"/>
      <c r="C156" s="54"/>
      <c r="D156" s="54"/>
      <c r="E156" s="54"/>
      <c r="F156" s="54"/>
      <c r="G156" s="54"/>
      <c r="H156" s="54"/>
      <c r="I156" s="54"/>
      <c r="J156" s="54"/>
    </row>
    <row r="157" spans="1:11" x14ac:dyDescent="0.2">
      <c r="A157" s="14"/>
      <c r="C157" s="54"/>
      <c r="D157" s="54"/>
      <c r="E157" s="54"/>
      <c r="F157" s="54"/>
      <c r="G157" s="54"/>
      <c r="H157" s="54"/>
      <c r="I157" s="54"/>
      <c r="J157" s="54"/>
      <c r="K157" s="54"/>
    </row>
    <row r="158" spans="1:11" x14ac:dyDescent="0.2">
      <c r="A158" s="14"/>
      <c r="C158" s="54"/>
      <c r="D158" s="54"/>
      <c r="E158" s="54"/>
      <c r="F158" s="54"/>
      <c r="G158" s="54"/>
      <c r="H158" s="54"/>
      <c r="I158" s="54"/>
      <c r="J158" s="54"/>
      <c r="K158" s="54"/>
    </row>
    <row r="159" spans="1:11" x14ac:dyDescent="0.2">
      <c r="A159" s="14"/>
      <c r="B159" s="10"/>
      <c r="D159" s="8"/>
      <c r="F159" s="54"/>
    </row>
    <row r="160" spans="1:11" x14ac:dyDescent="0.2">
      <c r="A160" s="14"/>
      <c r="B160" s="11"/>
      <c r="D160" s="8"/>
      <c r="F160" s="54"/>
    </row>
    <row r="161" spans="1:15" x14ac:dyDescent="0.2">
      <c r="A161" s="14"/>
      <c r="B161" s="11"/>
      <c r="E161" s="95"/>
      <c r="F161" s="54"/>
    </row>
    <row r="162" spans="1:15" x14ac:dyDescent="0.2">
      <c r="A162" s="14"/>
      <c r="C162" s="5"/>
      <c r="D162" s="5"/>
      <c r="E162" s="5"/>
      <c r="H162" s="10"/>
      <c r="I162" s="5"/>
      <c r="J162" s="5"/>
    </row>
    <row r="163" spans="1:15" x14ac:dyDescent="0.2">
      <c r="A163" s="14"/>
      <c r="C163" s="5"/>
      <c r="D163" s="5"/>
      <c r="E163" s="95"/>
      <c r="F163" s="10"/>
    </row>
    <row r="164" spans="1:15" x14ac:dyDescent="0.2">
      <c r="A164" s="14"/>
      <c r="B164" s="30"/>
      <c r="C164" s="54"/>
      <c r="D164" s="54"/>
      <c r="E164" s="96"/>
      <c r="H164" s="97"/>
    </row>
    <row r="165" spans="1:15" x14ac:dyDescent="0.2">
      <c r="A165" s="14"/>
      <c r="B165" s="52"/>
      <c r="C165" s="54"/>
      <c r="D165" s="54"/>
      <c r="E165" s="95"/>
      <c r="H165" s="46"/>
      <c r="I165" s="98"/>
      <c r="J165" s="98"/>
      <c r="K165" s="83"/>
      <c r="O165" s="99"/>
    </row>
    <row r="166" spans="1:15" x14ac:dyDescent="0.2">
      <c r="A166" s="14"/>
      <c r="B166" s="52"/>
      <c r="C166" s="54"/>
      <c r="D166" s="54"/>
      <c r="H166" s="46"/>
      <c r="I166" s="98"/>
      <c r="J166" s="98"/>
      <c r="K166" s="83"/>
    </row>
    <row r="167" spans="1:15" x14ac:dyDescent="0.2">
      <c r="A167" s="14"/>
      <c r="C167" s="54"/>
      <c r="D167" s="54"/>
      <c r="H167" s="46"/>
      <c r="I167" s="98"/>
      <c r="J167" s="98"/>
      <c r="K167" s="83"/>
    </row>
    <row r="168" spans="1:15" x14ac:dyDescent="0.2">
      <c r="A168" s="14"/>
      <c r="B168" s="30"/>
      <c r="C168" s="54"/>
      <c r="D168" s="54"/>
    </row>
    <row r="169" spans="1:15" x14ac:dyDescent="0.2">
      <c r="A169" s="14"/>
      <c r="B169" s="52"/>
      <c r="C169" s="54"/>
      <c r="D169" s="54"/>
      <c r="H169" s="97"/>
      <c r="I169" s="100"/>
      <c r="J169" s="100"/>
      <c r="K169" s="83"/>
    </row>
    <row r="170" spans="1:15" x14ac:dyDescent="0.2">
      <c r="A170" s="14"/>
      <c r="B170" s="52"/>
      <c r="C170" s="54"/>
      <c r="D170" s="54"/>
      <c r="H170" s="46"/>
      <c r="I170" s="98"/>
      <c r="J170" s="98"/>
      <c r="K170" s="83"/>
    </row>
    <row r="171" spans="1:15" x14ac:dyDescent="0.2">
      <c r="A171" s="14"/>
      <c r="B171" s="52"/>
      <c r="C171" s="54"/>
      <c r="D171" s="54"/>
    </row>
    <row r="172" spans="1:15" x14ac:dyDescent="0.2">
      <c r="A172" s="14"/>
      <c r="C172" s="54"/>
      <c r="D172" s="54"/>
    </row>
    <row r="173" spans="1:15" x14ac:dyDescent="0.2">
      <c r="A173" s="14"/>
      <c r="C173" s="54"/>
      <c r="D173" s="54"/>
    </row>
    <row r="174" spans="1:15" x14ac:dyDescent="0.2">
      <c r="A174" s="14"/>
      <c r="B174" s="101"/>
      <c r="C174" s="54"/>
      <c r="D174" s="54"/>
    </row>
    <row r="175" spans="1:15" x14ac:dyDescent="0.2">
      <c r="A175" s="14"/>
      <c r="B175" s="30"/>
      <c r="C175" s="54"/>
      <c r="D175" s="54"/>
    </row>
    <row r="176" spans="1:15" x14ac:dyDescent="0.2">
      <c r="A176" s="14"/>
      <c r="B176" s="52"/>
      <c r="C176" s="54"/>
      <c r="D176" s="54"/>
    </row>
    <row r="177" spans="1:7" x14ac:dyDescent="0.2">
      <c r="A177" s="14"/>
      <c r="B177" s="52"/>
      <c r="C177" s="54"/>
      <c r="D177" s="54"/>
    </row>
    <row r="178" spans="1:7" x14ac:dyDescent="0.2">
      <c r="A178" s="14"/>
      <c r="C178" s="54"/>
      <c r="D178" s="54"/>
    </row>
    <row r="179" spans="1:7" x14ac:dyDescent="0.2">
      <c r="A179" s="14"/>
      <c r="B179" s="30"/>
      <c r="C179" s="54"/>
      <c r="D179" s="54"/>
    </row>
    <row r="180" spans="1:7" x14ac:dyDescent="0.2">
      <c r="A180" s="14"/>
      <c r="B180" s="52"/>
      <c r="C180" s="54"/>
      <c r="D180" s="54"/>
    </row>
    <row r="181" spans="1:7" x14ac:dyDescent="0.2">
      <c r="A181" s="14"/>
      <c r="B181" s="52"/>
      <c r="C181" s="54"/>
      <c r="D181" s="54"/>
    </row>
    <row r="182" spans="1:7" x14ac:dyDescent="0.2">
      <c r="A182" s="14"/>
      <c r="B182" s="52"/>
      <c r="C182" s="54"/>
      <c r="D182" s="54"/>
    </row>
    <row r="183" spans="1:7" x14ac:dyDescent="0.2">
      <c r="A183" s="14"/>
      <c r="C183" s="54"/>
      <c r="D183" s="54"/>
    </row>
    <row r="184" spans="1:7" x14ac:dyDescent="0.2">
      <c r="A184" s="14"/>
      <c r="C184" s="102"/>
      <c r="D184" s="102"/>
    </row>
    <row r="185" spans="1:7" x14ac:dyDescent="0.2">
      <c r="A185" s="14"/>
      <c r="B185" s="10"/>
      <c r="C185" s="54"/>
      <c r="D185" s="54"/>
    </row>
    <row r="186" spans="1:7" x14ac:dyDescent="0.2">
      <c r="A186" s="14"/>
      <c r="B186" s="46"/>
      <c r="C186" s="71"/>
      <c r="G186" s="74"/>
    </row>
    <row r="187" spans="1:7" x14ac:dyDescent="0.2">
      <c r="A187" s="14"/>
      <c r="C187" s="46"/>
      <c r="D187" s="78"/>
    </row>
    <row r="188" spans="1:7" x14ac:dyDescent="0.2">
      <c r="A188" s="14"/>
      <c r="C188" s="46"/>
      <c r="D188" s="78"/>
    </row>
    <row r="189" spans="1:7" x14ac:dyDescent="0.2">
      <c r="A189" s="14"/>
    </row>
    <row r="190" spans="1:7" x14ac:dyDescent="0.2">
      <c r="A190" s="14"/>
      <c r="E190" s="100"/>
    </row>
    <row r="191" spans="1:7" x14ac:dyDescent="0.2">
      <c r="A191" s="2"/>
      <c r="B191" s="10"/>
    </row>
    <row r="192" spans="1:7" x14ac:dyDescent="0.2">
      <c r="A192" s="14"/>
      <c r="B192" s="10"/>
    </row>
    <row r="193" spans="1:13" x14ac:dyDescent="0.2">
      <c r="A193" s="14"/>
      <c r="B193" s="10"/>
    </row>
    <row r="194" spans="1:13" x14ac:dyDescent="0.2">
      <c r="A194" s="14"/>
      <c r="B194" s="11"/>
    </row>
    <row r="195" spans="1:13" x14ac:dyDescent="0.2">
      <c r="A195" s="14"/>
      <c r="B195" s="10"/>
    </row>
    <row r="196" spans="1:13" x14ac:dyDescent="0.2">
      <c r="A196" s="14"/>
      <c r="C196" s="5"/>
      <c r="D196" s="5"/>
      <c r="E196" s="5"/>
      <c r="F196" s="5"/>
      <c r="G196" s="5"/>
      <c r="H196" s="5"/>
      <c r="I196" s="5"/>
      <c r="J196" s="5"/>
    </row>
    <row r="197" spans="1:13" x14ac:dyDescent="0.2">
      <c r="A197" s="14"/>
      <c r="C197" s="5"/>
      <c r="D197" s="5"/>
      <c r="E197" s="5"/>
      <c r="F197" s="5"/>
      <c r="G197" s="5"/>
    </row>
    <row r="198" spans="1:13" x14ac:dyDescent="0.2">
      <c r="A198" s="14"/>
      <c r="B198" s="30"/>
      <c r="E198" s="103"/>
      <c r="F198" s="104"/>
      <c r="G198" s="104"/>
      <c r="H198" s="104"/>
      <c r="I198" s="103"/>
      <c r="J198" s="103"/>
      <c r="K198" s="105"/>
      <c r="L198" s="105"/>
      <c r="M198" s="105"/>
    </row>
    <row r="199" spans="1:13" x14ac:dyDescent="0.2">
      <c r="A199" s="14"/>
      <c r="B199" s="52"/>
      <c r="C199" s="106"/>
      <c r="D199" s="107"/>
      <c r="E199" s="104"/>
      <c r="F199" s="103"/>
      <c r="G199" s="103"/>
      <c r="H199" s="103"/>
      <c r="I199" s="8"/>
      <c r="J199" s="108"/>
      <c r="K199" s="105"/>
      <c r="L199" s="105"/>
      <c r="M199" s="105"/>
    </row>
    <row r="200" spans="1:13" x14ac:dyDescent="0.2">
      <c r="A200" s="14"/>
      <c r="B200" s="52"/>
      <c r="C200" s="106"/>
      <c r="D200" s="107"/>
      <c r="E200" s="104"/>
      <c r="F200" s="103"/>
      <c r="G200" s="103"/>
      <c r="H200" s="109"/>
      <c r="I200" s="8"/>
      <c r="J200" s="108"/>
      <c r="K200" s="110"/>
      <c r="L200" s="105"/>
      <c r="M200" s="105"/>
    </row>
    <row r="201" spans="1:13" x14ac:dyDescent="0.2">
      <c r="A201" s="14"/>
      <c r="E201" s="106"/>
      <c r="F201" s="107"/>
      <c r="G201" s="107"/>
      <c r="L201" s="105"/>
      <c r="M201" s="105"/>
    </row>
    <row r="202" spans="1:13" x14ac:dyDescent="0.2">
      <c r="A202" s="14"/>
      <c r="B202" s="111"/>
      <c r="C202" s="104"/>
      <c r="D202" s="104"/>
      <c r="E202" s="106"/>
      <c r="F202" s="107"/>
      <c r="G202" s="107"/>
      <c r="H202" s="107"/>
      <c r="I202" s="107"/>
      <c r="J202" s="107"/>
      <c r="K202" s="105"/>
      <c r="L202" s="105"/>
      <c r="M202" s="105"/>
    </row>
    <row r="203" spans="1:13" x14ac:dyDescent="0.2">
      <c r="A203" s="2"/>
      <c r="B203" s="111"/>
      <c r="C203" s="112"/>
      <c r="D203" s="112"/>
      <c r="E203" s="6"/>
      <c r="F203" s="107"/>
      <c r="G203" s="107"/>
      <c r="H203" s="107"/>
      <c r="I203" s="107"/>
      <c r="J203" s="107"/>
      <c r="K203" s="105"/>
      <c r="L203" s="105"/>
      <c r="M203" s="105"/>
    </row>
    <row r="204" spans="1:13" x14ac:dyDescent="0.2">
      <c r="A204" s="2"/>
      <c r="B204" s="111"/>
      <c r="C204" s="112"/>
      <c r="D204" s="112"/>
      <c r="E204" s="6"/>
      <c r="F204" s="107"/>
      <c r="G204" s="107"/>
      <c r="H204" s="107"/>
      <c r="I204" s="107"/>
      <c r="J204" s="107"/>
      <c r="K204" s="105"/>
      <c r="L204" s="105"/>
      <c r="M204" s="105"/>
    </row>
    <row r="205" spans="1:13" x14ac:dyDescent="0.2">
      <c r="A205" s="14"/>
      <c r="G205" s="107"/>
      <c r="H205" s="107"/>
      <c r="I205" s="107"/>
      <c r="J205" s="107"/>
      <c r="K205" s="105"/>
      <c r="L205" s="105"/>
      <c r="M205" s="105"/>
    </row>
    <row r="206" spans="1:13" x14ac:dyDescent="0.2">
      <c r="A206" s="14"/>
      <c r="H206" s="107"/>
      <c r="I206" s="107"/>
      <c r="J206" s="107"/>
      <c r="K206" s="105"/>
      <c r="L206" s="105"/>
      <c r="M206" s="105"/>
    </row>
    <row r="207" spans="1:13" x14ac:dyDescent="0.2">
      <c r="A207" s="14"/>
      <c r="C207" s="107"/>
      <c r="D207" s="107"/>
      <c r="E207" s="107"/>
      <c r="F207" s="107"/>
      <c r="G207" s="107"/>
      <c r="H207" s="107"/>
      <c r="I207" s="107"/>
      <c r="J207" s="107"/>
      <c r="K207" s="105"/>
      <c r="L207" s="105"/>
      <c r="M207" s="105"/>
    </row>
    <row r="208" spans="1:13" x14ac:dyDescent="0.2">
      <c r="A208" s="14"/>
      <c r="B208" s="30"/>
      <c r="C208" s="104"/>
      <c r="D208" s="104"/>
      <c r="E208" s="103"/>
      <c r="F208" s="104"/>
      <c r="G208" s="104"/>
      <c r="H208" s="104"/>
      <c r="I208" s="103"/>
      <c r="J208" s="103"/>
      <c r="K208" s="105"/>
      <c r="L208" s="105"/>
      <c r="M208" s="105"/>
    </row>
    <row r="209" spans="1:13" x14ac:dyDescent="0.2">
      <c r="A209" s="14"/>
      <c r="B209" s="52"/>
      <c r="C209" s="107"/>
      <c r="D209" s="107"/>
      <c r="E209" s="104"/>
      <c r="F209" s="107"/>
      <c r="G209" s="107"/>
      <c r="H209" s="107"/>
      <c r="J209" s="108"/>
      <c r="K209" s="105"/>
      <c r="L209" s="105"/>
      <c r="M209" s="105"/>
    </row>
    <row r="210" spans="1:13" x14ac:dyDescent="0.2">
      <c r="A210" s="14"/>
      <c r="B210" s="52"/>
      <c r="C210" s="107"/>
      <c r="D210" s="107"/>
      <c r="E210" s="104"/>
      <c r="F210" s="107"/>
      <c r="G210" s="107"/>
      <c r="J210" s="108"/>
      <c r="K210" s="110"/>
      <c r="L210" s="105"/>
      <c r="M210" s="105"/>
    </row>
    <row r="211" spans="1:13" x14ac:dyDescent="0.2">
      <c r="A211" s="14"/>
      <c r="C211" s="107"/>
      <c r="D211" s="107"/>
      <c r="E211" s="107"/>
      <c r="F211" s="107"/>
      <c r="G211" s="107"/>
      <c r="K211" s="105"/>
      <c r="L211" s="105"/>
      <c r="M211" s="105"/>
    </row>
    <row r="212" spans="1:13" x14ac:dyDescent="0.2">
      <c r="A212" s="14"/>
      <c r="C212" s="103"/>
      <c r="D212" s="103"/>
      <c r="E212" s="103"/>
      <c r="F212" s="103"/>
      <c r="G212" s="103"/>
      <c r="H212" s="103"/>
      <c r="I212" s="103"/>
      <c r="J212" s="103"/>
      <c r="K212" s="105"/>
      <c r="L212" s="105"/>
      <c r="M212" s="105"/>
    </row>
    <row r="213" spans="1:13" x14ac:dyDescent="0.2">
      <c r="A213" s="14"/>
    </row>
    <row r="214" spans="1:13" x14ac:dyDescent="0.2">
      <c r="A214" s="14"/>
    </row>
    <row r="215" spans="1:13" x14ac:dyDescent="0.2">
      <c r="A215" s="14"/>
      <c r="B215" s="10"/>
    </row>
    <row r="216" spans="1:13" x14ac:dyDescent="0.2">
      <c r="A216" s="14"/>
      <c r="B216" s="11"/>
    </row>
    <row r="217" spans="1:13" x14ac:dyDescent="0.2">
      <c r="A217" s="14"/>
      <c r="B217" s="8"/>
    </row>
    <row r="218" spans="1:13" x14ac:dyDescent="0.2">
      <c r="A218" s="14"/>
      <c r="C218" s="5"/>
      <c r="D218" s="5"/>
      <c r="E218" s="5"/>
      <c r="F218" s="5"/>
      <c r="H218" s="10"/>
    </row>
    <row r="219" spans="1:13" x14ac:dyDescent="0.2">
      <c r="A219" s="14"/>
      <c r="C219" s="5"/>
      <c r="D219" s="113"/>
      <c r="E219" s="5"/>
      <c r="F219" s="113"/>
    </row>
    <row r="220" spans="1:13" x14ac:dyDescent="0.2">
      <c r="A220" s="14"/>
      <c r="B220" s="30"/>
      <c r="C220" s="104"/>
      <c r="D220" s="110"/>
      <c r="E220" s="109"/>
      <c r="F220" s="109"/>
      <c r="H220" s="97"/>
    </row>
    <row r="221" spans="1:13" x14ac:dyDescent="0.2">
      <c r="A221" s="14"/>
      <c r="B221" s="52"/>
      <c r="C221" s="103"/>
      <c r="D221" s="110"/>
      <c r="E221" s="104"/>
      <c r="F221" s="110"/>
      <c r="H221" s="46"/>
      <c r="I221" s="114"/>
      <c r="J221" s="114"/>
      <c r="K221" s="83"/>
    </row>
    <row r="222" spans="1:13" x14ac:dyDescent="0.2">
      <c r="A222" s="14"/>
      <c r="B222" s="52"/>
      <c r="C222" s="103"/>
      <c r="D222" s="110"/>
      <c r="E222" s="104"/>
      <c r="F222" s="110"/>
      <c r="H222" s="46"/>
      <c r="I222" s="114"/>
      <c r="J222" s="114"/>
      <c r="K222" s="83"/>
    </row>
    <row r="223" spans="1:13" x14ac:dyDescent="0.2">
      <c r="A223" s="14"/>
      <c r="C223" s="103"/>
      <c r="D223" s="110"/>
      <c r="E223" s="103"/>
      <c r="F223" s="110"/>
      <c r="H223" s="46"/>
      <c r="I223" s="114"/>
      <c r="J223" s="114"/>
      <c r="K223" s="83"/>
    </row>
    <row r="224" spans="1:13" x14ac:dyDescent="0.2">
      <c r="A224" s="14"/>
      <c r="B224" s="30"/>
      <c r="C224" s="104"/>
      <c r="D224" s="110"/>
      <c r="E224" s="104"/>
      <c r="F224" s="110"/>
    </row>
    <row r="225" spans="1:11" x14ac:dyDescent="0.2">
      <c r="A225" s="14"/>
      <c r="B225" s="52"/>
      <c r="C225" s="103"/>
      <c r="D225" s="109"/>
      <c r="E225" s="104"/>
      <c r="F225" s="110"/>
      <c r="H225" s="97"/>
      <c r="I225" s="100"/>
      <c r="J225" s="100"/>
    </row>
    <row r="226" spans="1:11" x14ac:dyDescent="0.2">
      <c r="A226" s="14"/>
      <c r="B226" s="52"/>
      <c r="C226" s="103"/>
      <c r="D226" s="109"/>
      <c r="E226" s="104"/>
      <c r="F226" s="110"/>
      <c r="H226" s="46"/>
      <c r="I226" s="114"/>
      <c r="J226" s="114"/>
      <c r="K226" s="83"/>
    </row>
    <row r="227" spans="1:11" x14ac:dyDescent="0.2">
      <c r="A227" s="14"/>
      <c r="C227" s="103"/>
      <c r="D227" s="109"/>
      <c r="E227" s="103"/>
      <c r="F227" s="109"/>
    </row>
    <row r="228" spans="1:11" x14ac:dyDescent="0.2">
      <c r="A228" s="14"/>
      <c r="C228" s="103"/>
      <c r="D228" s="109"/>
      <c r="E228" s="103"/>
      <c r="F228" s="109"/>
    </row>
    <row r="229" spans="1:11" x14ac:dyDescent="0.2">
      <c r="A229" s="14"/>
      <c r="C229" s="105"/>
      <c r="E229" s="105"/>
    </row>
    <row r="230" spans="1:11" x14ac:dyDescent="0.2">
      <c r="A230" s="14"/>
      <c r="C230" s="105"/>
      <c r="E230" s="105"/>
    </row>
    <row r="232" spans="1:11" x14ac:dyDescent="0.2">
      <c r="A232" s="10"/>
      <c r="E232" s="81"/>
    </row>
    <row r="233" spans="1:11" x14ac:dyDescent="0.2">
      <c r="A233" s="14"/>
      <c r="B233" s="46"/>
      <c r="C233" s="96"/>
      <c r="D233" s="83"/>
      <c r="E233" s="4"/>
    </row>
    <row r="234" spans="1:11" x14ac:dyDescent="0.2">
      <c r="A234" s="14"/>
      <c r="B234" s="46"/>
      <c r="C234" s="96"/>
      <c r="D234" s="83"/>
      <c r="E234" s="4"/>
    </row>
    <row r="235" spans="1:11" x14ac:dyDescent="0.2">
      <c r="A235" s="14"/>
      <c r="B235" s="46"/>
    </row>
    <row r="236" spans="1:11" x14ac:dyDescent="0.2">
      <c r="A236" s="14"/>
      <c r="B236" s="46"/>
      <c r="C236" s="96"/>
      <c r="D236" s="83"/>
      <c r="E236" s="84"/>
    </row>
    <row r="237" spans="1:11" x14ac:dyDescent="0.2">
      <c r="A237" s="14"/>
      <c r="B237" s="46"/>
      <c r="C237" s="115"/>
      <c r="E237" s="84"/>
    </row>
    <row r="238" spans="1:11" x14ac:dyDescent="0.2">
      <c r="A238" s="14"/>
      <c r="B238" s="46"/>
      <c r="C238" s="115"/>
      <c r="E238" s="84"/>
    </row>
    <row r="239" spans="1:11" x14ac:dyDescent="0.2">
      <c r="A239" s="14"/>
      <c r="B239" s="46"/>
      <c r="C239" s="116"/>
    </row>
    <row r="240" spans="1:11" x14ac:dyDescent="0.2">
      <c r="A240" s="14"/>
      <c r="B240" s="46"/>
      <c r="C240" s="8"/>
    </row>
    <row r="241" spans="1:13" x14ac:dyDescent="0.2">
      <c r="A241" s="14"/>
      <c r="B241" s="46"/>
      <c r="C241" s="6"/>
    </row>
    <row r="242" spans="1:13" x14ac:dyDescent="0.2">
      <c r="A242" s="14"/>
      <c r="B242" s="46"/>
      <c r="C242" s="4"/>
    </row>
    <row r="243" spans="1:13" x14ac:dyDescent="0.2">
      <c r="A243" s="14"/>
      <c r="B243" s="46"/>
    </row>
    <row r="244" spans="1:13" x14ac:dyDescent="0.2">
      <c r="A244" s="14"/>
      <c r="B244" s="46"/>
    </row>
    <row r="245" spans="1:13" x14ac:dyDescent="0.2">
      <c r="A245" s="14"/>
      <c r="B245" s="46"/>
    </row>
    <row r="247" spans="1:13" x14ac:dyDescent="0.2">
      <c r="B247" s="46"/>
    </row>
    <row r="248" spans="1:13" x14ac:dyDescent="0.2">
      <c r="A248" s="14"/>
      <c r="C248" s="105"/>
      <c r="E248" s="105"/>
    </row>
    <row r="249" spans="1:13" x14ac:dyDescent="0.2">
      <c r="A249" s="14"/>
      <c r="C249" s="105"/>
      <c r="E249" s="105"/>
    </row>
    <row r="250" spans="1:13" x14ac:dyDescent="0.2">
      <c r="A250" s="14"/>
      <c r="C250" s="105"/>
      <c r="E250" s="105"/>
    </row>
    <row r="251" spans="1:13" x14ac:dyDescent="0.2">
      <c r="A251" s="2"/>
      <c r="B251" s="10"/>
    </row>
    <row r="252" spans="1:13" x14ac:dyDescent="0.2">
      <c r="A252" s="14"/>
      <c r="B252" s="10"/>
    </row>
    <row r="253" spans="1:13" x14ac:dyDescent="0.2">
      <c r="A253" s="14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</row>
    <row r="254" spans="1:13" x14ac:dyDescent="0.2">
      <c r="A254" s="14"/>
    </row>
    <row r="255" spans="1:13" x14ac:dyDescent="0.2">
      <c r="A255" s="14"/>
      <c r="B255" s="36"/>
      <c r="C255" s="117"/>
      <c r="D255" s="117"/>
      <c r="E255" s="71"/>
      <c r="F255" s="71"/>
      <c r="G255" s="71"/>
      <c r="H255" s="71"/>
      <c r="I255" s="71"/>
      <c r="J255" s="71"/>
      <c r="K255" s="71"/>
      <c r="L255" s="71"/>
      <c r="M255" s="71"/>
    </row>
    <row r="256" spans="1:13" x14ac:dyDescent="0.2">
      <c r="A256" s="14"/>
      <c r="B256" s="36"/>
      <c r="C256" s="71"/>
      <c r="D256" s="71"/>
      <c r="E256" s="71"/>
      <c r="F256" s="71"/>
      <c r="G256" s="71"/>
      <c r="H256" s="71"/>
      <c r="I256" s="71"/>
      <c r="J256" s="71"/>
      <c r="K256" s="71"/>
      <c r="L256" s="71"/>
      <c r="M256" s="71"/>
    </row>
    <row r="257" spans="1:13" x14ac:dyDescent="0.2">
      <c r="A257" s="14"/>
      <c r="B257" s="36"/>
      <c r="C257" s="74"/>
      <c r="D257" s="74"/>
      <c r="E257" s="74"/>
      <c r="F257" s="74"/>
      <c r="G257" s="74"/>
      <c r="H257" s="74"/>
      <c r="I257" s="74"/>
      <c r="J257" s="71"/>
      <c r="K257" s="71"/>
      <c r="L257" s="71"/>
      <c r="M257" s="71"/>
    </row>
    <row r="258" spans="1:13" x14ac:dyDescent="0.2">
      <c r="A258" s="14"/>
      <c r="B258" s="36"/>
    </row>
    <row r="259" spans="1:13" x14ac:dyDescent="0.2">
      <c r="A259" s="14"/>
    </row>
    <row r="260" spans="1:13" x14ac:dyDescent="0.2">
      <c r="A260" s="14"/>
      <c r="B260" s="36"/>
      <c r="C260" s="118"/>
      <c r="D260" s="118"/>
      <c r="E260" s="118"/>
      <c r="F260" s="118"/>
      <c r="G260" s="118"/>
      <c r="H260" s="118"/>
      <c r="I260" s="118"/>
      <c r="J260" s="118"/>
      <c r="K260" s="118"/>
      <c r="L260" s="118"/>
      <c r="M260" s="118"/>
    </row>
    <row r="261" spans="1:13" x14ac:dyDescent="0.2">
      <c r="A261" s="14"/>
      <c r="B261" s="36"/>
      <c r="C261" s="118"/>
      <c r="D261" s="118"/>
      <c r="E261" s="118"/>
      <c r="F261" s="118"/>
      <c r="G261" s="118"/>
      <c r="H261" s="118"/>
      <c r="I261" s="118"/>
      <c r="J261" s="118"/>
      <c r="K261" s="118"/>
      <c r="L261" s="118"/>
      <c r="M261" s="118"/>
    </row>
    <row r="262" spans="1:13" x14ac:dyDescent="0.2">
      <c r="A262" s="14"/>
    </row>
    <row r="263" spans="1:13" x14ac:dyDescent="0.2">
      <c r="A263" s="14"/>
    </row>
    <row r="264" spans="1:13" x14ac:dyDescent="0.2">
      <c r="A264" s="14"/>
      <c r="B264" s="36"/>
      <c r="C264" s="119"/>
    </row>
    <row r="265" spans="1:13" x14ac:dyDescent="0.2">
      <c r="A265" s="14"/>
      <c r="B265" s="36"/>
      <c r="C265" s="119"/>
    </row>
    <row r="266" spans="1:13" x14ac:dyDescent="0.2">
      <c r="A266" s="14"/>
      <c r="B266" s="36"/>
      <c r="C266" s="74"/>
      <c r="D266" s="99"/>
    </row>
    <row r="267" spans="1:13" x14ac:dyDescent="0.2">
      <c r="A267" s="14"/>
      <c r="L267" s="120"/>
    </row>
    <row r="268" spans="1:13" x14ac:dyDescent="0.2">
      <c r="A268" s="14"/>
      <c r="K268" s="36"/>
    </row>
    <row r="269" spans="1:13" x14ac:dyDescent="0.2">
      <c r="A269" s="14"/>
      <c r="B269" s="36"/>
      <c r="C269" s="118"/>
      <c r="E269" s="81"/>
      <c r="K269" s="36"/>
      <c r="L269" s="58"/>
      <c r="M269" s="121"/>
    </row>
    <row r="270" spans="1:13" x14ac:dyDescent="0.2">
      <c r="A270" s="14"/>
      <c r="B270" s="36"/>
      <c r="C270" s="118"/>
      <c r="E270" s="81"/>
      <c r="K270" s="36"/>
      <c r="L270" s="58"/>
      <c r="M270" s="121"/>
    </row>
    <row r="271" spans="1:13" x14ac:dyDescent="0.2">
      <c r="A271" s="14"/>
    </row>
    <row r="272" spans="1:13" x14ac:dyDescent="0.2">
      <c r="A272" s="14"/>
      <c r="C272" s="105"/>
      <c r="E272" s="105"/>
    </row>
    <row r="273" spans="1:12" x14ac:dyDescent="0.2">
      <c r="A273" s="2"/>
      <c r="B273" s="10"/>
      <c r="C273" s="105"/>
      <c r="E273" s="105"/>
    </row>
    <row r="274" spans="1:12" x14ac:dyDescent="0.2">
      <c r="A274" s="14"/>
      <c r="C274" s="105"/>
      <c r="E274" s="105"/>
    </row>
    <row r="275" spans="1:12" x14ac:dyDescent="0.2">
      <c r="A275" s="14"/>
      <c r="B275" s="46"/>
      <c r="C275" s="54"/>
      <c r="E275" s="122"/>
    </row>
    <row r="276" spans="1:12" x14ac:dyDescent="0.2">
      <c r="A276" s="14"/>
      <c r="B276" s="46"/>
      <c r="C276" s="123"/>
      <c r="E276" s="105"/>
    </row>
    <row r="277" spans="1:12" x14ac:dyDescent="0.2">
      <c r="A277" s="14"/>
      <c r="B277" s="46"/>
      <c r="C277" s="123"/>
      <c r="E277" s="105"/>
    </row>
    <row r="278" spans="1:12" x14ac:dyDescent="0.2">
      <c r="A278" s="14"/>
      <c r="C278" s="105"/>
      <c r="E278" s="105"/>
    </row>
    <row r="279" spans="1:12" x14ac:dyDescent="0.2">
      <c r="A279" s="14"/>
      <c r="C279" s="5"/>
      <c r="D279" s="5"/>
      <c r="E279" s="5"/>
      <c r="F279" s="5"/>
      <c r="G279" s="5"/>
      <c r="H279" s="5"/>
      <c r="I279" s="5"/>
      <c r="J279" s="5"/>
      <c r="K279" s="5"/>
      <c r="L279" s="5"/>
    </row>
    <row r="280" spans="1:12" x14ac:dyDescent="0.2">
      <c r="A280" s="14"/>
    </row>
    <row r="281" spans="1:12" x14ac:dyDescent="0.2">
      <c r="A281" s="14"/>
      <c r="B281" s="36"/>
      <c r="C281" s="71"/>
      <c r="D281" s="71"/>
      <c r="E281" s="124"/>
      <c r="F281" s="71"/>
      <c r="G281" s="71"/>
      <c r="H281" s="71"/>
      <c r="I281" s="71"/>
      <c r="J281" s="71"/>
      <c r="K281" s="124"/>
      <c r="L281" s="124"/>
    </row>
    <row r="282" spans="1:12" x14ac:dyDescent="0.2">
      <c r="A282" s="14"/>
      <c r="B282" s="36"/>
      <c r="C282" s="71"/>
      <c r="D282" s="71"/>
      <c r="E282" s="124"/>
      <c r="F282" s="71"/>
      <c r="G282" s="71"/>
      <c r="H282" s="71"/>
      <c r="I282" s="71"/>
      <c r="J282" s="71"/>
      <c r="K282" s="124"/>
      <c r="L282" s="124"/>
    </row>
    <row r="283" spans="1:12" x14ac:dyDescent="0.2">
      <c r="A283" s="14"/>
      <c r="B283" s="36"/>
      <c r="C283" s="74"/>
      <c r="D283" s="74"/>
      <c r="E283" s="74"/>
      <c r="F283" s="74"/>
      <c r="G283" s="74"/>
      <c r="H283" s="74"/>
      <c r="I283" s="74"/>
      <c r="J283" s="74"/>
      <c r="K283" s="74"/>
      <c r="L283" s="74"/>
    </row>
    <row r="284" spans="1:12" x14ac:dyDescent="0.2">
      <c r="A284" s="14"/>
      <c r="B284" s="36"/>
      <c r="C284" s="74"/>
      <c r="D284" s="74"/>
      <c r="E284" s="74"/>
      <c r="F284" s="74"/>
      <c r="G284" s="74"/>
      <c r="H284" s="74"/>
      <c r="I284" s="74"/>
      <c r="J284" s="74"/>
      <c r="K284" s="74"/>
      <c r="L284" s="74"/>
    </row>
    <row r="285" spans="1:12" x14ac:dyDescent="0.2">
      <c r="A285" s="14"/>
      <c r="B285" s="36"/>
      <c r="C285" s="74"/>
      <c r="D285" s="74"/>
      <c r="E285" s="74"/>
      <c r="F285" s="74"/>
      <c r="G285" s="74"/>
      <c r="H285" s="74"/>
      <c r="I285" s="74"/>
      <c r="J285" s="74"/>
      <c r="K285" s="74"/>
      <c r="L285" s="74"/>
    </row>
    <row r="286" spans="1:12" x14ac:dyDescent="0.2">
      <c r="A286" s="14"/>
      <c r="B286" s="36"/>
      <c r="C286" s="74"/>
      <c r="E286" s="105"/>
    </row>
    <row r="287" spans="1:12" x14ac:dyDescent="0.2">
      <c r="A287" s="14"/>
      <c r="B287" s="36"/>
      <c r="C287" s="74"/>
      <c r="E287" s="105"/>
    </row>
    <row r="288" spans="1:12" x14ac:dyDescent="0.2">
      <c r="A288" s="14"/>
      <c r="B288" s="36"/>
      <c r="C288" s="105"/>
      <c r="E288" s="105"/>
    </row>
    <row r="289" spans="1:12" x14ac:dyDescent="0.2">
      <c r="A289" s="14"/>
      <c r="C289" s="5"/>
      <c r="D289" s="5"/>
      <c r="E289" s="5"/>
      <c r="F289" s="5"/>
      <c r="G289" s="5"/>
      <c r="H289" s="5"/>
      <c r="I289" s="5"/>
      <c r="J289" s="5"/>
      <c r="K289" s="5"/>
      <c r="L289" s="5"/>
    </row>
    <row r="290" spans="1:12" x14ac:dyDescent="0.2">
      <c r="A290" s="14"/>
    </row>
    <row r="291" spans="1:12" x14ac:dyDescent="0.2">
      <c r="A291" s="14"/>
      <c r="B291" s="36"/>
      <c r="C291" s="71"/>
      <c r="D291" s="71"/>
      <c r="E291" s="71"/>
      <c r="F291" s="71"/>
      <c r="G291" s="71"/>
      <c r="H291" s="71"/>
      <c r="I291" s="71"/>
      <c r="J291" s="71"/>
      <c r="K291" s="71"/>
      <c r="L291" s="71"/>
    </row>
    <row r="292" spans="1:12" x14ac:dyDescent="0.2">
      <c r="A292" s="14"/>
      <c r="B292" s="36"/>
      <c r="C292" s="71"/>
      <c r="D292" s="71"/>
      <c r="E292" s="71"/>
      <c r="F292" s="71"/>
      <c r="G292" s="71"/>
      <c r="H292" s="71"/>
      <c r="I292" s="71"/>
      <c r="J292" s="71"/>
      <c r="K292" s="71"/>
      <c r="L292" s="71"/>
    </row>
    <row r="293" spans="1:12" x14ac:dyDescent="0.2">
      <c r="A293" s="14"/>
      <c r="B293" s="36"/>
      <c r="C293" s="74"/>
      <c r="D293" s="74"/>
      <c r="E293" s="74"/>
      <c r="F293" s="74"/>
      <c r="G293" s="74"/>
      <c r="H293" s="74"/>
      <c r="I293" s="74"/>
      <c r="J293" s="71"/>
      <c r="K293" s="71"/>
      <c r="L293" s="71"/>
    </row>
    <row r="294" spans="1:12" x14ac:dyDescent="0.2">
      <c r="A294" s="14"/>
      <c r="C294" s="105"/>
      <c r="D294" s="105"/>
      <c r="E294" s="105"/>
      <c r="F294" s="105"/>
      <c r="G294" s="105"/>
      <c r="H294" s="105"/>
      <c r="I294" s="105"/>
      <c r="J294" s="105"/>
      <c r="K294" s="105"/>
      <c r="L294" s="105"/>
    </row>
    <row r="295" spans="1:12" x14ac:dyDescent="0.2">
      <c r="A295" s="14"/>
      <c r="B295" s="36"/>
      <c r="C295" s="74"/>
    </row>
    <row r="296" spans="1:12" x14ac:dyDescent="0.2">
      <c r="A296" s="14"/>
      <c r="B296" s="36"/>
      <c r="C296" s="74"/>
    </row>
    <row r="297" spans="1:12" x14ac:dyDescent="0.2">
      <c r="A297" s="14"/>
      <c r="B297" s="36"/>
      <c r="C297" s="74"/>
    </row>
    <row r="298" spans="1:12" x14ac:dyDescent="0.2">
      <c r="A298" s="14"/>
      <c r="C298" s="105"/>
      <c r="E298" s="105"/>
    </row>
    <row r="299" spans="1:12" x14ac:dyDescent="0.2">
      <c r="B299" s="46"/>
      <c r="C299" s="74"/>
    </row>
    <row r="303" spans="1:12" x14ac:dyDescent="0.2">
      <c r="A303" s="2"/>
      <c r="B303" s="10"/>
      <c r="C303" s="80"/>
    </row>
    <row r="304" spans="1:12" x14ac:dyDescent="0.2">
      <c r="B304" s="11"/>
    </row>
    <row r="305" spans="1:10" x14ac:dyDescent="0.2">
      <c r="B305" s="36"/>
      <c r="C305" s="40"/>
    </row>
    <row r="306" spans="1:10" x14ac:dyDescent="0.2">
      <c r="B306" s="36"/>
      <c r="C306" s="125"/>
    </row>
    <row r="307" spans="1:10" x14ac:dyDescent="0.2">
      <c r="B307" s="36"/>
      <c r="C307" s="40"/>
    </row>
    <row r="309" spans="1:10" hidden="1" outlineLevel="1" x14ac:dyDescent="0.2">
      <c r="A309" s="126"/>
    </row>
    <row r="310" spans="1:10" hidden="1" outlineLevel="1" x14ac:dyDescent="0.2">
      <c r="A310" s="2"/>
      <c r="B310" s="10"/>
    </row>
    <row r="311" spans="1:10" hidden="1" outlineLevel="1" x14ac:dyDescent="0.2"/>
    <row r="312" spans="1:10" hidden="1" outlineLevel="1" x14ac:dyDescent="0.2">
      <c r="A312" s="1"/>
      <c r="C312" s="127"/>
      <c r="D312" s="127"/>
      <c r="E312" s="127"/>
    </row>
    <row r="313" spans="1:10" hidden="1" outlineLevel="1" x14ac:dyDescent="0.2">
      <c r="A313" s="1"/>
      <c r="C313" s="116"/>
      <c r="D313" s="116"/>
      <c r="E313" s="116"/>
    </row>
    <row r="314" spans="1:10" hidden="1" outlineLevel="1" x14ac:dyDescent="0.2">
      <c r="A314" s="1"/>
      <c r="C314" s="96"/>
      <c r="D314" s="96"/>
      <c r="E314" s="96"/>
      <c r="F314" s="96"/>
      <c r="G314" s="96"/>
    </row>
    <row r="315" spans="1:10" hidden="1" outlineLevel="1" x14ac:dyDescent="0.2">
      <c r="A315" s="1"/>
    </row>
    <row r="316" spans="1:10" hidden="1" outlineLevel="1" x14ac:dyDescent="0.2">
      <c r="A316" s="1"/>
      <c r="C316" s="96"/>
      <c r="D316" s="96"/>
      <c r="E316" s="96"/>
      <c r="F316" s="96"/>
    </row>
    <row r="317" spans="1:10" hidden="1" outlineLevel="1" x14ac:dyDescent="0.2">
      <c r="A317" s="1"/>
    </row>
    <row r="318" spans="1:10" hidden="1" outlineLevel="1" x14ac:dyDescent="0.2">
      <c r="A318" s="1"/>
      <c r="C318" s="5"/>
      <c r="D318" s="5"/>
      <c r="E318" s="5"/>
      <c r="F318" s="5"/>
      <c r="G318" s="5"/>
      <c r="H318" s="5"/>
      <c r="I318" s="5"/>
      <c r="J318" s="5"/>
    </row>
    <row r="319" spans="1:10" hidden="1" outlineLevel="1" x14ac:dyDescent="0.2">
      <c r="A319" s="1"/>
      <c r="C319" s="128"/>
      <c r="D319" s="128"/>
      <c r="E319" s="128"/>
      <c r="F319" s="128"/>
      <c r="G319" s="128"/>
      <c r="H319" s="128"/>
      <c r="I319" s="128"/>
      <c r="J319" s="128"/>
    </row>
    <row r="320" spans="1:10" hidden="1" outlineLevel="1" x14ac:dyDescent="0.2">
      <c r="A320" s="1"/>
      <c r="C320" s="40"/>
      <c r="D320" s="40"/>
      <c r="E320" s="40"/>
      <c r="F320" s="40"/>
      <c r="G320" s="40"/>
      <c r="H320" s="40"/>
      <c r="I320" s="40"/>
      <c r="J320" s="40"/>
    </row>
    <row r="321" spans="1:12" hidden="1" outlineLevel="1" x14ac:dyDescent="0.2">
      <c r="A321" s="1"/>
    </row>
    <row r="322" spans="1:12" hidden="1" outlineLevel="1" x14ac:dyDescent="0.2">
      <c r="A322" s="1"/>
    </row>
    <row r="323" spans="1:12" hidden="1" outlineLevel="1" x14ac:dyDescent="0.2">
      <c r="A323" s="1"/>
    </row>
    <row r="324" spans="1:12" hidden="1" outlineLevel="1" x14ac:dyDescent="0.2">
      <c r="A324" s="1"/>
      <c r="C324" s="5"/>
      <c r="D324" s="5"/>
    </row>
    <row r="325" spans="1:12" hidden="1" outlineLevel="1" x14ac:dyDescent="0.2">
      <c r="A325" s="1"/>
      <c r="C325" s="96"/>
      <c r="D325" s="96"/>
    </row>
    <row r="326" spans="1:12" hidden="1" outlineLevel="1" x14ac:dyDescent="0.2">
      <c r="A326" s="1"/>
      <c r="C326" s="100"/>
      <c r="D326" s="100"/>
    </row>
    <row r="327" spans="1:12" hidden="1" outlineLevel="1" x14ac:dyDescent="0.2">
      <c r="A327" s="1"/>
      <c r="C327" s="96"/>
      <c r="D327" s="96"/>
    </row>
    <row r="328" spans="1:12" hidden="1" outlineLevel="1" x14ac:dyDescent="0.2">
      <c r="C328" s="96"/>
      <c r="D328" s="96"/>
    </row>
    <row r="329" spans="1:12" hidden="1" outlineLevel="1" x14ac:dyDescent="0.2">
      <c r="C329" s="100"/>
      <c r="D329" s="100"/>
    </row>
    <row r="330" spans="1:12" hidden="1" outlineLevel="1" x14ac:dyDescent="0.2"/>
    <row r="331" spans="1:12" hidden="1" outlineLevel="1" x14ac:dyDescent="0.2">
      <c r="C331" s="100"/>
      <c r="D331" s="100"/>
    </row>
    <row r="332" spans="1:12" hidden="1" outlineLevel="1" x14ac:dyDescent="0.2"/>
    <row r="333" spans="1:12" hidden="1" outlineLevel="1" x14ac:dyDescent="0.2">
      <c r="C333" s="100"/>
    </row>
    <row r="334" spans="1:12" hidden="1" outlineLevel="1" x14ac:dyDescent="0.2">
      <c r="A334" s="2"/>
      <c r="B334" s="10"/>
    </row>
    <row r="335" spans="1:12" hidden="1" outlineLevel="1" x14ac:dyDescent="0.2"/>
    <row r="336" spans="1:12" hidden="1" outlineLevel="1" x14ac:dyDescent="0.2">
      <c r="C336" s="5"/>
      <c r="D336" s="5"/>
      <c r="E336" s="5"/>
      <c r="F336" s="5"/>
      <c r="G336" s="5"/>
      <c r="H336" s="5"/>
      <c r="I336" s="5"/>
      <c r="J336" s="5"/>
      <c r="K336" s="5"/>
      <c r="L336" s="5"/>
    </row>
    <row r="337" spans="1:12" hidden="1" outlineLevel="1" x14ac:dyDescent="0.2">
      <c r="C337" s="5"/>
      <c r="D337" s="5"/>
      <c r="E337" s="5"/>
      <c r="F337" s="5"/>
      <c r="G337" s="5"/>
      <c r="H337" s="5"/>
      <c r="I337" s="5"/>
      <c r="J337" s="5"/>
      <c r="K337" s="5"/>
      <c r="L337" s="5"/>
    </row>
    <row r="338" spans="1:12" hidden="1" outlineLevel="1" x14ac:dyDescent="0.2">
      <c r="B338" s="36"/>
    </row>
    <row r="339" spans="1:12" hidden="1" outlineLevel="1" x14ac:dyDescent="0.2">
      <c r="B339" s="36"/>
      <c r="C339" s="96"/>
      <c r="D339" s="96"/>
      <c r="E339" s="96"/>
      <c r="F339" s="96"/>
      <c r="G339" s="96"/>
      <c r="H339" s="96"/>
      <c r="I339" s="96"/>
      <c r="J339" s="96"/>
    </row>
    <row r="340" spans="1:12" hidden="1" outlineLevel="1" x14ac:dyDescent="0.2">
      <c r="B340" s="36"/>
    </row>
    <row r="341" spans="1:12" hidden="1" outlineLevel="1" x14ac:dyDescent="0.2">
      <c r="A341" s="1"/>
      <c r="B341" s="36"/>
      <c r="C341" s="5"/>
      <c r="D341" s="5"/>
    </row>
    <row r="342" spans="1:12" hidden="1" outlineLevel="1" x14ac:dyDescent="0.2">
      <c r="A342" s="1"/>
      <c r="B342" s="36"/>
      <c r="C342" s="67"/>
      <c r="D342" s="67"/>
    </row>
    <row r="343" spans="1:12" hidden="1" outlineLevel="1" x14ac:dyDescent="0.2">
      <c r="A343" s="1"/>
      <c r="B343" s="36"/>
      <c r="C343" s="100"/>
      <c r="D343" s="100"/>
    </row>
    <row r="344" spans="1:12" hidden="1" outlineLevel="1" x14ac:dyDescent="0.2">
      <c r="A344" s="1"/>
      <c r="B344" s="36"/>
      <c r="C344" s="99"/>
      <c r="D344" s="99"/>
    </row>
    <row r="345" spans="1:12" hidden="1" outlineLevel="1" x14ac:dyDescent="0.2">
      <c r="A345" s="1"/>
      <c r="B345" s="36"/>
    </row>
    <row r="346" spans="1:12" hidden="1" outlineLevel="1" x14ac:dyDescent="0.2">
      <c r="A346" s="1"/>
      <c r="B346" s="36"/>
    </row>
    <row r="347" spans="1:12" hidden="1" outlineLevel="1" x14ac:dyDescent="0.2">
      <c r="A347" s="1"/>
      <c r="B347" s="36"/>
      <c r="C347" s="96"/>
    </row>
    <row r="348" spans="1:12" hidden="1" outlineLevel="1" x14ac:dyDescent="0.2">
      <c r="A348" s="1"/>
      <c r="B348" s="36"/>
      <c r="C348" s="96"/>
    </row>
    <row r="349" spans="1:12" hidden="1" outlineLevel="1" x14ac:dyDescent="0.2">
      <c r="A349" s="1"/>
      <c r="B349" s="36"/>
      <c r="C349" s="96"/>
    </row>
    <row r="350" spans="1:12" hidden="1" outlineLevel="1" x14ac:dyDescent="0.2">
      <c r="A350" s="1"/>
      <c r="B350" s="36"/>
      <c r="C350" s="96"/>
    </row>
    <row r="351" spans="1:12" hidden="1" outlineLevel="1" x14ac:dyDescent="0.2">
      <c r="A351" s="1"/>
      <c r="C351" s="5"/>
      <c r="D351" s="5"/>
      <c r="E351" s="5"/>
      <c r="F351" s="5"/>
      <c r="G351" s="5"/>
      <c r="H351" s="5"/>
      <c r="I351" s="5"/>
      <c r="J351" s="5"/>
      <c r="K351" s="5"/>
      <c r="L351" s="5"/>
    </row>
    <row r="352" spans="1:12" hidden="1" outlineLevel="1" x14ac:dyDescent="0.2">
      <c r="A352" s="1"/>
      <c r="C352" s="5"/>
      <c r="D352" s="5"/>
      <c r="E352" s="5"/>
      <c r="F352" s="5"/>
      <c r="G352" s="5"/>
      <c r="H352" s="5"/>
      <c r="I352" s="5"/>
      <c r="J352" s="5"/>
      <c r="K352" s="5"/>
      <c r="L352" s="5"/>
    </row>
    <row r="353" spans="1:12" hidden="1" outlineLevel="1" x14ac:dyDescent="0.2">
      <c r="A353" s="1"/>
      <c r="B353" s="36"/>
      <c r="C353" s="67"/>
      <c r="D353" s="67"/>
      <c r="E353" s="67"/>
      <c r="F353" s="67"/>
      <c r="G353" s="67"/>
      <c r="H353" s="67"/>
      <c r="I353" s="67"/>
      <c r="J353" s="67"/>
      <c r="K353" s="67"/>
      <c r="L353" s="67"/>
    </row>
    <row r="354" spans="1:12" hidden="1" outlineLevel="1" x14ac:dyDescent="0.2">
      <c r="A354" s="1"/>
      <c r="B354" s="36"/>
      <c r="C354" s="96"/>
      <c r="D354" s="96"/>
      <c r="E354" s="96"/>
      <c r="F354" s="96"/>
      <c r="G354" s="96"/>
      <c r="H354" s="96"/>
      <c r="I354" s="96"/>
      <c r="J354" s="96"/>
      <c r="K354" s="96"/>
      <c r="L354" s="96"/>
    </row>
    <row r="355" spans="1:12" hidden="1" outlineLevel="1" x14ac:dyDescent="0.2">
      <c r="A355" s="1"/>
      <c r="B355" s="36"/>
      <c r="C355" s="96"/>
      <c r="D355" s="96"/>
      <c r="E355" s="96"/>
      <c r="F355" s="96"/>
      <c r="G355" s="96"/>
      <c r="H355" s="96"/>
      <c r="I355" s="96"/>
      <c r="J355" s="96"/>
      <c r="K355" s="96"/>
      <c r="L355" s="96"/>
    </row>
    <row r="356" spans="1:12" hidden="1" outlineLevel="1" x14ac:dyDescent="0.2">
      <c r="A356" s="1"/>
      <c r="B356" s="36"/>
      <c r="C356" s="96"/>
      <c r="D356" s="96"/>
      <c r="E356" s="96"/>
      <c r="F356" s="96"/>
      <c r="G356" s="96"/>
      <c r="H356" s="96"/>
      <c r="I356" s="96"/>
      <c r="J356" s="96"/>
      <c r="K356" s="96"/>
      <c r="L356" s="96"/>
    </row>
    <row r="357" spans="1:12" hidden="1" outlineLevel="1" x14ac:dyDescent="0.2">
      <c r="B357" s="36"/>
      <c r="C357" s="96"/>
      <c r="D357" s="96"/>
      <c r="E357" s="96"/>
      <c r="F357" s="96"/>
      <c r="G357" s="96"/>
      <c r="H357" s="96"/>
      <c r="I357" s="96"/>
      <c r="J357" s="96"/>
      <c r="K357" s="96"/>
      <c r="L357" s="96"/>
    </row>
    <row r="358" spans="1:12" hidden="1" outlineLevel="1" x14ac:dyDescent="0.2">
      <c r="B358" s="36"/>
      <c r="C358" s="96"/>
      <c r="D358" s="96"/>
      <c r="E358" s="96"/>
      <c r="F358" s="96"/>
      <c r="G358" s="96"/>
      <c r="H358" s="96"/>
      <c r="I358" s="96"/>
      <c r="J358" s="96"/>
      <c r="K358" s="96"/>
      <c r="L358" s="96"/>
    </row>
    <row r="359" spans="1:12" hidden="1" outlineLevel="1" x14ac:dyDescent="0.2">
      <c r="B359" s="36"/>
      <c r="C359" s="96"/>
      <c r="D359" s="96"/>
      <c r="E359" s="96"/>
      <c r="F359" s="96"/>
      <c r="G359" s="96"/>
      <c r="H359" s="96"/>
      <c r="I359" s="96"/>
      <c r="J359" s="96"/>
      <c r="K359" s="96"/>
      <c r="L359" s="96"/>
    </row>
    <row r="360" spans="1:12" hidden="1" outlineLevel="1" x14ac:dyDescent="0.2">
      <c r="B360" s="36"/>
      <c r="C360" s="96"/>
    </row>
    <row r="361" spans="1:12" hidden="1" outlineLevel="1" x14ac:dyDescent="0.2">
      <c r="B361" s="36"/>
      <c r="C361" s="96"/>
    </row>
    <row r="362" spans="1:12" hidden="1" outlineLevel="1" x14ac:dyDescent="0.2"/>
    <row r="363" spans="1:12" hidden="1" outlineLevel="1" x14ac:dyDescent="0.2">
      <c r="B363" s="46"/>
      <c r="C363" s="74"/>
    </row>
    <row r="364" spans="1:12" hidden="1" outlineLevel="1" x14ac:dyDescent="0.2"/>
    <row r="365" spans="1:12" hidden="1" outlineLevel="1" x14ac:dyDescent="0.2"/>
    <row r="366" spans="1:12" hidden="1" outlineLevel="1" x14ac:dyDescent="0.2"/>
    <row r="367" spans="1:12" hidden="1" outlineLevel="1" x14ac:dyDescent="0.2"/>
    <row r="368" spans="1:12" hidden="1" outlineLevel="1" x14ac:dyDescent="0.2">
      <c r="A368" s="129"/>
    </row>
    <row r="369" spans="1:4" hidden="1" outlineLevel="1" x14ac:dyDescent="0.2">
      <c r="A369" s="46"/>
      <c r="C369" s="130"/>
    </row>
    <row r="370" spans="1:4" hidden="1" outlineLevel="1" x14ac:dyDescent="0.2">
      <c r="A370" s="46"/>
      <c r="C370" s="131"/>
    </row>
    <row r="371" spans="1:4" hidden="1" outlineLevel="1" x14ac:dyDescent="0.2">
      <c r="A371" s="46"/>
      <c r="C371" s="131"/>
    </row>
    <row r="372" spans="1:4" hidden="1" outlineLevel="1" x14ac:dyDescent="0.2">
      <c r="A372" s="46"/>
      <c r="C372" s="132"/>
      <c r="D372" s="83"/>
    </row>
    <row r="373" spans="1:4" hidden="1" outlineLevel="1" x14ac:dyDescent="0.2">
      <c r="A373" s="46"/>
      <c r="C373" s="70"/>
    </row>
    <row r="374" spans="1:4" hidden="1" outlineLevel="1" x14ac:dyDescent="0.2">
      <c r="A374" s="46"/>
      <c r="C374" s="133"/>
      <c r="D374" s="83"/>
    </row>
    <row r="375" spans="1:4" hidden="1" outlineLevel="1" x14ac:dyDescent="0.2"/>
    <row r="376" spans="1:4" hidden="1" outlineLevel="1" x14ac:dyDescent="0.2"/>
    <row r="377" spans="1:4" hidden="1" outlineLevel="1" x14ac:dyDescent="0.2">
      <c r="A377" s="46"/>
      <c r="C377" s="67"/>
      <c r="D377" s="83"/>
    </row>
    <row r="378" spans="1:4" hidden="1" outlineLevel="1" x14ac:dyDescent="0.2">
      <c r="A378" s="46"/>
      <c r="C378" s="134"/>
      <c r="D378" s="83"/>
    </row>
    <row r="379" spans="1:4" hidden="1" outlineLevel="1" x14ac:dyDescent="0.2"/>
    <row r="380" spans="1:4" hidden="1" outlineLevel="1" x14ac:dyDescent="0.2">
      <c r="A380" s="55"/>
      <c r="C380" s="68"/>
    </row>
    <row r="381" spans="1:4" hidden="1" outlineLevel="1" x14ac:dyDescent="0.2">
      <c r="A381" s="55"/>
      <c r="C381" s="134"/>
      <c r="D381" s="83"/>
    </row>
    <row r="382" spans="1:4" hidden="1" outlineLevel="1" x14ac:dyDescent="0.2">
      <c r="A382" s="55"/>
    </row>
    <row r="383" spans="1:4" hidden="1" outlineLevel="1" x14ac:dyDescent="0.2">
      <c r="A383" s="55"/>
      <c r="C383" s="134"/>
      <c r="D383" s="83"/>
    </row>
    <row r="384" spans="1:4" hidden="1" outlineLevel="1" x14ac:dyDescent="0.2">
      <c r="A384" s="55"/>
      <c r="C384" s="134"/>
    </row>
    <row r="385" spans="1:3" hidden="1" outlineLevel="1" x14ac:dyDescent="0.2">
      <c r="A385" s="55"/>
      <c r="C385" s="134"/>
    </row>
    <row r="386" spans="1:3" collapsed="1" x14ac:dyDescent="0.2">
      <c r="A386" s="55"/>
    </row>
    <row r="387" spans="1:3" x14ac:dyDescent="0.2">
      <c r="A387" s="55"/>
    </row>
    <row r="388" spans="1:3" x14ac:dyDescent="0.2">
      <c r="A388" s="55"/>
    </row>
    <row r="389" spans="1:3" x14ac:dyDescent="0.2">
      <c r="A389" s="55"/>
    </row>
    <row r="392" spans="1:3" x14ac:dyDescent="0.2">
      <c r="A392" s="1"/>
    </row>
    <row r="393" spans="1:3" x14ac:dyDescent="0.2">
      <c r="A393" s="1"/>
    </row>
    <row r="394" spans="1:3" x14ac:dyDescent="0.2">
      <c r="A394" s="1"/>
    </row>
  </sheetData>
  <mergeCells count="5">
    <mergeCell ref="B5:L5"/>
    <mergeCell ref="F78:G78"/>
    <mergeCell ref="C113:D113"/>
    <mergeCell ref="C114:D114"/>
    <mergeCell ref="C115:D115"/>
  </mergeCells>
  <hyperlinks>
    <hyperlink ref="P10" r:id="rId1" display="\\njnwkfp06\PSE&amp;G\Customer Operations\CS\regulato\2015 BGS-RSCP for 2016-2017\2015-07 Initial Filing\BGS-FP Initial Filing Supporting Documents\Table1&amp;2 - OnPeak%\Table 1 - Time period usage for 2016-17 Spreadsheet.xls"/>
    <hyperlink ref="P28" r:id="rId2" display="\\njnwkfp06\PSE&amp;G\Customer Operations\CS\regulato\2015 BGS-RSCP for 2016-2017\2015-07 Initial Filing\BGS-FP Initial Filing Supporting Documents\Table1&amp;2 - OnPeak%\Table 2 - 001.2014 - 012.2014 KWH (RLM, LPLS-H-O).xls"/>
    <hyperlink ref="P46" r:id="rId3" display="\\njnwkfp06\PSE&amp;G\Customer Operations\CS\regulato\2015 BGS-RSCP for 2016-2017\2015-07 Initial Filing\BGS-FP Initial Filing Supporting Documents\Table3 - kWh forecast\Net Sales Forecast used in 15-16 BGS.xls"/>
    <hyperlink ref="P63" r:id="rId4" display="\\njnwkfp06\PSE&amp;G\Customer Operations\CS\regulato\2015 BGS-RSCP for 2016-2017\2015-07 Initial Filing\BGS-FP Initial Filing Supporting Documents\Table3 - kWh forecast\LPLS Split Mar 2015.xls"/>
    <hyperlink ref="P70" r:id="rId5" display="\\njnwkfp06\PSE&amp;G\Customer Operations\CS\regulato\2015 BGS-RSCP for 2016-2017\2015-07 Initial Filing\BGS-FP Initial Filing Supporting Documents\Table4&amp;5&amp;6 - NERA Inputs\2016 Inputs to FP Pricing_3 JUN 2015_DRAFT.xlsx"/>
    <hyperlink ref="P91" r:id="rId6" display="\\njnwkfp06\PSE&amp;G\Customer Operations\CS\regulato\2015 BGS-RSCP for 2016-2017\2015-07 Initial Filing\BGS-FP Initial Filing Supporting Documents\Table4&amp;5&amp;6 - NERA Inputs\2016 Inputs to FP Pricing_3 JUN 2015_DRAFT.xlsx"/>
    <hyperlink ref="P100" r:id="rId7" display="\\njnwkfp06\PSE&amp;G\Customer Operations\CS\regulato\2015 BGS-RSCP for 2016-2017\2015-07 Initial Filing\BGS-FP Initial Filing Supporting Documents\Table10 - Gen and Trans Obs\CAP AND TRAN LOADS FOR 2015 For Myron - Copy.xls"/>
    <hyperlink ref="P108" r:id="rId8" display="\\njnwkfp06\PSE&amp;G\Customer Operations\CS\regulato\2014 BGS-FP for 2015-2016\BGS-FP Bid Factors for 2015-16FINAL(02-13-15).xlsx"/>
    <hyperlink ref="P113" r:id="rId9" display="\\njnwkfp06\PSE&amp;G\Customer Operations\CS\regulato\2015 BGS-RSCP for 2016-2017\2015-07 Initial Filing\BGS-FP Initial Filing Supporting Documents\Table4&amp;5&amp;6 - NERA Inputs\2016 Inputs to FP Pricing_3 JUN 2015_DRAFT.xlsx"/>
    <hyperlink ref="P122" r:id="rId10" display="\\njnwkfp06\PSE&amp;G\Customer Operations\CS\regulato\2015 BGS-RSCP for 2016-2017\2015-07 Initial Filing\BGS-FP Initial Filing Supporting Documents\Table4&amp;5&amp;6 - NERA Inputs\2016 Inputs to FP Pricing_3 JUN 2015_DRAFT.xlsx"/>
    <hyperlink ref="P135" r:id="rId11" display="\\njnwkfp06\PSE&amp;G\Customer Operations\CS\regulato\2014 BGS-FP for 2015-2016\BGS-FP Bid Factors for 2015-16FINAL(02-13-15).xlsx"/>
  </hyperlinks>
  <pageMargins left="0.7" right="0.7" top="0.75" bottom="0.75" header="0.3" footer="0.3"/>
  <pageSetup scale="52" orientation="portrait" r:id="rId12"/>
  <rowBreaks count="1" manualBreakCount="1">
    <brk id="94" max="11" man="1"/>
  </rowBreaks>
  <colBreaks count="1" manualBreakCount="1">
    <brk id="12" max="1048575" man="1"/>
  </colBreaks>
  <legacyDrawing r:id="rId1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AM354"/>
  <sheetViews>
    <sheetView view="pageBreakPreview" topLeftCell="A16" zoomScale="115" zoomScaleNormal="70" zoomScaleSheetLayoutView="115" workbookViewId="0">
      <selection activeCell="B37" sqref="B37"/>
    </sheetView>
  </sheetViews>
  <sheetFormatPr defaultColWidth="9.140625" defaultRowHeight="12.75" x14ac:dyDescent="0.2"/>
  <cols>
    <col min="1" max="1" width="13.140625" style="135" customWidth="1"/>
    <col min="2" max="2" width="36.28515625" style="76" customWidth="1"/>
    <col min="3" max="3" width="13.42578125" style="76" customWidth="1"/>
    <col min="4" max="4" width="12.5703125" style="76" customWidth="1"/>
    <col min="5" max="5" width="11.5703125" style="76" customWidth="1"/>
    <col min="6" max="6" width="12.7109375" style="76" customWidth="1"/>
    <col min="7" max="8" width="10.7109375" style="76" customWidth="1"/>
    <col min="9" max="9" width="11" style="76" customWidth="1"/>
    <col min="10" max="10" width="10.7109375" style="76" customWidth="1"/>
    <col min="11" max="11" width="12.28515625" style="76" customWidth="1"/>
    <col min="12" max="12" width="12.5703125" style="76" customWidth="1"/>
    <col min="13" max="13" width="16.5703125" style="76" customWidth="1"/>
    <col min="14" max="14" width="15.140625" style="76" bestFit="1" customWidth="1"/>
    <col min="15" max="16" width="11.5703125" style="76" customWidth="1"/>
    <col min="17" max="17" width="15.7109375" style="76" customWidth="1"/>
    <col min="18" max="18" width="29" style="76" bestFit="1" customWidth="1"/>
    <col min="19" max="19" width="16.42578125" style="76" customWidth="1"/>
    <col min="20" max="20" width="23.85546875" style="76" bestFit="1" customWidth="1"/>
    <col min="21" max="21" width="18" style="76" bestFit="1" customWidth="1"/>
    <col min="22" max="24" width="11.5703125" style="76" customWidth="1"/>
    <col min="25" max="25" width="11.28515625" style="76" bestFit="1" customWidth="1"/>
    <col min="26" max="26" width="10.140625" style="76" customWidth="1"/>
    <col min="27" max="27" width="10.7109375" style="76" customWidth="1"/>
    <col min="28" max="28" width="12.85546875" style="76" bestFit="1" customWidth="1"/>
    <col min="29" max="29" width="9.140625" style="76"/>
    <col min="30" max="30" width="17.5703125" style="76" customWidth="1"/>
    <col min="31" max="31" width="9.140625" style="76"/>
    <col min="32" max="32" width="10.28515625" style="76" bestFit="1" customWidth="1"/>
    <col min="33" max="33" width="10.5703125" style="76" customWidth="1"/>
    <col min="34" max="16384" width="9.140625" style="76"/>
  </cols>
  <sheetData>
    <row r="1" spans="1:24" x14ac:dyDescent="0.2">
      <c r="A1" s="135" t="s">
        <v>0</v>
      </c>
      <c r="C1" s="136"/>
      <c r="D1" s="136"/>
      <c r="E1" s="136"/>
      <c r="F1" s="136"/>
      <c r="G1" s="136"/>
      <c r="H1" s="136"/>
      <c r="I1" s="136"/>
      <c r="J1" s="136"/>
      <c r="K1" s="136"/>
      <c r="L1" s="136"/>
    </row>
    <row r="2" spans="1:24" ht="15.75" x14ac:dyDescent="0.25">
      <c r="B2" s="7" t="s">
        <v>373</v>
      </c>
      <c r="C2" s="137"/>
      <c r="D2" s="137"/>
      <c r="E2" s="137"/>
      <c r="F2" s="137"/>
    </row>
    <row r="3" spans="1:24" x14ac:dyDescent="0.2">
      <c r="A3" s="138"/>
      <c r="B3" s="139" t="s">
        <v>1</v>
      </c>
      <c r="C3" s="137"/>
      <c r="D3" s="137"/>
      <c r="E3" s="137"/>
      <c r="F3" s="137"/>
    </row>
    <row r="4" spans="1:24" x14ac:dyDescent="0.2">
      <c r="B4" s="137"/>
      <c r="C4" s="137"/>
      <c r="D4" s="137"/>
      <c r="E4" s="140" t="str">
        <f>+Input!E9</f>
        <v>Based on average of year 2014,2015 &amp; 2016 Load Profile Information</v>
      </c>
      <c r="F4" s="137"/>
    </row>
    <row r="5" spans="1:24" x14ac:dyDescent="0.2">
      <c r="A5" s="141" t="s">
        <v>3</v>
      </c>
      <c r="B5" s="142" t="s">
        <v>4</v>
      </c>
      <c r="C5" s="143"/>
      <c r="D5" s="137"/>
      <c r="E5" s="140" t="s">
        <v>5</v>
      </c>
      <c r="F5" s="137"/>
      <c r="N5" s="142"/>
      <c r="O5" s="142" t="s">
        <v>98</v>
      </c>
      <c r="P5" s="137"/>
      <c r="Q5" s="137"/>
      <c r="R5" s="137"/>
      <c r="S5" s="137"/>
      <c r="T5" s="137"/>
      <c r="U5" s="137"/>
      <c r="V5" s="137"/>
      <c r="W5" s="137"/>
      <c r="X5" s="137"/>
    </row>
    <row r="6" spans="1:24" ht="25.5" x14ac:dyDescent="0.2">
      <c r="A6" s="144"/>
      <c r="B6" s="137"/>
      <c r="C6" s="145" t="s">
        <v>6</v>
      </c>
      <c r="D6" s="145" t="s">
        <v>6</v>
      </c>
      <c r="E6" s="145" t="s">
        <v>6</v>
      </c>
      <c r="F6" s="145" t="s">
        <v>6</v>
      </c>
      <c r="G6" s="145" t="s">
        <v>6</v>
      </c>
      <c r="H6" s="145" t="s">
        <v>6</v>
      </c>
      <c r="I6" s="140" t="s">
        <v>7</v>
      </c>
      <c r="J6" s="146"/>
      <c r="K6" s="145" t="s">
        <v>6</v>
      </c>
      <c r="L6" s="145" t="s">
        <v>6</v>
      </c>
      <c r="M6" s="145"/>
      <c r="N6" s="140"/>
      <c r="O6" s="145" t="s">
        <v>6</v>
      </c>
      <c r="P6" s="145" t="s">
        <v>6</v>
      </c>
      <c r="Q6" s="145" t="s">
        <v>6</v>
      </c>
      <c r="R6" s="145" t="s">
        <v>6</v>
      </c>
      <c r="S6" s="145" t="s">
        <v>6</v>
      </c>
      <c r="T6" s="145" t="s">
        <v>6</v>
      </c>
      <c r="U6" s="140" t="s">
        <v>99</v>
      </c>
      <c r="V6" s="146"/>
      <c r="W6" s="145" t="s">
        <v>6</v>
      </c>
      <c r="X6" s="145" t="s">
        <v>6</v>
      </c>
    </row>
    <row r="7" spans="1:24" x14ac:dyDescent="0.2">
      <c r="A7" s="144"/>
      <c r="B7" s="147" t="s">
        <v>8</v>
      </c>
      <c r="C7" s="136" t="s">
        <v>9</v>
      </c>
      <c r="D7" s="136" t="s">
        <v>10</v>
      </c>
      <c r="E7" s="136" t="s">
        <v>11</v>
      </c>
      <c r="F7" s="136" t="s">
        <v>12</v>
      </c>
      <c r="G7" s="136" t="s">
        <v>13</v>
      </c>
      <c r="H7" s="136" t="s">
        <v>14</v>
      </c>
      <c r="I7" s="136" t="s">
        <v>15</v>
      </c>
      <c r="J7" s="136" t="s">
        <v>16</v>
      </c>
      <c r="K7" s="136" t="s">
        <v>17</v>
      </c>
      <c r="L7" s="136" t="s">
        <v>18</v>
      </c>
      <c r="M7" s="148"/>
      <c r="N7" s="149"/>
      <c r="O7" s="136" t="str">
        <f>+C7</f>
        <v>RS</v>
      </c>
      <c r="P7" s="136" t="str">
        <f t="shared" ref="P7:X7" si="0">+D7</f>
        <v>RHS</v>
      </c>
      <c r="Q7" s="136" t="str">
        <f t="shared" si="0"/>
        <v>RLM</v>
      </c>
      <c r="R7" s="136" t="str">
        <f t="shared" si="0"/>
        <v>WH</v>
      </c>
      <c r="S7" s="136" t="str">
        <f t="shared" si="0"/>
        <v>WHS</v>
      </c>
      <c r="T7" s="136" t="str">
        <f t="shared" si="0"/>
        <v>HS</v>
      </c>
      <c r="U7" s="136" t="str">
        <f t="shared" si="0"/>
        <v>PSAL</v>
      </c>
      <c r="V7" s="136" t="str">
        <f t="shared" si="0"/>
        <v>BPL</v>
      </c>
      <c r="W7" s="136" t="str">
        <f t="shared" si="0"/>
        <v>GLP</v>
      </c>
      <c r="X7" s="136" t="str">
        <f t="shared" si="0"/>
        <v>LPL-S</v>
      </c>
    </row>
    <row r="8" spans="1:24" x14ac:dyDescent="0.2">
      <c r="A8" s="144"/>
      <c r="C8" s="136"/>
      <c r="D8" s="136"/>
      <c r="E8" s="136"/>
      <c r="F8" s="136"/>
      <c r="G8" s="136"/>
      <c r="H8" s="136"/>
      <c r="I8" s="136"/>
      <c r="J8" s="136"/>
      <c r="K8" s="136"/>
      <c r="L8" s="136"/>
      <c r="O8" s="137"/>
      <c r="P8" s="137"/>
      <c r="Q8" s="137"/>
      <c r="R8" s="137"/>
      <c r="S8" s="137"/>
      <c r="T8" s="137"/>
      <c r="U8" s="137"/>
      <c r="V8" s="137"/>
      <c r="W8" s="137"/>
      <c r="X8" s="137"/>
    </row>
    <row r="9" spans="1:24" x14ac:dyDescent="0.2">
      <c r="A9" s="144"/>
      <c r="B9" s="150" t="s">
        <v>19</v>
      </c>
      <c r="C9" s="151">
        <f>Input!C14</f>
        <v>0.47570000000000001</v>
      </c>
      <c r="D9" s="151">
        <f>Input!D14</f>
        <v>0.46899999999999997</v>
      </c>
      <c r="E9" s="151">
        <f>Input!E14</f>
        <v>0.48270000000000002</v>
      </c>
      <c r="F9" s="151">
        <f>Input!F14</f>
        <v>0.43669999999999998</v>
      </c>
      <c r="G9" s="151">
        <f>Input!G14</f>
        <v>0.43669999999999998</v>
      </c>
      <c r="H9" s="151">
        <f>Input!H14</f>
        <v>0.4713</v>
      </c>
      <c r="I9" s="151">
        <f>Input!I14</f>
        <v>0.29970000000000002</v>
      </c>
      <c r="J9" s="151">
        <f>Input!J14</f>
        <v>0.29970000000000002</v>
      </c>
      <c r="K9" s="151">
        <f>Input!K14</f>
        <v>0.55600000000000005</v>
      </c>
      <c r="L9" s="151">
        <f>Input!L14</f>
        <v>0.53700000000000003</v>
      </c>
      <c r="M9" s="152"/>
      <c r="N9" s="153"/>
      <c r="O9" s="154">
        <f t="shared" ref="O9:X20" si="1">1-C9</f>
        <v>0.52429999999999999</v>
      </c>
      <c r="P9" s="154">
        <f t="shared" si="1"/>
        <v>0.53100000000000003</v>
      </c>
      <c r="Q9" s="154">
        <f t="shared" si="1"/>
        <v>0.51729999999999998</v>
      </c>
      <c r="R9" s="154">
        <f t="shared" si="1"/>
        <v>0.56330000000000002</v>
      </c>
      <c r="S9" s="154">
        <f t="shared" si="1"/>
        <v>0.56330000000000002</v>
      </c>
      <c r="T9" s="154">
        <f t="shared" si="1"/>
        <v>0.52869999999999995</v>
      </c>
      <c r="U9" s="154">
        <f t="shared" si="1"/>
        <v>0.70029999999999992</v>
      </c>
      <c r="V9" s="154">
        <f t="shared" si="1"/>
        <v>0.70029999999999992</v>
      </c>
      <c r="W9" s="154">
        <f t="shared" si="1"/>
        <v>0.44399999999999995</v>
      </c>
      <c r="X9" s="154">
        <f t="shared" si="1"/>
        <v>0.46299999999999997</v>
      </c>
    </row>
    <row r="10" spans="1:24" x14ac:dyDescent="0.2">
      <c r="A10" s="144"/>
      <c r="B10" s="150" t="s">
        <v>20</v>
      </c>
      <c r="C10" s="151">
        <f>Input!C15</f>
        <v>0.502</v>
      </c>
      <c r="D10" s="151">
        <f>Input!D15</f>
        <v>0.48499999999999999</v>
      </c>
      <c r="E10" s="151">
        <f>Input!E15</f>
        <v>0.50929999999999997</v>
      </c>
      <c r="F10" s="151">
        <f>Input!F15</f>
        <v>0.45269999999999999</v>
      </c>
      <c r="G10" s="151">
        <f>Input!G15</f>
        <v>0.45269999999999999</v>
      </c>
      <c r="H10" s="151">
        <f>Input!H15</f>
        <v>0.48530000000000001</v>
      </c>
      <c r="I10" s="151">
        <f>Input!I15</f>
        <v>0.29670000000000002</v>
      </c>
      <c r="J10" s="151">
        <f>Input!J15</f>
        <v>0.29670000000000002</v>
      </c>
      <c r="K10" s="151">
        <f>Input!K15</f>
        <v>0.57330000000000003</v>
      </c>
      <c r="L10" s="151">
        <f>Input!L15</f>
        <v>0.56030000000000002</v>
      </c>
      <c r="M10" s="152"/>
      <c r="N10" s="153"/>
      <c r="O10" s="154">
        <f t="shared" si="1"/>
        <v>0.498</v>
      </c>
      <c r="P10" s="154">
        <f t="shared" si="1"/>
        <v>0.51500000000000001</v>
      </c>
      <c r="Q10" s="154">
        <f t="shared" si="1"/>
        <v>0.49070000000000003</v>
      </c>
      <c r="R10" s="154">
        <f t="shared" si="1"/>
        <v>0.54730000000000001</v>
      </c>
      <c r="S10" s="154">
        <f t="shared" si="1"/>
        <v>0.54730000000000001</v>
      </c>
      <c r="T10" s="154">
        <f t="shared" si="1"/>
        <v>0.51469999999999994</v>
      </c>
      <c r="U10" s="154">
        <f t="shared" si="1"/>
        <v>0.70330000000000004</v>
      </c>
      <c r="V10" s="154">
        <f t="shared" si="1"/>
        <v>0.70330000000000004</v>
      </c>
      <c r="W10" s="154">
        <f t="shared" si="1"/>
        <v>0.42669999999999997</v>
      </c>
      <c r="X10" s="154">
        <f t="shared" si="1"/>
        <v>0.43969999999999998</v>
      </c>
    </row>
    <row r="11" spans="1:24" x14ac:dyDescent="0.2">
      <c r="A11" s="144"/>
      <c r="B11" s="150" t="s">
        <v>21</v>
      </c>
      <c r="C11" s="151">
        <f>Input!C16</f>
        <v>0.49199999999999999</v>
      </c>
      <c r="D11" s="151">
        <f>Input!D16</f>
        <v>0.48870000000000002</v>
      </c>
      <c r="E11" s="151">
        <f>Input!E16</f>
        <v>0.49930000000000002</v>
      </c>
      <c r="F11" s="151">
        <f>Input!F16</f>
        <v>0.46400000000000002</v>
      </c>
      <c r="G11" s="151">
        <f>Input!G16</f>
        <v>0.46400000000000002</v>
      </c>
      <c r="H11" s="151">
        <f>Input!H16</f>
        <v>0.47870000000000001</v>
      </c>
      <c r="I11" s="151">
        <f>Input!I16</f>
        <v>0.253</v>
      </c>
      <c r="J11" s="151">
        <f>Input!J16</f>
        <v>0.253</v>
      </c>
      <c r="K11" s="151">
        <f>Input!K16</f>
        <v>0.57730000000000004</v>
      </c>
      <c r="L11" s="151">
        <f>Input!L16</f>
        <v>0.56269999999999998</v>
      </c>
      <c r="M11" s="152"/>
      <c r="N11" s="153"/>
      <c r="O11" s="154">
        <f t="shared" si="1"/>
        <v>0.50800000000000001</v>
      </c>
      <c r="P11" s="154">
        <f t="shared" si="1"/>
        <v>0.51129999999999998</v>
      </c>
      <c r="Q11" s="154">
        <f t="shared" si="1"/>
        <v>0.50069999999999992</v>
      </c>
      <c r="R11" s="154">
        <f t="shared" si="1"/>
        <v>0.53600000000000003</v>
      </c>
      <c r="S11" s="154">
        <f t="shared" si="1"/>
        <v>0.53600000000000003</v>
      </c>
      <c r="T11" s="154">
        <f t="shared" si="1"/>
        <v>0.52129999999999999</v>
      </c>
      <c r="U11" s="154">
        <f t="shared" si="1"/>
        <v>0.747</v>
      </c>
      <c r="V11" s="154">
        <f t="shared" si="1"/>
        <v>0.747</v>
      </c>
      <c r="W11" s="154">
        <f t="shared" si="1"/>
        <v>0.42269999999999996</v>
      </c>
      <c r="X11" s="154">
        <f t="shared" si="1"/>
        <v>0.43730000000000002</v>
      </c>
    </row>
    <row r="12" spans="1:24" x14ac:dyDescent="0.2">
      <c r="A12" s="144"/>
      <c r="B12" s="150" t="s">
        <v>22</v>
      </c>
      <c r="C12" s="151">
        <f>Input!C17</f>
        <v>0.51029999999999998</v>
      </c>
      <c r="D12" s="151">
        <f>Input!D17</f>
        <v>0.51829999999999998</v>
      </c>
      <c r="E12" s="151">
        <f>Input!E17</f>
        <v>0.51670000000000005</v>
      </c>
      <c r="F12" s="151">
        <f>Input!F17</f>
        <v>0.46729999999999999</v>
      </c>
      <c r="G12" s="151">
        <f>Input!G17</f>
        <v>0.46729999999999999</v>
      </c>
      <c r="H12" s="151">
        <f>Input!H17</f>
        <v>0.50829999999999997</v>
      </c>
      <c r="I12" s="151">
        <f>Input!I17</f>
        <v>0.2293</v>
      </c>
      <c r="J12" s="151">
        <f>Input!J17</f>
        <v>0.2293</v>
      </c>
      <c r="K12" s="151">
        <f>Input!K17</f>
        <v>0.59499999999999997</v>
      </c>
      <c r="L12" s="151">
        <f>Input!L17</f>
        <v>0.58030000000000004</v>
      </c>
      <c r="M12" s="152"/>
      <c r="N12" s="153"/>
      <c r="O12" s="154">
        <f t="shared" si="1"/>
        <v>0.48970000000000002</v>
      </c>
      <c r="P12" s="154">
        <f t="shared" si="1"/>
        <v>0.48170000000000002</v>
      </c>
      <c r="Q12" s="154">
        <f t="shared" si="1"/>
        <v>0.48329999999999995</v>
      </c>
      <c r="R12" s="154">
        <f t="shared" si="1"/>
        <v>0.53269999999999995</v>
      </c>
      <c r="S12" s="154">
        <f t="shared" si="1"/>
        <v>0.53269999999999995</v>
      </c>
      <c r="T12" s="154">
        <f t="shared" si="1"/>
        <v>0.49170000000000003</v>
      </c>
      <c r="U12" s="154">
        <f t="shared" si="1"/>
        <v>0.77069999999999994</v>
      </c>
      <c r="V12" s="154">
        <f t="shared" si="1"/>
        <v>0.77069999999999994</v>
      </c>
      <c r="W12" s="154">
        <f t="shared" si="1"/>
        <v>0.40500000000000003</v>
      </c>
      <c r="X12" s="154">
        <f t="shared" si="1"/>
        <v>0.41969999999999996</v>
      </c>
    </row>
    <row r="13" spans="1:24" x14ac:dyDescent="0.2">
      <c r="A13" s="144"/>
      <c r="B13" s="150" t="s">
        <v>23</v>
      </c>
      <c r="C13" s="151">
        <f>Input!C18</f>
        <v>0.46800000000000003</v>
      </c>
      <c r="D13" s="151">
        <f>Input!D18</f>
        <v>0.48470000000000002</v>
      </c>
      <c r="E13" s="151">
        <f>Input!E18</f>
        <v>0.48270000000000002</v>
      </c>
      <c r="F13" s="151">
        <f>Input!F18</f>
        <v>0.42030000000000001</v>
      </c>
      <c r="G13" s="151">
        <f>Input!G18</f>
        <v>0.42030000000000001</v>
      </c>
      <c r="H13" s="151">
        <f>Input!H18</f>
        <v>0.54269999999999996</v>
      </c>
      <c r="I13" s="151">
        <f>Input!I18</f>
        <v>0.20200000000000001</v>
      </c>
      <c r="J13" s="151">
        <f>Input!J18</f>
        <v>0.20200000000000001</v>
      </c>
      <c r="K13" s="151">
        <f>Input!K18</f>
        <v>0.56699999999999995</v>
      </c>
      <c r="L13" s="151">
        <f>Input!L18</f>
        <v>0.55300000000000005</v>
      </c>
      <c r="M13" s="152"/>
      <c r="N13" s="153"/>
      <c r="O13" s="154">
        <f t="shared" si="1"/>
        <v>0.53200000000000003</v>
      </c>
      <c r="P13" s="154">
        <f t="shared" si="1"/>
        <v>0.51529999999999998</v>
      </c>
      <c r="Q13" s="154">
        <f t="shared" si="1"/>
        <v>0.51729999999999998</v>
      </c>
      <c r="R13" s="154">
        <f t="shared" si="1"/>
        <v>0.57969999999999999</v>
      </c>
      <c r="S13" s="154">
        <f t="shared" si="1"/>
        <v>0.57969999999999999</v>
      </c>
      <c r="T13" s="154">
        <f t="shared" si="1"/>
        <v>0.45730000000000004</v>
      </c>
      <c r="U13" s="154">
        <f t="shared" si="1"/>
        <v>0.79800000000000004</v>
      </c>
      <c r="V13" s="154">
        <f t="shared" si="1"/>
        <v>0.79800000000000004</v>
      </c>
      <c r="W13" s="154">
        <f t="shared" si="1"/>
        <v>0.43300000000000005</v>
      </c>
      <c r="X13" s="154">
        <f t="shared" si="1"/>
        <v>0.44699999999999995</v>
      </c>
    </row>
    <row r="14" spans="1:24" x14ac:dyDescent="0.2">
      <c r="A14" s="144"/>
      <c r="B14" s="150" t="s">
        <v>24</v>
      </c>
      <c r="C14" s="151">
        <f>Input!C19</f>
        <v>0.53369999999999995</v>
      </c>
      <c r="D14" s="151">
        <f>Input!D19</f>
        <v>0.54330000000000001</v>
      </c>
      <c r="E14" s="151">
        <f>Input!E19</f>
        <v>0.55430000000000001</v>
      </c>
      <c r="F14" s="151">
        <f>Input!F19</f>
        <v>0.46899999999999997</v>
      </c>
      <c r="G14" s="151">
        <f>Input!G19</f>
        <v>0.46899999999999997</v>
      </c>
      <c r="H14" s="151">
        <f>Input!H19</f>
        <v>0.64170000000000005</v>
      </c>
      <c r="I14" s="151">
        <f>Input!I19</f>
        <v>0.20369999999999999</v>
      </c>
      <c r="J14" s="151">
        <f>Input!J19</f>
        <v>0.20369999999999999</v>
      </c>
      <c r="K14" s="151">
        <f>Input!K19</f>
        <v>0.61429999999999996</v>
      </c>
      <c r="L14" s="151">
        <f>Input!L19</f>
        <v>0.59</v>
      </c>
      <c r="M14" s="152"/>
      <c r="N14" s="153"/>
      <c r="O14" s="154">
        <f t="shared" si="1"/>
        <v>0.46630000000000005</v>
      </c>
      <c r="P14" s="154">
        <f t="shared" si="1"/>
        <v>0.45669999999999999</v>
      </c>
      <c r="Q14" s="154">
        <f t="shared" si="1"/>
        <v>0.44569999999999999</v>
      </c>
      <c r="R14" s="154">
        <f t="shared" si="1"/>
        <v>0.53100000000000003</v>
      </c>
      <c r="S14" s="154">
        <f t="shared" si="1"/>
        <v>0.53100000000000003</v>
      </c>
      <c r="T14" s="154">
        <f t="shared" si="1"/>
        <v>0.35829999999999995</v>
      </c>
      <c r="U14" s="154">
        <f t="shared" si="1"/>
        <v>0.79630000000000001</v>
      </c>
      <c r="V14" s="154">
        <f t="shared" si="1"/>
        <v>0.79630000000000001</v>
      </c>
      <c r="W14" s="154">
        <f t="shared" si="1"/>
        <v>0.38570000000000004</v>
      </c>
      <c r="X14" s="154">
        <f t="shared" si="1"/>
        <v>0.41000000000000003</v>
      </c>
    </row>
    <row r="15" spans="1:24" x14ac:dyDescent="0.2">
      <c r="A15" s="144"/>
      <c r="B15" s="150" t="s">
        <v>25</v>
      </c>
      <c r="C15" s="151">
        <f>Input!C20</f>
        <v>0.52829999999999999</v>
      </c>
      <c r="D15" s="151">
        <f>Input!D20</f>
        <v>0.5353</v>
      </c>
      <c r="E15" s="151">
        <f>Input!E20</f>
        <v>0.54930000000000001</v>
      </c>
      <c r="F15" s="151">
        <f>Input!F20</f>
        <v>0.47799999999999998</v>
      </c>
      <c r="G15" s="151">
        <f>Input!G20</f>
        <v>0.47799999999999998</v>
      </c>
      <c r="H15" s="151">
        <f>Input!H20</f>
        <v>0.64400000000000002</v>
      </c>
      <c r="I15" s="151">
        <f>Input!I20</f>
        <v>0.1953</v>
      </c>
      <c r="J15" s="151">
        <f>Input!J20</f>
        <v>0.1953</v>
      </c>
      <c r="K15" s="151">
        <f>Input!K20</f>
        <v>0.6</v>
      </c>
      <c r="L15" s="151">
        <f>Input!L20</f>
        <v>0.56699999999999995</v>
      </c>
      <c r="M15" s="152"/>
      <c r="N15" s="153"/>
      <c r="O15" s="154">
        <f t="shared" si="1"/>
        <v>0.47170000000000001</v>
      </c>
      <c r="P15" s="154">
        <f t="shared" si="1"/>
        <v>0.4647</v>
      </c>
      <c r="Q15" s="154">
        <f t="shared" si="1"/>
        <v>0.45069999999999999</v>
      </c>
      <c r="R15" s="154">
        <f t="shared" si="1"/>
        <v>0.52200000000000002</v>
      </c>
      <c r="S15" s="154">
        <f t="shared" si="1"/>
        <v>0.52200000000000002</v>
      </c>
      <c r="T15" s="154">
        <f t="shared" si="1"/>
        <v>0.35599999999999998</v>
      </c>
      <c r="U15" s="154">
        <f t="shared" si="1"/>
        <v>0.80469999999999997</v>
      </c>
      <c r="V15" s="154">
        <f t="shared" si="1"/>
        <v>0.80469999999999997</v>
      </c>
      <c r="W15" s="154">
        <f t="shared" si="1"/>
        <v>0.4</v>
      </c>
      <c r="X15" s="154">
        <f t="shared" si="1"/>
        <v>0.43300000000000005</v>
      </c>
    </row>
    <row r="16" spans="1:24" x14ac:dyDescent="0.2">
      <c r="A16" s="144"/>
      <c r="B16" s="150" t="s">
        <v>26</v>
      </c>
      <c r="C16" s="151">
        <f>Input!C21</f>
        <v>0.51300000000000001</v>
      </c>
      <c r="D16" s="151">
        <f>Input!D21</f>
        <v>0.52600000000000002</v>
      </c>
      <c r="E16" s="151">
        <f>Input!E21</f>
        <v>0.5373</v>
      </c>
      <c r="F16" s="151">
        <f>Input!F21</f>
        <v>0.50370000000000004</v>
      </c>
      <c r="G16" s="151">
        <f>Input!G21</f>
        <v>0.50370000000000004</v>
      </c>
      <c r="H16" s="151">
        <f>Input!H21</f>
        <v>0.63270000000000004</v>
      </c>
      <c r="I16" s="151">
        <f>Input!I21</f>
        <v>0.21199999999999999</v>
      </c>
      <c r="J16" s="151">
        <f>Input!J21</f>
        <v>0.21199999999999999</v>
      </c>
      <c r="K16" s="151">
        <f>Input!K21</f>
        <v>0.59530000000000005</v>
      </c>
      <c r="L16" s="151">
        <f>Input!L21</f>
        <v>0.56069999999999998</v>
      </c>
      <c r="M16" s="152"/>
      <c r="N16" s="153"/>
      <c r="O16" s="154">
        <f t="shared" si="1"/>
        <v>0.48699999999999999</v>
      </c>
      <c r="P16" s="154">
        <f t="shared" si="1"/>
        <v>0.47399999999999998</v>
      </c>
      <c r="Q16" s="154">
        <f t="shared" si="1"/>
        <v>0.4627</v>
      </c>
      <c r="R16" s="154">
        <f t="shared" si="1"/>
        <v>0.49629999999999996</v>
      </c>
      <c r="S16" s="154">
        <f t="shared" si="1"/>
        <v>0.49629999999999996</v>
      </c>
      <c r="T16" s="154">
        <f t="shared" si="1"/>
        <v>0.36729999999999996</v>
      </c>
      <c r="U16" s="154">
        <f t="shared" si="1"/>
        <v>0.78800000000000003</v>
      </c>
      <c r="V16" s="154">
        <f t="shared" si="1"/>
        <v>0.78800000000000003</v>
      </c>
      <c r="W16" s="154">
        <f t="shared" si="1"/>
        <v>0.40469999999999995</v>
      </c>
      <c r="X16" s="154">
        <f t="shared" si="1"/>
        <v>0.43930000000000002</v>
      </c>
    </row>
    <row r="17" spans="1:24" x14ac:dyDescent="0.2">
      <c r="A17" s="144"/>
      <c r="B17" s="150" t="s">
        <v>27</v>
      </c>
      <c r="C17" s="151">
        <f>Input!C22</f>
        <v>0.502</v>
      </c>
      <c r="D17" s="151">
        <f>Input!D22</f>
        <v>0.52070000000000005</v>
      </c>
      <c r="E17" s="151">
        <f>Input!E22</f>
        <v>0.52500000000000002</v>
      </c>
      <c r="F17" s="151">
        <f>Input!F22</f>
        <v>0.48970000000000002</v>
      </c>
      <c r="G17" s="151">
        <f>Input!G22</f>
        <v>0.48970000000000002</v>
      </c>
      <c r="H17" s="151">
        <f>Input!H22</f>
        <v>0.63100000000000001</v>
      </c>
      <c r="I17" s="151">
        <f>Input!I22</f>
        <v>0.23769999999999999</v>
      </c>
      <c r="J17" s="151">
        <f>Input!J22</f>
        <v>0.23769999999999999</v>
      </c>
      <c r="K17" s="151">
        <f>Input!K22</f>
        <v>0.59699999999999998</v>
      </c>
      <c r="L17" s="151">
        <f>Input!L22</f>
        <v>0.56830000000000003</v>
      </c>
      <c r="M17" s="152"/>
      <c r="N17" s="153"/>
      <c r="O17" s="154">
        <f t="shared" si="1"/>
        <v>0.498</v>
      </c>
      <c r="P17" s="154">
        <f t="shared" si="1"/>
        <v>0.47929999999999995</v>
      </c>
      <c r="Q17" s="154">
        <f t="shared" si="1"/>
        <v>0.47499999999999998</v>
      </c>
      <c r="R17" s="154">
        <f t="shared" si="1"/>
        <v>0.51029999999999998</v>
      </c>
      <c r="S17" s="154">
        <f t="shared" si="1"/>
        <v>0.51029999999999998</v>
      </c>
      <c r="T17" s="154">
        <f t="shared" si="1"/>
        <v>0.36899999999999999</v>
      </c>
      <c r="U17" s="154">
        <f t="shared" si="1"/>
        <v>0.76229999999999998</v>
      </c>
      <c r="V17" s="154">
        <f t="shared" si="1"/>
        <v>0.76229999999999998</v>
      </c>
      <c r="W17" s="154">
        <f t="shared" si="1"/>
        <v>0.40300000000000002</v>
      </c>
      <c r="X17" s="154">
        <f t="shared" si="1"/>
        <v>0.43169999999999997</v>
      </c>
    </row>
    <row r="18" spans="1:24" x14ac:dyDescent="0.2">
      <c r="A18" s="144"/>
      <c r="B18" s="150" t="s">
        <v>28</v>
      </c>
      <c r="C18" s="151">
        <f>Input!C23</f>
        <v>0.50070000000000003</v>
      </c>
      <c r="D18" s="151">
        <f>Input!D23</f>
        <v>0.51670000000000005</v>
      </c>
      <c r="E18" s="151">
        <f>Input!E23</f>
        <v>0.52100000000000002</v>
      </c>
      <c r="F18" s="151">
        <f>Input!F23</f>
        <v>0.504</v>
      </c>
      <c r="G18" s="151">
        <f>Input!G23</f>
        <v>0.504</v>
      </c>
      <c r="H18" s="151">
        <f>Input!H23</f>
        <v>0.57230000000000003</v>
      </c>
      <c r="I18" s="151">
        <f>Input!I23</f>
        <v>0.2697</v>
      </c>
      <c r="J18" s="151">
        <f>Input!J23</f>
        <v>0.2697</v>
      </c>
      <c r="K18" s="151">
        <f>Input!K23</f>
        <v>0.59870000000000001</v>
      </c>
      <c r="L18" s="151">
        <f>Input!L23</f>
        <v>0.57669999999999999</v>
      </c>
      <c r="M18" s="152"/>
      <c r="N18" s="153"/>
      <c r="O18" s="154">
        <f t="shared" si="1"/>
        <v>0.49929999999999997</v>
      </c>
      <c r="P18" s="154">
        <f t="shared" si="1"/>
        <v>0.48329999999999995</v>
      </c>
      <c r="Q18" s="154">
        <f t="shared" si="1"/>
        <v>0.47899999999999998</v>
      </c>
      <c r="R18" s="154">
        <f t="shared" si="1"/>
        <v>0.496</v>
      </c>
      <c r="S18" s="154">
        <f t="shared" si="1"/>
        <v>0.496</v>
      </c>
      <c r="T18" s="154">
        <f t="shared" si="1"/>
        <v>0.42769999999999997</v>
      </c>
      <c r="U18" s="154">
        <f t="shared" si="1"/>
        <v>0.73029999999999995</v>
      </c>
      <c r="V18" s="154">
        <f t="shared" si="1"/>
        <v>0.73029999999999995</v>
      </c>
      <c r="W18" s="154">
        <f t="shared" si="1"/>
        <v>0.40129999999999999</v>
      </c>
      <c r="X18" s="154">
        <f t="shared" si="1"/>
        <v>0.42330000000000001</v>
      </c>
    </row>
    <row r="19" spans="1:24" x14ac:dyDescent="0.2">
      <c r="A19" s="144"/>
      <c r="B19" s="150" t="s">
        <v>29</v>
      </c>
      <c r="C19" s="151">
        <f>Input!C24</f>
        <v>0.45669999999999999</v>
      </c>
      <c r="D19" s="151">
        <f>Input!D24</f>
        <v>0.45469999999999999</v>
      </c>
      <c r="E19" s="151">
        <f>Input!E24</f>
        <v>0.47970000000000002</v>
      </c>
      <c r="F19" s="151">
        <f>Input!F24</f>
        <v>0.42399999999999999</v>
      </c>
      <c r="G19" s="151">
        <f>Input!G24</f>
        <v>0.42399999999999999</v>
      </c>
      <c r="H19" s="151">
        <f>Input!H24</f>
        <v>0.47070000000000001</v>
      </c>
      <c r="I19" s="151">
        <f>Input!I24</f>
        <v>0.29799999999999999</v>
      </c>
      <c r="J19" s="151">
        <f>Input!J24</f>
        <v>0.29799999999999999</v>
      </c>
      <c r="K19" s="151">
        <f>Input!K24</f>
        <v>0.55469999999999997</v>
      </c>
      <c r="L19" s="151">
        <f>Input!L24</f>
        <v>0.5333</v>
      </c>
      <c r="M19" s="152"/>
      <c r="N19" s="153"/>
      <c r="O19" s="154">
        <f t="shared" si="1"/>
        <v>0.54330000000000001</v>
      </c>
      <c r="P19" s="154">
        <f t="shared" si="1"/>
        <v>0.54530000000000001</v>
      </c>
      <c r="Q19" s="154">
        <f t="shared" si="1"/>
        <v>0.52029999999999998</v>
      </c>
      <c r="R19" s="154">
        <f t="shared" si="1"/>
        <v>0.57600000000000007</v>
      </c>
      <c r="S19" s="154">
        <f t="shared" si="1"/>
        <v>0.57600000000000007</v>
      </c>
      <c r="T19" s="154">
        <f t="shared" si="1"/>
        <v>0.52929999999999999</v>
      </c>
      <c r="U19" s="154">
        <f t="shared" si="1"/>
        <v>0.70199999999999996</v>
      </c>
      <c r="V19" s="154">
        <f t="shared" si="1"/>
        <v>0.70199999999999996</v>
      </c>
      <c r="W19" s="154">
        <f t="shared" si="1"/>
        <v>0.44530000000000003</v>
      </c>
      <c r="X19" s="154">
        <f t="shared" si="1"/>
        <v>0.4667</v>
      </c>
    </row>
    <row r="20" spans="1:24" x14ac:dyDescent="0.2">
      <c r="A20" s="144"/>
      <c r="B20" s="150" t="s">
        <v>30</v>
      </c>
      <c r="C20" s="151">
        <f>Input!C25</f>
        <v>0.49230000000000002</v>
      </c>
      <c r="D20" s="151">
        <f>Input!D25</f>
        <v>0.49170000000000003</v>
      </c>
      <c r="E20" s="151">
        <f>Input!E25</f>
        <v>0.51270000000000004</v>
      </c>
      <c r="F20" s="151">
        <f>Input!F25</f>
        <v>0.45500000000000002</v>
      </c>
      <c r="G20" s="151">
        <f>Input!G25</f>
        <v>0.45500000000000002</v>
      </c>
      <c r="H20" s="151">
        <f>Input!H25</f>
        <v>0.49730000000000002</v>
      </c>
      <c r="I20" s="151">
        <f>Input!I25</f>
        <v>0.318</v>
      </c>
      <c r="J20" s="151">
        <f>Input!J25</f>
        <v>0.318</v>
      </c>
      <c r="K20" s="151">
        <f>Input!K25</f>
        <v>0.57399999999999995</v>
      </c>
      <c r="L20" s="151">
        <f>Input!L25</f>
        <v>0.54830000000000001</v>
      </c>
      <c r="M20" s="152"/>
      <c r="N20" s="153"/>
      <c r="O20" s="154">
        <f t="shared" si="1"/>
        <v>0.50770000000000004</v>
      </c>
      <c r="P20" s="154">
        <f t="shared" si="1"/>
        <v>0.50829999999999997</v>
      </c>
      <c r="Q20" s="154">
        <f t="shared" si="1"/>
        <v>0.48729999999999996</v>
      </c>
      <c r="R20" s="154">
        <f t="shared" si="1"/>
        <v>0.54499999999999993</v>
      </c>
      <c r="S20" s="154">
        <f t="shared" si="1"/>
        <v>0.54499999999999993</v>
      </c>
      <c r="T20" s="154">
        <f t="shared" si="1"/>
        <v>0.50269999999999992</v>
      </c>
      <c r="U20" s="154">
        <f t="shared" si="1"/>
        <v>0.68199999999999994</v>
      </c>
      <c r="V20" s="154">
        <f t="shared" si="1"/>
        <v>0.68199999999999994</v>
      </c>
      <c r="W20" s="154">
        <f t="shared" si="1"/>
        <v>0.42600000000000005</v>
      </c>
      <c r="X20" s="154">
        <f t="shared" si="1"/>
        <v>0.45169999999999999</v>
      </c>
    </row>
    <row r="21" spans="1:24" x14ac:dyDescent="0.2">
      <c r="A21" s="144"/>
      <c r="B21" s="150"/>
      <c r="C21" s="153"/>
      <c r="D21" s="153"/>
      <c r="E21" s="153"/>
      <c r="F21" s="153"/>
      <c r="G21" s="153"/>
      <c r="H21" s="153"/>
      <c r="I21" s="153"/>
      <c r="J21" s="153"/>
      <c r="K21" s="153"/>
      <c r="L21" s="153"/>
      <c r="M21" s="153"/>
      <c r="N21" s="153"/>
      <c r="O21" s="154"/>
      <c r="P21" s="154"/>
      <c r="Q21" s="154"/>
      <c r="R21" s="154"/>
      <c r="S21" s="154"/>
      <c r="T21" s="154"/>
      <c r="U21" s="154"/>
      <c r="V21" s="154"/>
      <c r="W21" s="154"/>
      <c r="X21" s="154"/>
    </row>
    <row r="22" spans="1:24" x14ac:dyDescent="0.2">
      <c r="A22" s="144"/>
      <c r="B22" s="150"/>
      <c r="C22" s="153"/>
      <c r="D22" s="153"/>
      <c r="E22" s="140" t="str">
        <f>+Input!E9</f>
        <v>Based on average of year 2014,2015 &amp; 2016 Load Profile Information</v>
      </c>
      <c r="K22" s="153"/>
      <c r="L22" s="153"/>
      <c r="M22" s="153"/>
      <c r="N22" s="153"/>
      <c r="O22" s="154"/>
      <c r="P22" s="154"/>
      <c r="Q22" s="154"/>
      <c r="R22" s="154"/>
      <c r="S22" s="154"/>
      <c r="T22" s="154"/>
      <c r="U22" s="154"/>
      <c r="V22" s="154"/>
      <c r="W22" s="154"/>
      <c r="X22" s="154"/>
    </row>
    <row r="23" spans="1:24" x14ac:dyDescent="0.2">
      <c r="A23" s="141" t="s">
        <v>31</v>
      </c>
      <c r="B23" s="142" t="s">
        <v>32</v>
      </c>
      <c r="C23" s="153"/>
      <c r="D23" s="153"/>
      <c r="E23" s="155" t="str">
        <f>Input!E28</f>
        <v>On-Peak periods as defined in specified rate schedule (average of %s for 2014, 2015 &amp; 2016)</v>
      </c>
      <c r="G23" s="153"/>
      <c r="H23" s="153"/>
      <c r="I23" s="156"/>
      <c r="J23" s="156"/>
      <c r="K23" s="153"/>
      <c r="L23" s="153"/>
      <c r="M23" s="153"/>
      <c r="N23" s="153"/>
      <c r="O23" s="154"/>
      <c r="P23" s="154"/>
      <c r="Q23" s="154"/>
      <c r="R23" s="154"/>
      <c r="S23" s="154"/>
      <c r="T23" s="154"/>
      <c r="U23" s="154"/>
      <c r="V23" s="154"/>
      <c r="W23" s="154"/>
      <c r="X23" s="154"/>
    </row>
    <row r="24" spans="1:24" ht="25.5" x14ac:dyDescent="0.2">
      <c r="A24" s="144"/>
      <c r="C24" s="145" t="s">
        <v>100</v>
      </c>
      <c r="D24" s="145" t="s">
        <v>100</v>
      </c>
      <c r="E24" s="145" t="s">
        <v>6</v>
      </c>
      <c r="F24" s="145" t="s">
        <v>100</v>
      </c>
      <c r="G24" s="145" t="s">
        <v>100</v>
      </c>
      <c r="H24" s="145" t="s">
        <v>100</v>
      </c>
      <c r="I24" s="145" t="s">
        <v>100</v>
      </c>
      <c r="J24" s="145" t="s">
        <v>100</v>
      </c>
      <c r="K24" s="145" t="s">
        <v>100</v>
      </c>
      <c r="L24" s="145" t="s">
        <v>6</v>
      </c>
      <c r="M24" s="145"/>
      <c r="N24" s="140"/>
      <c r="O24" s="145" t="s">
        <v>100</v>
      </c>
      <c r="P24" s="145" t="s">
        <v>100</v>
      </c>
      <c r="Q24" s="145" t="s">
        <v>101</v>
      </c>
      <c r="R24" s="145" t="s">
        <v>100</v>
      </c>
      <c r="S24" s="145" t="s">
        <v>100</v>
      </c>
      <c r="T24" s="145" t="s">
        <v>100</v>
      </c>
      <c r="U24" s="145" t="s">
        <v>100</v>
      </c>
      <c r="V24" s="145" t="s">
        <v>100</v>
      </c>
      <c r="W24" s="145" t="s">
        <v>100</v>
      </c>
      <c r="X24" s="145" t="s">
        <v>101</v>
      </c>
    </row>
    <row r="25" spans="1:24" x14ac:dyDescent="0.2">
      <c r="A25" s="144"/>
      <c r="B25" s="147" t="s">
        <v>8</v>
      </c>
      <c r="C25" s="136" t="str">
        <f>+C7</f>
        <v>RS</v>
      </c>
      <c r="D25" s="136" t="str">
        <f t="shared" ref="D25:L25" si="2">+D7</f>
        <v>RHS</v>
      </c>
      <c r="E25" s="136" t="str">
        <f t="shared" si="2"/>
        <v>RLM</v>
      </c>
      <c r="F25" s="136" t="str">
        <f t="shared" si="2"/>
        <v>WH</v>
      </c>
      <c r="G25" s="136" t="str">
        <f t="shared" si="2"/>
        <v>WHS</v>
      </c>
      <c r="H25" s="136" t="str">
        <f t="shared" si="2"/>
        <v>HS</v>
      </c>
      <c r="I25" s="136" t="str">
        <f t="shared" si="2"/>
        <v>PSAL</v>
      </c>
      <c r="J25" s="136" t="str">
        <f t="shared" si="2"/>
        <v>BPL</v>
      </c>
      <c r="K25" s="136" t="str">
        <f t="shared" si="2"/>
        <v>GLP</v>
      </c>
      <c r="L25" s="136" t="str">
        <f t="shared" si="2"/>
        <v>LPL-S</v>
      </c>
      <c r="M25" s="136"/>
      <c r="N25" s="149"/>
      <c r="O25" s="136" t="str">
        <f>+C7</f>
        <v>RS</v>
      </c>
      <c r="P25" s="136" t="str">
        <f t="shared" ref="P25:X25" si="3">+D7</f>
        <v>RHS</v>
      </c>
      <c r="Q25" s="136" t="str">
        <f t="shared" si="3"/>
        <v>RLM</v>
      </c>
      <c r="R25" s="136" t="str">
        <f t="shared" si="3"/>
        <v>WH</v>
      </c>
      <c r="S25" s="136" t="str">
        <f t="shared" si="3"/>
        <v>WHS</v>
      </c>
      <c r="T25" s="136" t="str">
        <f t="shared" si="3"/>
        <v>HS</v>
      </c>
      <c r="U25" s="136" t="str">
        <f t="shared" si="3"/>
        <v>PSAL</v>
      </c>
      <c r="V25" s="136" t="str">
        <f t="shared" si="3"/>
        <v>BPL</v>
      </c>
      <c r="W25" s="136" t="str">
        <f t="shared" si="3"/>
        <v>GLP</v>
      </c>
      <c r="X25" s="136" t="str">
        <f t="shared" si="3"/>
        <v>LPL-S</v>
      </c>
    </row>
    <row r="26" spans="1:24" x14ac:dyDescent="0.2">
      <c r="A26" s="144"/>
      <c r="O26" s="137"/>
      <c r="P26" s="137"/>
      <c r="Q26" s="137"/>
      <c r="R26" s="137"/>
      <c r="S26" s="137"/>
      <c r="T26" s="137"/>
      <c r="U26" s="137"/>
      <c r="V26" s="137"/>
      <c r="W26" s="137"/>
      <c r="X26" s="137"/>
    </row>
    <row r="27" spans="1:24" x14ac:dyDescent="0.2">
      <c r="A27" s="144"/>
      <c r="B27" s="150" t="s">
        <v>19</v>
      </c>
      <c r="C27" s="157">
        <v>0</v>
      </c>
      <c r="D27" s="157">
        <v>0</v>
      </c>
      <c r="E27" s="157">
        <f>Input!C32</f>
        <v>0.43409999999999999</v>
      </c>
      <c r="F27" s="157">
        <v>0</v>
      </c>
      <c r="G27" s="157">
        <v>0</v>
      </c>
      <c r="H27" s="157">
        <v>0</v>
      </c>
      <c r="I27" s="157">
        <v>0</v>
      </c>
      <c r="J27" s="157">
        <v>0</v>
      </c>
      <c r="K27" s="157">
        <v>0</v>
      </c>
      <c r="L27" s="157">
        <f>Input!D32</f>
        <v>0.48459999999999998</v>
      </c>
      <c r="M27" s="152"/>
      <c r="N27" s="153"/>
      <c r="O27" s="154"/>
      <c r="P27" s="154"/>
      <c r="Q27" s="154">
        <f t="shared" ref="Q27:Q38" si="4">1-E27</f>
        <v>0.56590000000000007</v>
      </c>
      <c r="R27" s="154"/>
      <c r="S27" s="154"/>
      <c r="T27" s="154"/>
      <c r="U27" s="154"/>
      <c r="V27" s="154"/>
      <c r="W27" s="154"/>
      <c r="X27" s="154">
        <f t="shared" ref="X27:X38" si="5">1-L27</f>
        <v>0.51540000000000008</v>
      </c>
    </row>
    <row r="28" spans="1:24" x14ac:dyDescent="0.2">
      <c r="A28" s="144"/>
      <c r="B28" s="150" t="s">
        <v>20</v>
      </c>
      <c r="C28" s="157">
        <v>0</v>
      </c>
      <c r="D28" s="157">
        <v>0</v>
      </c>
      <c r="E28" s="157">
        <f>Input!C33</f>
        <v>0.42659999999999998</v>
      </c>
      <c r="F28" s="157">
        <v>0</v>
      </c>
      <c r="G28" s="157">
        <v>0</v>
      </c>
      <c r="H28" s="157">
        <v>0</v>
      </c>
      <c r="I28" s="157">
        <v>0</v>
      </c>
      <c r="J28" s="157">
        <v>0</v>
      </c>
      <c r="K28" s="157">
        <v>0</v>
      </c>
      <c r="L28" s="157">
        <f>Input!D33</f>
        <v>0.48249999999999998</v>
      </c>
      <c r="M28" s="152"/>
      <c r="N28" s="153"/>
      <c r="O28" s="154"/>
      <c r="P28" s="154"/>
      <c r="Q28" s="154">
        <f t="shared" si="4"/>
        <v>0.57340000000000002</v>
      </c>
      <c r="R28" s="154"/>
      <c r="S28" s="154"/>
      <c r="T28" s="154"/>
      <c r="U28" s="154"/>
      <c r="V28" s="154"/>
      <c r="W28" s="154"/>
      <c r="X28" s="154">
        <f t="shared" si="5"/>
        <v>0.51750000000000007</v>
      </c>
    </row>
    <row r="29" spans="1:24" x14ac:dyDescent="0.2">
      <c r="A29" s="144"/>
      <c r="B29" s="150" t="s">
        <v>21</v>
      </c>
      <c r="C29" s="157">
        <v>0</v>
      </c>
      <c r="D29" s="157">
        <v>0</v>
      </c>
      <c r="E29" s="157">
        <f>Input!C34</f>
        <v>0.41970000000000002</v>
      </c>
      <c r="F29" s="157">
        <v>0</v>
      </c>
      <c r="G29" s="157">
        <v>0</v>
      </c>
      <c r="H29" s="157">
        <v>0</v>
      </c>
      <c r="I29" s="157">
        <v>0</v>
      </c>
      <c r="J29" s="157">
        <v>0</v>
      </c>
      <c r="K29" s="157">
        <v>0</v>
      </c>
      <c r="L29" s="157">
        <f>Input!D34</f>
        <v>0.48480000000000001</v>
      </c>
      <c r="M29" s="152"/>
      <c r="N29" s="153"/>
      <c r="O29" s="154"/>
      <c r="P29" s="154"/>
      <c r="Q29" s="154">
        <f t="shared" si="4"/>
        <v>0.58030000000000004</v>
      </c>
      <c r="R29" s="154"/>
      <c r="S29" s="154"/>
      <c r="T29" s="154"/>
      <c r="U29" s="154"/>
      <c r="V29" s="154"/>
      <c r="W29" s="154"/>
      <c r="X29" s="154">
        <f t="shared" si="5"/>
        <v>0.51519999999999999</v>
      </c>
    </row>
    <row r="30" spans="1:24" x14ac:dyDescent="0.2">
      <c r="A30" s="144"/>
      <c r="B30" s="150" t="s">
        <v>22</v>
      </c>
      <c r="C30" s="157">
        <v>0</v>
      </c>
      <c r="D30" s="157">
        <v>0</v>
      </c>
      <c r="E30" s="157">
        <f>Input!C35</f>
        <v>0.42299999999999999</v>
      </c>
      <c r="F30" s="157">
        <v>0</v>
      </c>
      <c r="G30" s="157">
        <v>0</v>
      </c>
      <c r="H30" s="157">
        <v>0</v>
      </c>
      <c r="I30" s="157">
        <v>0</v>
      </c>
      <c r="J30" s="157">
        <v>0</v>
      </c>
      <c r="K30" s="157">
        <v>0</v>
      </c>
      <c r="L30" s="157">
        <f>Input!D35</f>
        <v>0.49020000000000002</v>
      </c>
      <c r="M30" s="152"/>
      <c r="N30" s="153"/>
      <c r="O30" s="154"/>
      <c r="P30" s="154"/>
      <c r="Q30" s="154">
        <f t="shared" si="4"/>
        <v>0.57699999999999996</v>
      </c>
      <c r="R30" s="154"/>
      <c r="S30" s="154"/>
      <c r="T30" s="154"/>
      <c r="U30" s="154"/>
      <c r="V30" s="154"/>
      <c r="W30" s="154"/>
      <c r="X30" s="154">
        <f t="shared" si="5"/>
        <v>0.50980000000000003</v>
      </c>
    </row>
    <row r="31" spans="1:24" x14ac:dyDescent="0.2">
      <c r="A31" s="144"/>
      <c r="B31" s="150" t="s">
        <v>23</v>
      </c>
      <c r="C31" s="157">
        <v>0</v>
      </c>
      <c r="D31" s="157">
        <v>0</v>
      </c>
      <c r="E31" s="157">
        <f>Input!C36</f>
        <v>0.44019999999999998</v>
      </c>
      <c r="F31" s="157">
        <v>0</v>
      </c>
      <c r="G31" s="157">
        <v>0</v>
      </c>
      <c r="H31" s="157">
        <v>0</v>
      </c>
      <c r="I31" s="157">
        <v>0</v>
      </c>
      <c r="J31" s="157">
        <v>0</v>
      </c>
      <c r="K31" s="157">
        <v>0</v>
      </c>
      <c r="L31" s="157">
        <f>Input!D36</f>
        <v>0.50590000000000002</v>
      </c>
      <c r="M31" s="152"/>
      <c r="N31" s="158"/>
      <c r="O31" s="154"/>
      <c r="P31" s="154"/>
      <c r="Q31" s="154">
        <f t="shared" si="4"/>
        <v>0.55980000000000008</v>
      </c>
      <c r="R31" s="154"/>
      <c r="S31" s="154"/>
      <c r="T31" s="154"/>
      <c r="U31" s="154"/>
      <c r="V31" s="154"/>
      <c r="W31" s="154"/>
      <c r="X31" s="154">
        <f t="shared" si="5"/>
        <v>0.49409999999999998</v>
      </c>
    </row>
    <row r="32" spans="1:24" x14ac:dyDescent="0.2">
      <c r="A32" s="144"/>
      <c r="B32" s="150" t="s">
        <v>24</v>
      </c>
      <c r="C32" s="157">
        <v>0</v>
      </c>
      <c r="D32" s="157">
        <v>0</v>
      </c>
      <c r="E32" s="157">
        <f>Input!C37</f>
        <v>0.46579999999999999</v>
      </c>
      <c r="F32" s="157">
        <v>0</v>
      </c>
      <c r="G32" s="157">
        <v>0</v>
      </c>
      <c r="H32" s="157">
        <v>0</v>
      </c>
      <c r="I32" s="157">
        <v>0</v>
      </c>
      <c r="J32" s="157">
        <v>0</v>
      </c>
      <c r="K32" s="157">
        <v>0</v>
      </c>
      <c r="L32" s="157">
        <f>Input!D37</f>
        <v>0.51170000000000004</v>
      </c>
      <c r="M32" s="152"/>
      <c r="N32" s="158"/>
      <c r="O32" s="154"/>
      <c r="P32" s="154"/>
      <c r="Q32" s="154">
        <f t="shared" si="4"/>
        <v>0.53420000000000001</v>
      </c>
      <c r="R32" s="154"/>
      <c r="S32" s="154"/>
      <c r="T32" s="154"/>
      <c r="U32" s="154"/>
      <c r="V32" s="154"/>
      <c r="W32" s="154"/>
      <c r="X32" s="154">
        <f t="shared" si="5"/>
        <v>0.48829999999999996</v>
      </c>
    </row>
    <row r="33" spans="1:32" x14ac:dyDescent="0.2">
      <c r="A33" s="144"/>
      <c r="B33" s="150" t="s">
        <v>25</v>
      </c>
      <c r="C33" s="157">
        <v>0</v>
      </c>
      <c r="D33" s="157">
        <v>0</v>
      </c>
      <c r="E33" s="157">
        <f>Input!C38</f>
        <v>0.4894</v>
      </c>
      <c r="F33" s="157">
        <v>0</v>
      </c>
      <c r="G33" s="157">
        <v>0</v>
      </c>
      <c r="H33" s="157">
        <v>0</v>
      </c>
      <c r="I33" s="157">
        <v>0</v>
      </c>
      <c r="J33" s="157">
        <v>0</v>
      </c>
      <c r="K33" s="157">
        <v>0</v>
      </c>
      <c r="L33" s="157">
        <f>Input!D38</f>
        <v>0.51300000000000001</v>
      </c>
      <c r="M33" s="152"/>
      <c r="N33" s="158"/>
      <c r="O33" s="154"/>
      <c r="P33" s="154"/>
      <c r="Q33" s="154">
        <f t="shared" si="4"/>
        <v>0.51059999999999994</v>
      </c>
      <c r="R33" s="154"/>
      <c r="S33" s="154"/>
      <c r="T33" s="154"/>
      <c r="U33" s="154"/>
      <c r="V33" s="154"/>
      <c r="W33" s="154"/>
      <c r="X33" s="154">
        <f t="shared" si="5"/>
        <v>0.48699999999999999</v>
      </c>
    </row>
    <row r="34" spans="1:32" x14ac:dyDescent="0.2">
      <c r="A34" s="144"/>
      <c r="B34" s="150" t="s">
        <v>26</v>
      </c>
      <c r="C34" s="157">
        <v>0</v>
      </c>
      <c r="D34" s="157">
        <v>0</v>
      </c>
      <c r="E34" s="157">
        <f>Input!C39</f>
        <v>0.48180000000000001</v>
      </c>
      <c r="F34" s="157">
        <v>0</v>
      </c>
      <c r="G34" s="157">
        <v>0</v>
      </c>
      <c r="H34" s="157">
        <v>0</v>
      </c>
      <c r="I34" s="157">
        <v>0</v>
      </c>
      <c r="J34" s="157">
        <v>0</v>
      </c>
      <c r="K34" s="157">
        <v>0</v>
      </c>
      <c r="L34" s="157">
        <f>Input!D39</f>
        <v>0.50580000000000003</v>
      </c>
      <c r="M34" s="152"/>
      <c r="N34" s="158"/>
      <c r="O34" s="154"/>
      <c r="P34" s="154"/>
      <c r="Q34" s="154">
        <f t="shared" si="4"/>
        <v>0.51819999999999999</v>
      </c>
      <c r="R34" s="154"/>
      <c r="S34" s="154"/>
      <c r="T34" s="154"/>
      <c r="U34" s="154"/>
      <c r="V34" s="154"/>
      <c r="W34" s="154"/>
      <c r="X34" s="154">
        <f t="shared" si="5"/>
        <v>0.49419999999999997</v>
      </c>
    </row>
    <row r="35" spans="1:32" x14ac:dyDescent="0.2">
      <c r="A35" s="144"/>
      <c r="B35" s="150" t="s">
        <v>27</v>
      </c>
      <c r="C35" s="157">
        <v>0</v>
      </c>
      <c r="D35" s="157">
        <v>0</v>
      </c>
      <c r="E35" s="157">
        <f>Input!C40</f>
        <v>0.48480000000000001</v>
      </c>
      <c r="F35" s="157">
        <v>0</v>
      </c>
      <c r="G35" s="157">
        <v>0</v>
      </c>
      <c r="H35" s="157">
        <v>0</v>
      </c>
      <c r="I35" s="157">
        <v>0</v>
      </c>
      <c r="J35" s="157">
        <v>0</v>
      </c>
      <c r="K35" s="157">
        <v>0</v>
      </c>
      <c r="L35" s="157">
        <f>Input!D40</f>
        <v>0.50839999999999996</v>
      </c>
      <c r="M35" s="152"/>
      <c r="N35" s="158"/>
      <c r="O35" s="154"/>
      <c r="P35" s="154"/>
      <c r="Q35" s="154">
        <f t="shared" si="4"/>
        <v>0.51519999999999999</v>
      </c>
      <c r="R35" s="154"/>
      <c r="S35" s="154"/>
      <c r="T35" s="154"/>
      <c r="U35" s="154"/>
      <c r="V35" s="154"/>
      <c r="W35" s="154"/>
      <c r="X35" s="154">
        <f t="shared" si="5"/>
        <v>0.49160000000000004</v>
      </c>
    </row>
    <row r="36" spans="1:32" x14ac:dyDescent="0.2">
      <c r="A36" s="144"/>
      <c r="B36" s="150" t="s">
        <v>28</v>
      </c>
      <c r="C36" s="157">
        <v>0</v>
      </c>
      <c r="D36" s="157">
        <v>0</v>
      </c>
      <c r="E36" s="157">
        <f>Input!C41</f>
        <v>0.45929999999999999</v>
      </c>
      <c r="F36" s="157">
        <v>0</v>
      </c>
      <c r="G36" s="157">
        <v>0</v>
      </c>
      <c r="H36" s="157">
        <v>0</v>
      </c>
      <c r="I36" s="157">
        <v>0</v>
      </c>
      <c r="J36" s="157">
        <v>0</v>
      </c>
      <c r="K36" s="157">
        <v>0</v>
      </c>
      <c r="L36" s="157">
        <f>Input!D41</f>
        <v>0.51300000000000001</v>
      </c>
      <c r="M36" s="152"/>
      <c r="N36" s="158"/>
      <c r="O36" s="154"/>
      <c r="P36" s="154"/>
      <c r="Q36" s="154">
        <f t="shared" si="4"/>
        <v>0.54069999999999996</v>
      </c>
      <c r="R36" s="154"/>
      <c r="S36" s="154"/>
      <c r="T36" s="154"/>
      <c r="U36" s="154"/>
      <c r="V36" s="154"/>
      <c r="W36" s="154"/>
      <c r="X36" s="154">
        <f t="shared" si="5"/>
        <v>0.48699999999999999</v>
      </c>
    </row>
    <row r="37" spans="1:32" x14ac:dyDescent="0.2">
      <c r="A37" s="144"/>
      <c r="B37" s="150" t="s">
        <v>29</v>
      </c>
      <c r="C37" s="157">
        <v>0</v>
      </c>
      <c r="D37" s="157">
        <v>0</v>
      </c>
      <c r="E37" s="157">
        <f>Input!C42</f>
        <v>0.43580000000000002</v>
      </c>
      <c r="F37" s="157">
        <v>0</v>
      </c>
      <c r="G37" s="157">
        <v>0</v>
      </c>
      <c r="H37" s="157">
        <v>0</v>
      </c>
      <c r="I37" s="157">
        <v>0</v>
      </c>
      <c r="J37" s="157">
        <v>0</v>
      </c>
      <c r="K37" s="157">
        <v>0</v>
      </c>
      <c r="L37" s="157">
        <f>Input!D42</f>
        <v>0.50390000000000001</v>
      </c>
      <c r="M37" s="152"/>
      <c r="N37" s="158"/>
      <c r="O37" s="154"/>
      <c r="P37" s="154"/>
      <c r="Q37" s="154">
        <f t="shared" si="4"/>
        <v>0.56420000000000003</v>
      </c>
      <c r="R37" s="154"/>
      <c r="S37" s="154"/>
      <c r="T37" s="154"/>
      <c r="U37" s="154"/>
      <c r="V37" s="154"/>
      <c r="W37" s="154"/>
      <c r="X37" s="154">
        <f t="shared" si="5"/>
        <v>0.49609999999999999</v>
      </c>
    </row>
    <row r="38" spans="1:32" x14ac:dyDescent="0.2">
      <c r="A38" s="144"/>
      <c r="B38" s="150" t="s">
        <v>30</v>
      </c>
      <c r="C38" s="157">
        <v>0</v>
      </c>
      <c r="D38" s="157">
        <v>0</v>
      </c>
      <c r="E38" s="157">
        <f>Input!C43</f>
        <v>0.43120000000000003</v>
      </c>
      <c r="F38" s="157">
        <v>0</v>
      </c>
      <c r="G38" s="157">
        <v>0</v>
      </c>
      <c r="H38" s="157">
        <v>0</v>
      </c>
      <c r="I38" s="157">
        <v>0</v>
      </c>
      <c r="J38" s="157">
        <v>0</v>
      </c>
      <c r="K38" s="157">
        <v>0</v>
      </c>
      <c r="L38" s="157">
        <f>Input!D43</f>
        <v>0.49109999999999998</v>
      </c>
      <c r="M38" s="152"/>
      <c r="N38" s="158"/>
      <c r="O38" s="154"/>
      <c r="P38" s="154"/>
      <c r="Q38" s="154">
        <f t="shared" si="4"/>
        <v>0.56879999999999997</v>
      </c>
      <c r="R38" s="154"/>
      <c r="S38" s="154"/>
      <c r="T38" s="154"/>
      <c r="U38" s="154"/>
      <c r="V38" s="154"/>
      <c r="W38" s="154"/>
      <c r="X38" s="154">
        <f t="shared" si="5"/>
        <v>0.50890000000000002</v>
      </c>
    </row>
    <row r="39" spans="1:32" x14ac:dyDescent="0.2">
      <c r="A39" s="144"/>
      <c r="B39" s="150"/>
      <c r="C39" s="153"/>
      <c r="D39" s="153"/>
      <c r="E39" s="153"/>
      <c r="F39" s="153"/>
      <c r="G39" s="153"/>
      <c r="H39" s="153"/>
      <c r="I39" s="156"/>
      <c r="J39" s="156"/>
      <c r="K39" s="153"/>
      <c r="L39" s="153"/>
      <c r="M39" s="153"/>
      <c r="N39" s="158"/>
      <c r="O39" s="154"/>
      <c r="P39" s="154"/>
      <c r="Q39" s="154"/>
      <c r="R39" s="154"/>
      <c r="S39" s="154"/>
      <c r="T39" s="154"/>
      <c r="U39" s="154"/>
      <c r="V39" s="154"/>
      <c r="W39" s="154"/>
      <c r="X39" s="154"/>
    </row>
    <row r="40" spans="1:32" x14ac:dyDescent="0.2">
      <c r="A40" s="144"/>
      <c r="B40" s="150"/>
      <c r="C40" s="153"/>
      <c r="D40" s="153"/>
      <c r="E40" s="153"/>
      <c r="F40" s="153"/>
      <c r="G40" s="153"/>
      <c r="H40" s="153"/>
      <c r="I40" s="156"/>
      <c r="J40" s="156"/>
      <c r="K40" s="153"/>
      <c r="L40" s="153"/>
      <c r="M40" s="153"/>
      <c r="N40" s="158"/>
      <c r="O40" s="154"/>
      <c r="P40" s="154"/>
      <c r="Q40" s="154"/>
      <c r="R40" s="154"/>
      <c r="S40" s="154"/>
      <c r="T40" s="154"/>
      <c r="U40" s="154"/>
      <c r="V40" s="154"/>
      <c r="W40" s="154"/>
      <c r="X40" s="154"/>
    </row>
    <row r="41" spans="1:32" x14ac:dyDescent="0.2">
      <c r="A41" s="141" t="s">
        <v>33</v>
      </c>
      <c r="B41" s="159" t="s">
        <v>34</v>
      </c>
      <c r="C41" s="136"/>
      <c r="D41" s="136"/>
      <c r="E41" s="136"/>
      <c r="F41" s="136"/>
      <c r="G41" s="136"/>
      <c r="H41" s="136"/>
      <c r="I41" s="136"/>
      <c r="J41" s="136"/>
      <c r="K41" s="136"/>
      <c r="L41" s="136"/>
      <c r="O41" s="139" t="s">
        <v>102</v>
      </c>
    </row>
    <row r="42" spans="1:32" x14ac:dyDescent="0.2">
      <c r="A42" s="144"/>
      <c r="B42" s="160" t="str">
        <f>Input!B47</f>
        <v>calendar month sales forecasted for 2017, less % for LPL-Sec &gt; 500 kW Peak Load Share</v>
      </c>
      <c r="G42" s="161"/>
      <c r="L42" s="136" t="s">
        <v>103</v>
      </c>
      <c r="AB42" s="162" t="s">
        <v>104</v>
      </c>
      <c r="AD42" s="139" t="s">
        <v>36</v>
      </c>
    </row>
    <row r="43" spans="1:32" x14ac:dyDescent="0.2">
      <c r="A43" s="144"/>
      <c r="B43" s="140" t="s">
        <v>35</v>
      </c>
      <c r="C43" s="136" t="str">
        <f>+C7</f>
        <v>RS</v>
      </c>
      <c r="D43" s="136" t="str">
        <f t="shared" ref="D43:L43" si="6">+D7</f>
        <v>RHS</v>
      </c>
      <c r="E43" s="136" t="str">
        <f t="shared" si="6"/>
        <v>RLM</v>
      </c>
      <c r="F43" s="136" t="str">
        <f t="shared" si="6"/>
        <v>WH</v>
      </c>
      <c r="G43" s="136" t="str">
        <f t="shared" si="6"/>
        <v>WHS</v>
      </c>
      <c r="H43" s="136" t="str">
        <f t="shared" si="6"/>
        <v>HS</v>
      </c>
      <c r="I43" s="136" t="str">
        <f t="shared" si="6"/>
        <v>PSAL</v>
      </c>
      <c r="J43" s="136" t="str">
        <f t="shared" si="6"/>
        <v>BPL</v>
      </c>
      <c r="K43" s="136" t="str">
        <f t="shared" si="6"/>
        <v>GLP</v>
      </c>
      <c r="L43" s="136" t="str">
        <f t="shared" si="6"/>
        <v>LPL-S</v>
      </c>
      <c r="M43" s="136"/>
      <c r="N43" s="136"/>
      <c r="O43" s="136" t="str">
        <f>+C7</f>
        <v>RS</v>
      </c>
      <c r="P43" s="136" t="str">
        <f t="shared" ref="P43:X43" si="7">+D7</f>
        <v>RHS</v>
      </c>
      <c r="Q43" s="136" t="str">
        <f t="shared" si="7"/>
        <v>RLM</v>
      </c>
      <c r="R43" s="136" t="str">
        <f t="shared" si="7"/>
        <v>WH</v>
      </c>
      <c r="S43" s="136" t="str">
        <f t="shared" si="7"/>
        <v>WHS</v>
      </c>
      <c r="T43" s="136" t="str">
        <f t="shared" si="7"/>
        <v>HS</v>
      </c>
      <c r="U43" s="136" t="str">
        <f t="shared" si="7"/>
        <v>PSAL</v>
      </c>
      <c r="V43" s="136" t="str">
        <f t="shared" si="7"/>
        <v>BPL</v>
      </c>
      <c r="W43" s="136" t="str">
        <f t="shared" si="7"/>
        <v>GLP</v>
      </c>
      <c r="X43" s="136" t="str">
        <f t="shared" si="7"/>
        <v>LPL-S</v>
      </c>
      <c r="Y43" s="136"/>
      <c r="Z43" s="136" t="s">
        <v>105</v>
      </c>
      <c r="AB43" s="162" t="s">
        <v>18</v>
      </c>
      <c r="AD43" s="163" t="s">
        <v>37</v>
      </c>
      <c r="AE43" s="163" t="s">
        <v>37</v>
      </c>
      <c r="AF43" s="162" t="s">
        <v>37</v>
      </c>
    </row>
    <row r="44" spans="1:32" x14ac:dyDescent="0.2">
      <c r="A44" s="144"/>
      <c r="C44" s="136"/>
      <c r="D44" s="136"/>
      <c r="E44" s="136"/>
      <c r="F44" s="136"/>
      <c r="G44" s="136"/>
      <c r="H44" s="136"/>
      <c r="I44" s="136"/>
      <c r="J44" s="136"/>
      <c r="K44" s="136"/>
      <c r="L44" s="136"/>
      <c r="Y44" s="164"/>
      <c r="AB44" s="162"/>
      <c r="AD44" s="162" t="s">
        <v>38</v>
      </c>
      <c r="AE44" s="162" t="s">
        <v>39</v>
      </c>
      <c r="AF44" s="162" t="s">
        <v>106</v>
      </c>
    </row>
    <row r="45" spans="1:32" x14ac:dyDescent="0.2">
      <c r="A45" s="144"/>
      <c r="B45" s="150" t="s">
        <v>19</v>
      </c>
      <c r="C45" s="165">
        <f>Input!C50</f>
        <v>1046226.9803722645</v>
      </c>
      <c r="D45" s="165">
        <f>Input!D50</f>
        <v>20269.48548847908</v>
      </c>
      <c r="E45" s="165">
        <f>Input!E50</f>
        <v>17920.82019425742</v>
      </c>
      <c r="F45" s="165">
        <f>Input!F50</f>
        <v>131</v>
      </c>
      <c r="G45" s="165">
        <f>Input!G50</f>
        <v>3</v>
      </c>
      <c r="H45" s="165">
        <f>Input!H50</f>
        <v>2531.5984050932002</v>
      </c>
      <c r="I45" s="165">
        <f>Input!I50</f>
        <v>16433</v>
      </c>
      <c r="J45" s="165">
        <f>Input!J50</f>
        <v>31380</v>
      </c>
      <c r="K45" s="165">
        <f>Input!K50</f>
        <v>540032.49328409287</v>
      </c>
      <c r="L45" s="166">
        <f>AB45*$M$45</f>
        <v>375551.6251798062</v>
      </c>
      <c r="M45" s="167">
        <f>(1-AD45)</f>
        <v>0.60764545771183998</v>
      </c>
      <c r="N45" s="168" t="s">
        <v>107</v>
      </c>
      <c r="O45" s="169">
        <f>SUM(C45:C49,C54:C56)</f>
        <v>6934164.9097665548</v>
      </c>
      <c r="P45" s="170">
        <f t="shared" ref="P45:X45" si="8">SUM(D45:D49,D54:D56)</f>
        <v>100987.54104681152</v>
      </c>
      <c r="Q45" s="170">
        <f t="shared" si="8"/>
        <v>121145.7503590283</v>
      </c>
      <c r="R45" s="170">
        <f t="shared" si="8"/>
        <v>955</v>
      </c>
      <c r="S45" s="170">
        <f t="shared" si="8"/>
        <v>20</v>
      </c>
      <c r="T45" s="170">
        <f t="shared" si="8"/>
        <v>12316.413640391178</v>
      </c>
      <c r="U45" s="170">
        <f t="shared" si="8"/>
        <v>114675</v>
      </c>
      <c r="V45" s="170">
        <f t="shared" si="8"/>
        <v>216935</v>
      </c>
      <c r="W45" s="170">
        <f t="shared" si="8"/>
        <v>4041752.2035439005</v>
      </c>
      <c r="X45" s="170">
        <f t="shared" si="8"/>
        <v>2877258.3383034207</v>
      </c>
      <c r="Y45" s="164">
        <f>SUM(O45:X45)</f>
        <v>14420210.156660106</v>
      </c>
      <c r="Z45" s="171">
        <f>+Y45/(Y45+Y49)</f>
        <v>0.60360035776671983</v>
      </c>
      <c r="AB45" s="172">
        <f>Input!L50</f>
        <v>618043.99327527231</v>
      </c>
      <c r="AD45" s="173">
        <f>Input!C66</f>
        <v>0.39235454228816002</v>
      </c>
      <c r="AE45" s="174">
        <f>Input!D66</f>
        <v>0.37054372342479364</v>
      </c>
      <c r="AF45" s="175">
        <f>AE45</f>
        <v>0.37054372342479364</v>
      </c>
    </row>
    <row r="46" spans="1:32" x14ac:dyDescent="0.2">
      <c r="A46" s="144"/>
      <c r="B46" s="150" t="s">
        <v>20</v>
      </c>
      <c r="C46" s="165">
        <f>Input!C51</f>
        <v>890995.66366619279</v>
      </c>
      <c r="D46" s="165">
        <f>Input!D51</f>
        <v>17115.969077571226</v>
      </c>
      <c r="E46" s="165">
        <f>Input!E51</f>
        <v>14519.571085566635</v>
      </c>
      <c r="F46" s="165">
        <f>Input!F51</f>
        <v>139</v>
      </c>
      <c r="G46" s="165">
        <f>Input!G51</f>
        <v>3</v>
      </c>
      <c r="H46" s="165">
        <f>Input!H51</f>
        <v>2132.0965033473353</v>
      </c>
      <c r="I46" s="165">
        <f>Input!I51</f>
        <v>14486</v>
      </c>
      <c r="J46" s="165">
        <f>Input!J51</f>
        <v>29833</v>
      </c>
      <c r="K46" s="165">
        <f>Input!K51</f>
        <v>501922.35325672565</v>
      </c>
      <c r="L46" s="166">
        <f t="shared" ref="L46:L56" si="9">AB46*$M$45</f>
        <v>365920.03416908521</v>
      </c>
      <c r="M46" s="176"/>
      <c r="N46" s="168" t="s">
        <v>108</v>
      </c>
      <c r="O46" s="170"/>
      <c r="P46" s="170"/>
      <c r="Q46" s="170">
        <f>SUMPRODUCT(E27:E31,E45:E49)+SUMPRODUCT(E36:E38,E54:E56)</f>
        <v>52537.838233439645</v>
      </c>
      <c r="R46" s="170"/>
      <c r="X46" s="170">
        <f>SUMPRODUCT(L27:L31,L45:L49)+SUMPRODUCT(L36:L38,L54:L56)</f>
        <v>1422570.4665419753</v>
      </c>
      <c r="Y46" s="164"/>
      <c r="Z46" s="171"/>
      <c r="AB46" s="172">
        <f>Input!L51</f>
        <v>602193.31770700612</v>
      </c>
      <c r="AD46" s="177"/>
    </row>
    <row r="47" spans="1:32" x14ac:dyDescent="0.2">
      <c r="A47" s="144"/>
      <c r="B47" s="150" t="s">
        <v>21</v>
      </c>
      <c r="C47" s="165">
        <f>Input!C52</f>
        <v>869461.35242252576</v>
      </c>
      <c r="D47" s="165">
        <f>Input!D52</f>
        <v>15107.632067914465</v>
      </c>
      <c r="E47" s="165">
        <f>Input!E52</f>
        <v>15191.066323071032</v>
      </c>
      <c r="F47" s="165">
        <f>Input!F52</f>
        <v>118</v>
      </c>
      <c r="G47" s="165">
        <f>Input!G52</f>
        <v>3</v>
      </c>
      <c r="H47" s="165">
        <f>Input!H52</f>
        <v>2019.6567356917826</v>
      </c>
      <c r="I47" s="165">
        <f>Input!I52</f>
        <v>13475</v>
      </c>
      <c r="J47" s="165">
        <f>Input!J52</f>
        <v>26173</v>
      </c>
      <c r="K47" s="165">
        <f>Input!K52</f>
        <v>520694.99650067708</v>
      </c>
      <c r="L47" s="166">
        <f t="shared" si="9"/>
        <v>375136.49418499263</v>
      </c>
      <c r="M47" s="176"/>
      <c r="N47" s="168" t="s">
        <v>109</v>
      </c>
      <c r="O47" s="170">
        <f>+O45-O46</f>
        <v>6934164.9097665548</v>
      </c>
      <c r="P47" s="170">
        <f>+P45-P46</f>
        <v>100987.54104681152</v>
      </c>
      <c r="Q47" s="170">
        <f>+Q45-Q46</f>
        <v>68607.912125588657</v>
      </c>
      <c r="R47" s="170">
        <f>+R45-R46</f>
        <v>955</v>
      </c>
      <c r="X47" s="170">
        <f>+X45-X46</f>
        <v>1454687.8717614454</v>
      </c>
      <c r="Y47" s="164"/>
      <c r="Z47" s="178"/>
      <c r="AB47" s="172">
        <f>Input!L52</f>
        <v>617360.81365211378</v>
      </c>
    </row>
    <row r="48" spans="1:32" x14ac:dyDescent="0.2">
      <c r="A48" s="144"/>
      <c r="B48" s="150" t="s">
        <v>22</v>
      </c>
      <c r="C48" s="165">
        <f>Input!C53</f>
        <v>776635.47644123051</v>
      </c>
      <c r="D48" s="165">
        <f>Input!D53</f>
        <v>9125.3516136177259</v>
      </c>
      <c r="E48" s="165">
        <f>Input!E53</f>
        <v>14323.05860968116</v>
      </c>
      <c r="F48" s="165">
        <f>Input!F53</f>
        <v>129</v>
      </c>
      <c r="G48" s="165">
        <f>Input!G53</f>
        <v>3</v>
      </c>
      <c r="H48" s="165">
        <f>Input!H53</f>
        <v>1195.0984395510634</v>
      </c>
      <c r="I48" s="165">
        <f>Input!I53</f>
        <v>12345</v>
      </c>
      <c r="J48" s="165">
        <f>Input!J53</f>
        <v>23503</v>
      </c>
      <c r="K48" s="165">
        <f>Input!K53</f>
        <v>503500.69221160281</v>
      </c>
      <c r="L48" s="166">
        <f t="shared" si="9"/>
        <v>335734.53095931601</v>
      </c>
      <c r="M48" s="176"/>
      <c r="Y48" s="164"/>
      <c r="AB48" s="172">
        <f>Input!L53</f>
        <v>552517.14087284321</v>
      </c>
    </row>
    <row r="49" spans="1:28" x14ac:dyDescent="0.2">
      <c r="A49" s="144"/>
      <c r="B49" s="150" t="s">
        <v>23</v>
      </c>
      <c r="C49" s="165">
        <f>Input!C54</f>
        <v>804206.82560811564</v>
      </c>
      <c r="D49" s="165">
        <f>Input!D54</f>
        <v>6595.7015929436748</v>
      </c>
      <c r="E49" s="165">
        <f>Input!E54</f>
        <v>14690.937415248756</v>
      </c>
      <c r="F49" s="165">
        <f>Input!F54</f>
        <v>119</v>
      </c>
      <c r="G49" s="165">
        <f>Input!G54</f>
        <v>2</v>
      </c>
      <c r="H49" s="165">
        <f>Input!H54</f>
        <v>651.6395625492255</v>
      </c>
      <c r="I49" s="165">
        <f>Input!I54</f>
        <v>10458</v>
      </c>
      <c r="J49" s="165">
        <f>Input!J54</f>
        <v>21900</v>
      </c>
      <c r="K49" s="165">
        <f>Input!K54</f>
        <v>509234.56519134471</v>
      </c>
      <c r="L49" s="166">
        <f t="shared" si="9"/>
        <v>381069.7529427738</v>
      </c>
      <c r="N49" s="168" t="s">
        <v>110</v>
      </c>
      <c r="O49" s="169">
        <f>SUM(C50:C53)</f>
        <v>5249094.7862907015</v>
      </c>
      <c r="P49" s="170">
        <f t="shared" ref="P49:X49" si="10">+SUM(D50:D53)</f>
        <v>29795.554935702079</v>
      </c>
      <c r="Q49" s="170">
        <f t="shared" si="10"/>
        <v>96990.548583835451</v>
      </c>
      <c r="R49" s="170">
        <f t="shared" si="10"/>
        <v>328</v>
      </c>
      <c r="S49" s="170">
        <f t="shared" si="10"/>
        <v>7</v>
      </c>
      <c r="T49" s="170">
        <f t="shared" si="10"/>
        <v>3424.3020149645577</v>
      </c>
      <c r="U49" s="170">
        <f t="shared" si="10"/>
        <v>44293</v>
      </c>
      <c r="V49" s="170">
        <f t="shared" si="10"/>
        <v>79333</v>
      </c>
      <c r="W49" s="170">
        <f t="shared" si="10"/>
        <v>2378632.3897181801</v>
      </c>
      <c r="X49" s="170">
        <f t="shared" si="10"/>
        <v>1588218.6466474729</v>
      </c>
      <c r="Y49" s="164">
        <f>SUM(O49:X49)</f>
        <v>9470117.2281908579</v>
      </c>
      <c r="Z49" s="178">
        <f>1-Z45</f>
        <v>0.39639964223328017</v>
      </c>
      <c r="AB49" s="172">
        <f>Input!L54</f>
        <v>627125.15679412219</v>
      </c>
    </row>
    <row r="50" spans="1:28" x14ac:dyDescent="0.2">
      <c r="A50" s="144"/>
      <c r="B50" s="150" t="s">
        <v>24</v>
      </c>
      <c r="C50" s="165">
        <f>Input!C55</f>
        <v>1185203.9435420637</v>
      </c>
      <c r="D50" s="165">
        <f>Input!D55</f>
        <v>7215.7697098731624</v>
      </c>
      <c r="E50" s="165">
        <f>Input!E55</f>
        <v>22053.170220342035</v>
      </c>
      <c r="F50" s="165">
        <f>Input!F55</f>
        <v>93</v>
      </c>
      <c r="G50" s="165">
        <f>Input!G55</f>
        <v>3</v>
      </c>
      <c r="H50" s="165">
        <f>Input!H55</f>
        <v>900.36995766605412</v>
      </c>
      <c r="I50" s="165">
        <f>Input!I55</f>
        <v>10264</v>
      </c>
      <c r="J50" s="165">
        <f>Input!J55</f>
        <v>18101</v>
      </c>
      <c r="K50" s="165">
        <f>Input!K55</f>
        <v>551415.71439738327</v>
      </c>
      <c r="L50" s="166">
        <f t="shared" si="9"/>
        <v>368574.0340333631</v>
      </c>
      <c r="M50" s="176"/>
      <c r="N50" s="168" t="s">
        <v>108</v>
      </c>
      <c r="O50" s="169"/>
      <c r="Q50" s="170">
        <f>+SUMPRODUCT(E32:E35,E50:E53)</f>
        <v>46660.083768386205</v>
      </c>
      <c r="X50" s="170">
        <f>+SUMPRODUCT(L32:L35,L50:L53)</f>
        <v>809528.52763515909</v>
      </c>
      <c r="Y50" s="164"/>
      <c r="Z50" s="171"/>
      <c r="AB50" s="172">
        <f>Input!L55</f>
        <v>606560.99598155764</v>
      </c>
    </row>
    <row r="51" spans="1:28" x14ac:dyDescent="0.2">
      <c r="A51" s="144"/>
      <c r="B51" s="150" t="s">
        <v>25</v>
      </c>
      <c r="C51" s="165">
        <f>Input!C56</f>
        <v>1578158.4480166801</v>
      </c>
      <c r="D51" s="165">
        <f>Input!D56</f>
        <v>8472.0486052754786</v>
      </c>
      <c r="E51" s="165">
        <f>Input!E56</f>
        <v>29501.086190276379</v>
      </c>
      <c r="F51" s="165">
        <f>Input!F56</f>
        <v>79</v>
      </c>
      <c r="G51" s="165">
        <f>Input!G56</f>
        <v>1</v>
      </c>
      <c r="H51" s="165">
        <f>Input!H56</f>
        <v>895.25905913625627</v>
      </c>
      <c r="I51" s="165">
        <f>Input!I56</f>
        <v>10333</v>
      </c>
      <c r="J51" s="165">
        <f>Input!J56</f>
        <v>18677</v>
      </c>
      <c r="K51" s="165">
        <f>Input!K56</f>
        <v>652821.9604009795</v>
      </c>
      <c r="L51" s="166">
        <f t="shared" si="9"/>
        <v>427347.59430761728</v>
      </c>
      <c r="M51" s="176"/>
      <c r="N51" s="168" t="s">
        <v>109</v>
      </c>
      <c r="O51" s="169"/>
      <c r="Q51" s="170">
        <f>+Q49-Q50</f>
        <v>50330.464815449246</v>
      </c>
      <c r="X51" s="170">
        <f>+X49-X50</f>
        <v>778690.11901231378</v>
      </c>
      <c r="Y51" s="164"/>
      <c r="Z51" s="178"/>
      <c r="AB51" s="172">
        <f>Input!L56</f>
        <v>703284.43812753016</v>
      </c>
    </row>
    <row r="52" spans="1:28" x14ac:dyDescent="0.2">
      <c r="A52" s="144"/>
      <c r="B52" s="150" t="s">
        <v>26</v>
      </c>
      <c r="C52" s="165">
        <f>Input!C57</f>
        <v>1468970.8643378057</v>
      </c>
      <c r="D52" s="165">
        <f>Input!D57</f>
        <v>8098.8682531264913</v>
      </c>
      <c r="E52" s="165">
        <f>Input!E57</f>
        <v>25876.315782000216</v>
      </c>
      <c r="F52" s="165">
        <f>Input!F57</f>
        <v>78</v>
      </c>
      <c r="G52" s="165">
        <f>Input!G57</f>
        <v>2</v>
      </c>
      <c r="H52" s="165">
        <f>Input!H57</f>
        <v>823.70647971908636</v>
      </c>
      <c r="I52" s="165">
        <f>Input!I57</f>
        <v>11212</v>
      </c>
      <c r="J52" s="165">
        <f>Input!J57</f>
        <v>20782</v>
      </c>
      <c r="K52" s="165">
        <f>Input!K57</f>
        <v>635276.55290464114</v>
      </c>
      <c r="L52" s="166">
        <f t="shared" si="9"/>
        <v>424586.75636205304</v>
      </c>
      <c r="M52" s="176"/>
      <c r="AB52" s="172">
        <f>Input!L57</f>
        <v>698740.93679706601</v>
      </c>
    </row>
    <row r="53" spans="1:28" x14ac:dyDescent="0.2">
      <c r="A53" s="144"/>
      <c r="B53" s="150" t="s">
        <v>27</v>
      </c>
      <c r="C53" s="165">
        <f>Input!C58</f>
        <v>1016761.5303941517</v>
      </c>
      <c r="D53" s="165">
        <f>Input!D58</f>
        <v>6008.8683674269478</v>
      </c>
      <c r="E53" s="165">
        <f>Input!E58</f>
        <v>19559.976391216835</v>
      </c>
      <c r="F53" s="165">
        <f>Input!F58</f>
        <v>78</v>
      </c>
      <c r="G53" s="165">
        <f>Input!G58</f>
        <v>1</v>
      </c>
      <c r="H53" s="165">
        <f>Input!H58</f>
        <v>804.96651844316091</v>
      </c>
      <c r="I53" s="165">
        <f>Input!I58</f>
        <v>12484</v>
      </c>
      <c r="J53" s="165">
        <f>Input!J58</f>
        <v>21773</v>
      </c>
      <c r="K53" s="165">
        <f>Input!K58</f>
        <v>539118.1620151758</v>
      </c>
      <c r="L53" s="166">
        <f t="shared" si="9"/>
        <v>367710.26194443961</v>
      </c>
      <c r="M53" s="176"/>
      <c r="N53" s="168" t="s">
        <v>111</v>
      </c>
      <c r="O53" s="169">
        <f>+O49*C163</f>
        <v>3396164.3267300841</v>
      </c>
      <c r="P53" s="169">
        <f>+P49*D163</f>
        <v>18860.586274299418</v>
      </c>
      <c r="AB53" s="172">
        <f>Input!L58</f>
        <v>605139.48928227916</v>
      </c>
    </row>
    <row r="54" spans="1:28" x14ac:dyDescent="0.2">
      <c r="A54" s="144"/>
      <c r="B54" s="150" t="s">
        <v>28</v>
      </c>
      <c r="C54" s="165">
        <f>Input!C59</f>
        <v>781499.08670564461</v>
      </c>
      <c r="D54" s="165">
        <f>Input!D59</f>
        <v>7601.2944502611745</v>
      </c>
      <c r="E54" s="165">
        <f>Input!E59</f>
        <v>14770.101208851909</v>
      </c>
      <c r="F54" s="165">
        <f>Input!F59</f>
        <v>98</v>
      </c>
      <c r="G54" s="165">
        <f>Input!G59</f>
        <v>2</v>
      </c>
      <c r="H54" s="165">
        <f>Input!H59</f>
        <v>929.33171600157527</v>
      </c>
      <c r="I54" s="165">
        <f>Input!I59</f>
        <v>14901</v>
      </c>
      <c r="J54" s="165">
        <f>Input!J59</f>
        <v>24425</v>
      </c>
      <c r="K54" s="165">
        <f>Input!K59</f>
        <v>491883.40229346958</v>
      </c>
      <c r="L54" s="166">
        <f t="shared" si="9"/>
        <v>359067.4159811947</v>
      </c>
      <c r="M54" s="176"/>
      <c r="N54" s="168" t="s">
        <v>112</v>
      </c>
      <c r="O54" s="170">
        <f>+O49-O53</f>
        <v>1852930.4595606173</v>
      </c>
      <c r="P54" s="170">
        <f>+P49-P53</f>
        <v>10934.968661402661</v>
      </c>
      <c r="AB54" s="172">
        <f>Input!L59</f>
        <v>590915.98797315964</v>
      </c>
    </row>
    <row r="55" spans="1:28" x14ac:dyDescent="0.2">
      <c r="A55" s="144"/>
      <c r="B55" s="150" t="s">
        <v>29</v>
      </c>
      <c r="C55" s="165">
        <f>Input!C60</f>
        <v>785899.67380477104</v>
      </c>
      <c r="D55" s="165">
        <f>Input!D60</f>
        <v>10255.337921651553</v>
      </c>
      <c r="E55" s="165">
        <f>Input!E60</f>
        <v>12934.43253600702</v>
      </c>
      <c r="F55" s="165">
        <f>Input!F60</f>
        <v>106</v>
      </c>
      <c r="G55" s="165">
        <f>Input!G60</f>
        <v>2</v>
      </c>
      <c r="H55" s="165">
        <f>Input!H60</f>
        <v>1090.3250196902075</v>
      </c>
      <c r="I55" s="165">
        <f>Input!I60</f>
        <v>15525</v>
      </c>
      <c r="J55" s="165">
        <f>Input!J60</f>
        <v>28254</v>
      </c>
      <c r="K55" s="165">
        <f>Input!K60</f>
        <v>459720.8855780444</v>
      </c>
      <c r="L55" s="166">
        <f t="shared" si="9"/>
        <v>335859.89815433091</v>
      </c>
      <c r="M55" s="176"/>
      <c r="AB55" s="172">
        <f>Input!L60</f>
        <v>552723.4572262757</v>
      </c>
    </row>
    <row r="56" spans="1:28" x14ac:dyDescent="0.2">
      <c r="A56" s="144"/>
      <c r="B56" s="150" t="s">
        <v>30</v>
      </c>
      <c r="C56" s="165">
        <f>Input!C61</f>
        <v>979239.85074580973</v>
      </c>
      <c r="D56" s="165">
        <f>Input!D61</f>
        <v>14916.768834372617</v>
      </c>
      <c r="E56" s="165">
        <f>Input!E61</f>
        <v>16795.762986344369</v>
      </c>
      <c r="F56" s="165">
        <f>Input!F61</f>
        <v>115</v>
      </c>
      <c r="G56" s="165">
        <f>Input!G61</f>
        <v>2</v>
      </c>
      <c r="H56" s="165">
        <f>Input!H61</f>
        <v>1766.6672584667892</v>
      </c>
      <c r="I56" s="165">
        <f>Input!I61</f>
        <v>17052</v>
      </c>
      <c r="J56" s="165">
        <f>Input!J61</f>
        <v>31467</v>
      </c>
      <c r="K56" s="165">
        <f>Input!K61</f>
        <v>514762.81522794341</v>
      </c>
      <c r="L56" s="166">
        <f t="shared" si="9"/>
        <v>348918.58673192165</v>
      </c>
      <c r="M56" s="176"/>
      <c r="AB56" s="172">
        <f>Input!L61</f>
        <v>574214.09524859348</v>
      </c>
    </row>
    <row r="57" spans="1:28" x14ac:dyDescent="0.2">
      <c r="A57" s="144"/>
      <c r="B57" s="179" t="s">
        <v>104</v>
      </c>
      <c r="C57" s="170">
        <f>SUM(C45:C56)</f>
        <v>12183259.696057254</v>
      </c>
      <c r="D57" s="170">
        <f>SUM(D45:D56)</f>
        <v>130783.09598251358</v>
      </c>
      <c r="E57" s="170">
        <f t="shared" ref="E57:K57" si="11">SUM(E45:E56)</f>
        <v>218136.29894286377</v>
      </c>
      <c r="F57" s="170">
        <f t="shared" si="11"/>
        <v>1283</v>
      </c>
      <c r="G57" s="170">
        <f t="shared" si="11"/>
        <v>27</v>
      </c>
      <c r="H57" s="170">
        <f>SUM(H45:H56)</f>
        <v>15740.715655355738</v>
      </c>
      <c r="I57" s="170">
        <f>SUM(I45:I56)</f>
        <v>158968</v>
      </c>
      <c r="J57" s="170">
        <f>SUM(J45:J56)</f>
        <v>296268</v>
      </c>
      <c r="K57" s="170">
        <f t="shared" si="11"/>
        <v>6420384.5932620801</v>
      </c>
      <c r="L57" s="170">
        <f>SUM(L45:L56)</f>
        <v>4465476.9849508936</v>
      </c>
      <c r="M57" s="170"/>
      <c r="O57" s="139" t="s">
        <v>113</v>
      </c>
      <c r="AB57" s="170">
        <f>SUM(AB45:AB56)</f>
        <v>7348819.8229378201</v>
      </c>
    </row>
    <row r="58" spans="1:28" x14ac:dyDescent="0.2">
      <c r="A58" s="144"/>
      <c r="B58" s="150"/>
      <c r="C58" s="180"/>
      <c r="D58" s="180"/>
      <c r="E58" s="180"/>
      <c r="F58" s="180"/>
      <c r="G58" s="180"/>
      <c r="H58" s="180"/>
      <c r="I58" s="180"/>
      <c r="J58" s="180"/>
      <c r="K58" s="180"/>
      <c r="L58" s="180"/>
      <c r="O58" s="140" t="s">
        <v>114</v>
      </c>
      <c r="AB58" s="181"/>
    </row>
    <row r="59" spans="1:28" x14ac:dyDescent="0.2">
      <c r="A59" s="144"/>
      <c r="L59" s="170"/>
      <c r="Y59" s="136" t="s">
        <v>104</v>
      </c>
      <c r="Z59" s="136" t="s">
        <v>105</v>
      </c>
      <c r="AB59" s="181"/>
    </row>
    <row r="60" spans="1:28" x14ac:dyDescent="0.2">
      <c r="A60" s="141" t="s">
        <v>40</v>
      </c>
      <c r="B60" s="139" t="s">
        <v>41</v>
      </c>
      <c r="G60" s="182" t="s">
        <v>42</v>
      </c>
      <c r="H60" s="139" t="s">
        <v>43</v>
      </c>
      <c r="N60" s="162" t="s">
        <v>49</v>
      </c>
    </row>
    <row r="61" spans="1:28" s="183" customFormat="1" x14ac:dyDescent="0.2">
      <c r="A61" s="144"/>
      <c r="B61" s="140" t="s">
        <v>44</v>
      </c>
      <c r="D61" s="136" t="s">
        <v>45</v>
      </c>
      <c r="E61" s="136" t="s">
        <v>115</v>
      </c>
      <c r="G61" s="137"/>
      <c r="N61" s="168" t="s">
        <v>108</v>
      </c>
      <c r="O61" s="169">
        <f>SUMPRODUCT(C9:C13,C45:C49)+SUMPRODUCT(C18:C20,C54:C56)</f>
        <v>3377727.6133902729</v>
      </c>
      <c r="P61" s="169">
        <f t="shared" ref="P61:X61" si="12">SUMPRODUCT(D9:D13,D45:D49)+SUMPRODUCT(D18:D20,D54:D56)</f>
        <v>49042.60602303232</v>
      </c>
      <c r="Q61" s="169">
        <f t="shared" si="12"/>
        <v>60633.194451152507</v>
      </c>
      <c r="R61" s="169">
        <f t="shared" si="12"/>
        <v>431.84339999999997</v>
      </c>
      <c r="S61" s="169">
        <f t="shared" si="12"/>
        <v>9.0686999999999998</v>
      </c>
      <c r="T61" s="169">
        <f t="shared" si="12"/>
        <v>6079.4079236612306</v>
      </c>
      <c r="U61" s="169">
        <f t="shared" si="12"/>
        <v>31643.1515</v>
      </c>
      <c r="V61" s="169">
        <f t="shared" si="12"/>
        <v>59704.464500000002</v>
      </c>
      <c r="W61" s="169">
        <f t="shared" si="12"/>
        <v>2321897.9073213544</v>
      </c>
      <c r="X61" s="169">
        <f t="shared" si="12"/>
        <v>1600844.1684246073</v>
      </c>
      <c r="Y61" s="164">
        <f>SUM(O61:X61)</f>
        <v>7508013.4256340805</v>
      </c>
      <c r="Z61" s="171">
        <f>+Y61/(Y61+Y62)</f>
        <v>0.52065908499720692</v>
      </c>
    </row>
    <row r="62" spans="1:28" x14ac:dyDescent="0.2">
      <c r="A62" s="144"/>
      <c r="C62" s="136" t="s">
        <v>46</v>
      </c>
      <c r="D62" s="136" t="s">
        <v>47</v>
      </c>
      <c r="E62" s="136" t="s">
        <v>51</v>
      </c>
      <c r="G62" s="136"/>
      <c r="H62" s="136" t="s">
        <v>46</v>
      </c>
      <c r="I62" s="136" t="s">
        <v>51</v>
      </c>
      <c r="N62" s="168" t="s">
        <v>109</v>
      </c>
      <c r="O62" s="170">
        <f>+O45-O61</f>
        <v>3556437.2963762819</v>
      </c>
      <c r="P62" s="170">
        <f t="shared" ref="P62:X62" si="13">+P45-P61</f>
        <v>51944.935023779195</v>
      </c>
      <c r="Q62" s="170">
        <f t="shared" si="13"/>
        <v>60512.555907875794</v>
      </c>
      <c r="R62" s="170">
        <f t="shared" si="13"/>
        <v>523.15660000000003</v>
      </c>
      <c r="S62" s="170">
        <f t="shared" si="13"/>
        <v>10.9313</v>
      </c>
      <c r="T62" s="170">
        <f t="shared" si="13"/>
        <v>6237.0057167299474</v>
      </c>
      <c r="U62" s="170">
        <f t="shared" si="13"/>
        <v>83031.848499999993</v>
      </c>
      <c r="V62" s="170">
        <f t="shared" si="13"/>
        <v>157230.5355</v>
      </c>
      <c r="W62" s="170">
        <f t="shared" si="13"/>
        <v>1719854.2962225461</v>
      </c>
      <c r="X62" s="170">
        <f t="shared" si="13"/>
        <v>1276414.1698788134</v>
      </c>
      <c r="Y62" s="164">
        <f t="shared" ref="Y62:Y69" si="14">SUM(O62:X62)</f>
        <v>6912196.7310260255</v>
      </c>
      <c r="Z62" s="178">
        <f>1-Z61</f>
        <v>0.47934091500279308</v>
      </c>
    </row>
    <row r="63" spans="1:28" x14ac:dyDescent="0.2">
      <c r="A63" s="144"/>
      <c r="B63" s="150" t="s">
        <v>19</v>
      </c>
      <c r="C63" s="184">
        <f>Input!C73</f>
        <v>47.85</v>
      </c>
      <c r="D63" s="185">
        <f>Input!F74</f>
        <v>0.74945337279191615</v>
      </c>
      <c r="E63" s="186">
        <f>ROUND(+C63*D63,3)</f>
        <v>35.860999999999997</v>
      </c>
      <c r="H63" s="156">
        <f>Input!F81</f>
        <v>0.98085862775435639</v>
      </c>
      <c r="I63" s="156">
        <f>Input!G81</f>
        <v>0.96397847917778534</v>
      </c>
      <c r="J63" s="354" t="s">
        <v>378</v>
      </c>
      <c r="Y63" s="164"/>
    </row>
    <row r="64" spans="1:28" x14ac:dyDescent="0.2">
      <c r="A64" s="144"/>
      <c r="B64" s="150" t="s">
        <v>20</v>
      </c>
      <c r="C64" s="184">
        <f>Input!C74</f>
        <v>45.55</v>
      </c>
      <c r="D64" s="187">
        <f>+$D$63</f>
        <v>0.74945337279191615</v>
      </c>
      <c r="E64" s="186">
        <f>ROUND(+C64*D64,3)</f>
        <v>34.137999999999998</v>
      </c>
      <c r="H64" s="188">
        <f>+$H$63</f>
        <v>0.98085862775435639</v>
      </c>
      <c r="I64" s="188">
        <f>+$I$63</f>
        <v>0.96397847917778534</v>
      </c>
      <c r="J64" s="189"/>
      <c r="N64" s="162" t="s">
        <v>48</v>
      </c>
      <c r="Y64" s="164"/>
    </row>
    <row r="65" spans="1:26" x14ac:dyDescent="0.2">
      <c r="A65" s="144"/>
      <c r="B65" s="150" t="s">
        <v>21</v>
      </c>
      <c r="C65" s="184">
        <f>Input!C75</f>
        <v>36.31</v>
      </c>
      <c r="D65" s="187">
        <f>+$D$63</f>
        <v>0.74945337279191615</v>
      </c>
      <c r="E65" s="186">
        <f t="shared" ref="E65:E74" si="15">ROUND(+C65*D65,3)</f>
        <v>27.213000000000001</v>
      </c>
      <c r="H65" s="188">
        <f>+$H$63</f>
        <v>0.98085862775435639</v>
      </c>
      <c r="I65" s="188">
        <f>+$I$63</f>
        <v>0.96397847917778534</v>
      </c>
      <c r="J65" s="189" t="s">
        <v>116</v>
      </c>
      <c r="N65" s="168" t="s">
        <v>108</v>
      </c>
      <c r="O65" s="169">
        <f>SUMPRODUCT(C14:C17,C50:C53)</f>
        <v>2730280.7944187699</v>
      </c>
      <c r="P65" s="169">
        <f t="shared" ref="P65:X65" si="16">SUMPRODUCT(D14:D17,D50:D53)</f>
        <v>15844.2377618418</v>
      </c>
      <c r="Q65" s="169">
        <f t="shared" si="16"/>
        <v>52601.350972511958</v>
      </c>
      <c r="R65" s="169">
        <f t="shared" si="16"/>
        <v>158.86419999999998</v>
      </c>
      <c r="S65" s="169">
        <f t="shared" si="16"/>
        <v>3.3821000000000003</v>
      </c>
      <c r="T65" s="169">
        <f t="shared" si="16"/>
        <v>2183.4071987739567</v>
      </c>
      <c r="U65" s="169">
        <f t="shared" si="16"/>
        <v>9453.2024999999994</v>
      </c>
      <c r="V65" s="169">
        <f t="shared" si="16"/>
        <v>16916.017899999999</v>
      </c>
      <c r="W65" s="169">
        <f t="shared" si="16"/>
        <v>1430461.524262093</v>
      </c>
      <c r="X65" s="169">
        <f t="shared" si="16"/>
        <v>906800.30220733129</v>
      </c>
      <c r="Y65" s="164">
        <f t="shared" si="14"/>
        <v>5164703.0835213223</v>
      </c>
      <c r="Z65" s="171">
        <f>+Y65/(Y65+Y66)</f>
        <v>0.54536844255178996</v>
      </c>
    </row>
    <row r="66" spans="1:26" x14ac:dyDescent="0.2">
      <c r="A66" s="144"/>
      <c r="B66" s="150" t="s">
        <v>22</v>
      </c>
      <c r="C66" s="184">
        <f>Input!C76</f>
        <v>31.37</v>
      </c>
      <c r="D66" s="187">
        <f>+$D$63</f>
        <v>0.74945337279191615</v>
      </c>
      <c r="E66" s="186">
        <f t="shared" si="15"/>
        <v>23.51</v>
      </c>
      <c r="H66" s="188">
        <f>+$H$63</f>
        <v>0.98085862775435639</v>
      </c>
      <c r="I66" s="188">
        <f>+$I$63</f>
        <v>0.96397847917778534</v>
      </c>
      <c r="J66" s="189" t="s">
        <v>379</v>
      </c>
      <c r="N66" s="168" t="s">
        <v>109</v>
      </c>
      <c r="O66" s="170">
        <f>+O49-O65</f>
        <v>2518813.9918719316</v>
      </c>
      <c r="P66" s="170">
        <f t="shared" ref="P66:X66" si="17">+P49-P65</f>
        <v>13951.31717386028</v>
      </c>
      <c r="Q66" s="170">
        <f t="shared" si="17"/>
        <v>44389.197611323492</v>
      </c>
      <c r="R66" s="170">
        <f t="shared" si="17"/>
        <v>169.13580000000002</v>
      </c>
      <c r="S66" s="170">
        <f t="shared" si="17"/>
        <v>3.6178999999999997</v>
      </c>
      <c r="T66" s="170">
        <f t="shared" si="17"/>
        <v>1240.894816190601</v>
      </c>
      <c r="U66" s="170">
        <f t="shared" si="17"/>
        <v>34839.797500000001</v>
      </c>
      <c r="V66" s="170">
        <f t="shared" si="17"/>
        <v>62416.982100000001</v>
      </c>
      <c r="W66" s="170">
        <f t="shared" si="17"/>
        <v>948170.86545608705</v>
      </c>
      <c r="X66" s="170">
        <f t="shared" si="17"/>
        <v>681418.34444014158</v>
      </c>
      <c r="Y66" s="164">
        <f t="shared" si="14"/>
        <v>4305414.1446695346</v>
      </c>
      <c r="Z66" s="178">
        <f>1-Z65</f>
        <v>0.45463155744821004</v>
      </c>
    </row>
    <row r="67" spans="1:26" x14ac:dyDescent="0.2">
      <c r="A67" s="144"/>
      <c r="B67" s="150" t="s">
        <v>23</v>
      </c>
      <c r="C67" s="184">
        <f>Input!C77</f>
        <v>30.92</v>
      </c>
      <c r="D67" s="187">
        <f>+$D$63</f>
        <v>0.74945337279191615</v>
      </c>
      <c r="E67" s="186">
        <f t="shared" si="15"/>
        <v>23.172999999999998</v>
      </c>
      <c r="H67" s="188">
        <f>+$H$63</f>
        <v>0.98085862775435639</v>
      </c>
      <c r="I67" s="188">
        <f>+$I$63</f>
        <v>0.96397847917778534</v>
      </c>
      <c r="J67" s="189" t="s">
        <v>380</v>
      </c>
      <c r="Y67" s="164"/>
    </row>
    <row r="68" spans="1:26" x14ac:dyDescent="0.2">
      <c r="A68" s="144"/>
      <c r="B68" s="150" t="s">
        <v>24</v>
      </c>
      <c r="C68" s="184">
        <f>Input!C78</f>
        <v>33.92</v>
      </c>
      <c r="D68" s="190">
        <f>Input!F73</f>
        <v>0.64759218661486828</v>
      </c>
      <c r="E68" s="186">
        <f t="shared" si="15"/>
        <v>21.966000000000001</v>
      </c>
      <c r="H68" s="191">
        <f>Input!F80</f>
        <v>0.93443637421483516</v>
      </c>
      <c r="I68" s="191">
        <f>Input!G80</f>
        <v>0.86826091477797551</v>
      </c>
      <c r="N68" s="168" t="s">
        <v>117</v>
      </c>
      <c r="O68" s="170">
        <f>+O61+O65</f>
        <v>6108008.4078090433</v>
      </c>
      <c r="P68" s="170">
        <f t="shared" ref="P68:X69" si="18">+P61+P65</f>
        <v>64886.843784874116</v>
      </c>
      <c r="Q68" s="170">
        <f t="shared" si="18"/>
        <v>113234.54542366447</v>
      </c>
      <c r="R68" s="170">
        <f t="shared" si="18"/>
        <v>590.70759999999996</v>
      </c>
      <c r="S68" s="170">
        <f t="shared" si="18"/>
        <v>12.450800000000001</v>
      </c>
      <c r="T68" s="170">
        <f t="shared" si="18"/>
        <v>8262.8151224351877</v>
      </c>
      <c r="U68" s="170">
        <f t="shared" si="18"/>
        <v>41096.353999999999</v>
      </c>
      <c r="V68" s="170">
        <f t="shared" si="18"/>
        <v>76620.482400000008</v>
      </c>
      <c r="W68" s="170">
        <f t="shared" si="18"/>
        <v>3752359.4315834474</v>
      </c>
      <c r="X68" s="170">
        <f t="shared" si="18"/>
        <v>2507644.4706319384</v>
      </c>
      <c r="Y68" s="164">
        <f t="shared" si="14"/>
        <v>12672716.509155404</v>
      </c>
      <c r="Z68" s="171">
        <f>+Y68/(Y68+Y69)</f>
        <v>0.53045386549165785</v>
      </c>
    </row>
    <row r="69" spans="1:26" x14ac:dyDescent="0.2">
      <c r="A69" s="144"/>
      <c r="B69" s="150" t="s">
        <v>25</v>
      </c>
      <c r="C69" s="184">
        <f>Input!C79</f>
        <v>39.03</v>
      </c>
      <c r="D69" s="192">
        <f>+$D$68</f>
        <v>0.64759218661486828</v>
      </c>
      <c r="E69" s="186">
        <f t="shared" si="15"/>
        <v>25.276</v>
      </c>
      <c r="H69" s="193">
        <f>+$H$68</f>
        <v>0.93443637421483516</v>
      </c>
      <c r="I69" s="193">
        <f>+$I$68</f>
        <v>0.86826091477797551</v>
      </c>
      <c r="N69" s="168" t="s">
        <v>118</v>
      </c>
      <c r="O69" s="170">
        <f>+O62+O66</f>
        <v>6075251.288248213</v>
      </c>
      <c r="P69" s="170">
        <f t="shared" si="18"/>
        <v>65896.252197639478</v>
      </c>
      <c r="Q69" s="170">
        <f t="shared" si="18"/>
        <v>104901.75351919929</v>
      </c>
      <c r="R69" s="170">
        <f t="shared" si="18"/>
        <v>692.29240000000004</v>
      </c>
      <c r="S69" s="170">
        <f t="shared" si="18"/>
        <v>14.549199999999999</v>
      </c>
      <c r="T69" s="170">
        <f t="shared" si="18"/>
        <v>7477.9005329205484</v>
      </c>
      <c r="U69" s="170">
        <f t="shared" si="18"/>
        <v>117871.64599999999</v>
      </c>
      <c r="V69" s="170">
        <f t="shared" si="18"/>
        <v>219647.51759999999</v>
      </c>
      <c r="W69" s="170">
        <f t="shared" si="18"/>
        <v>2668025.1616786332</v>
      </c>
      <c r="X69" s="170">
        <f t="shared" si="18"/>
        <v>1957832.5143189551</v>
      </c>
      <c r="Y69" s="164">
        <f t="shared" si="14"/>
        <v>11217610.87569556</v>
      </c>
      <c r="Z69" s="178">
        <f>1-Z68</f>
        <v>0.46954613450834215</v>
      </c>
    </row>
    <row r="70" spans="1:26" x14ac:dyDescent="0.2">
      <c r="A70" s="144"/>
      <c r="B70" s="150" t="s">
        <v>26</v>
      </c>
      <c r="C70" s="184">
        <f>Input!C80</f>
        <v>36.24</v>
      </c>
      <c r="D70" s="192">
        <f>+$D$68</f>
        <v>0.64759218661486828</v>
      </c>
      <c r="E70" s="186">
        <f t="shared" si="15"/>
        <v>23.469000000000001</v>
      </c>
      <c r="H70" s="193">
        <f>+$H$68</f>
        <v>0.93443637421483516</v>
      </c>
      <c r="I70" s="193">
        <f>+$I$68</f>
        <v>0.86826091477797551</v>
      </c>
    </row>
    <row r="71" spans="1:26" x14ac:dyDescent="0.2">
      <c r="A71" s="144"/>
      <c r="B71" s="150" t="s">
        <v>27</v>
      </c>
      <c r="C71" s="184">
        <f>Input!C81</f>
        <v>33.479999999999997</v>
      </c>
      <c r="D71" s="194">
        <f>+$D$68</f>
        <v>0.64759218661486828</v>
      </c>
      <c r="E71" s="186">
        <f t="shared" si="15"/>
        <v>21.681000000000001</v>
      </c>
      <c r="H71" s="195">
        <f>+$H$68</f>
        <v>0.93443637421483516</v>
      </c>
      <c r="I71" s="195">
        <f>+$I$68</f>
        <v>0.86826091477797551</v>
      </c>
    </row>
    <row r="72" spans="1:26" x14ac:dyDescent="0.2">
      <c r="A72" s="144"/>
      <c r="B72" s="150" t="s">
        <v>28</v>
      </c>
      <c r="C72" s="184">
        <f>Input!C82</f>
        <v>32</v>
      </c>
      <c r="D72" s="196">
        <f>+$D$63</f>
        <v>0.74945337279191615</v>
      </c>
      <c r="E72" s="186">
        <f t="shared" si="15"/>
        <v>23.983000000000001</v>
      </c>
      <c r="H72" s="188">
        <f>+$H$63</f>
        <v>0.98085862775435639</v>
      </c>
      <c r="I72" s="188">
        <f>+$I$63</f>
        <v>0.96397847917778534</v>
      </c>
    </row>
    <row r="73" spans="1:26" x14ac:dyDescent="0.2">
      <c r="A73" s="144"/>
      <c r="B73" s="150" t="s">
        <v>29</v>
      </c>
      <c r="C73" s="184">
        <f>Input!C83</f>
        <v>31.75</v>
      </c>
      <c r="D73" s="187">
        <f>+$D$63</f>
        <v>0.74945337279191615</v>
      </c>
      <c r="E73" s="186">
        <f t="shared" si="15"/>
        <v>23.795000000000002</v>
      </c>
      <c r="H73" s="188">
        <f>+$H$63</f>
        <v>0.98085862775435639</v>
      </c>
      <c r="I73" s="188">
        <f>+$I$63</f>
        <v>0.96397847917778534</v>
      </c>
    </row>
    <row r="74" spans="1:26" x14ac:dyDescent="0.2">
      <c r="A74" s="144"/>
      <c r="B74" s="150" t="s">
        <v>30</v>
      </c>
      <c r="C74" s="184">
        <f>Input!C84</f>
        <v>34.5</v>
      </c>
      <c r="D74" s="187">
        <f>+$D$63</f>
        <v>0.74945337279191615</v>
      </c>
      <c r="E74" s="186">
        <f t="shared" si="15"/>
        <v>25.856000000000002</v>
      </c>
      <c r="H74" s="188">
        <f>+$H$63</f>
        <v>0.98085862775435639</v>
      </c>
      <c r="I74" s="188">
        <f>+$I$63</f>
        <v>0.96397847917778534</v>
      </c>
    </row>
    <row r="75" spans="1:26" x14ac:dyDescent="0.2">
      <c r="A75" s="144"/>
      <c r="B75" s="150"/>
      <c r="C75" s="197"/>
      <c r="D75" s="197"/>
      <c r="G75" s="198"/>
      <c r="K75" s="198"/>
    </row>
    <row r="76" spans="1:26" x14ac:dyDescent="0.2">
      <c r="A76" s="144"/>
      <c r="B76" s="199"/>
      <c r="C76" s="199"/>
      <c r="D76" s="197"/>
      <c r="G76" s="198"/>
      <c r="K76" s="198"/>
    </row>
    <row r="77" spans="1:26" x14ac:dyDescent="0.2">
      <c r="A77" s="141" t="s">
        <v>52</v>
      </c>
      <c r="B77" s="159" t="s">
        <v>119</v>
      </c>
      <c r="C77" s="136" t="str">
        <f>+C7</f>
        <v>RS</v>
      </c>
      <c r="D77" s="136" t="str">
        <f t="shared" ref="D77:L77" si="19">+D7</f>
        <v>RHS</v>
      </c>
      <c r="E77" s="136" t="str">
        <f t="shared" si="19"/>
        <v>RLM</v>
      </c>
      <c r="F77" s="136" t="str">
        <f t="shared" si="19"/>
        <v>WH</v>
      </c>
      <c r="G77" s="136" t="str">
        <f t="shared" si="19"/>
        <v>WHS</v>
      </c>
      <c r="H77" s="136" t="str">
        <f t="shared" si="19"/>
        <v>HS</v>
      </c>
      <c r="I77" s="136" t="str">
        <f t="shared" si="19"/>
        <v>PSAL</v>
      </c>
      <c r="J77" s="136" t="str">
        <f t="shared" si="19"/>
        <v>BPL</v>
      </c>
      <c r="K77" s="136" t="str">
        <f t="shared" si="19"/>
        <v>GLP</v>
      </c>
      <c r="L77" s="136" t="str">
        <f t="shared" si="19"/>
        <v>LPL-S</v>
      </c>
      <c r="M77" s="136"/>
      <c r="P77" s="200" t="s">
        <v>53</v>
      </c>
      <c r="Q77" s="200" t="s">
        <v>54</v>
      </c>
      <c r="R77" s="200" t="s">
        <v>55</v>
      </c>
    </row>
    <row r="78" spans="1:26" x14ac:dyDescent="0.2">
      <c r="A78" s="144"/>
      <c r="B78" s="160" t="s">
        <v>120</v>
      </c>
      <c r="C78" s="201"/>
      <c r="D78" s="162"/>
      <c r="E78" s="162"/>
      <c r="F78" s="162"/>
      <c r="P78" s="76" t="s">
        <v>56</v>
      </c>
      <c r="Q78" s="202">
        <f>Input!C89</f>
        <v>7.5377E-2</v>
      </c>
      <c r="R78" s="76" t="s">
        <v>57</v>
      </c>
    </row>
    <row r="79" spans="1:26" x14ac:dyDescent="0.2">
      <c r="A79" s="144"/>
      <c r="B79" s="150" t="s">
        <v>121</v>
      </c>
      <c r="C79" s="203">
        <f>1-((1-$Q$78)*(1-$Q$79))</f>
        <v>7.9593280880000061E-2</v>
      </c>
      <c r="D79" s="203">
        <f>+$C79</f>
        <v>7.9593280880000061E-2</v>
      </c>
      <c r="E79" s="203">
        <f t="shared" ref="E79:L79" si="20">+$C79</f>
        <v>7.9593280880000061E-2</v>
      </c>
      <c r="F79" s="203">
        <f t="shared" si="20"/>
        <v>7.9593280880000061E-2</v>
      </c>
      <c r="G79" s="203">
        <f t="shared" si="20"/>
        <v>7.9593280880000061E-2</v>
      </c>
      <c r="H79" s="203">
        <f t="shared" si="20"/>
        <v>7.9593280880000061E-2</v>
      </c>
      <c r="I79" s="203">
        <f t="shared" si="20"/>
        <v>7.9593280880000061E-2</v>
      </c>
      <c r="J79" s="203">
        <f t="shared" si="20"/>
        <v>7.9593280880000061E-2</v>
      </c>
      <c r="K79" s="203">
        <f t="shared" si="20"/>
        <v>7.9593280880000061E-2</v>
      </c>
      <c r="L79" s="203">
        <f t="shared" si="20"/>
        <v>7.9593280880000061E-2</v>
      </c>
      <c r="M79" s="199"/>
      <c r="N79" s="204"/>
      <c r="P79" s="76" t="s">
        <v>58</v>
      </c>
      <c r="Q79" s="202">
        <f>Input!C90</f>
        <v>4.5599999999999998E-3</v>
      </c>
      <c r="R79" s="76" t="s">
        <v>59</v>
      </c>
    </row>
    <row r="80" spans="1:26" x14ac:dyDescent="0.2">
      <c r="A80" s="144"/>
      <c r="B80" s="76" t="s">
        <v>122</v>
      </c>
      <c r="C80" s="205">
        <f>ROUND(1/(1-C79),6)</f>
        <v>1.086476</v>
      </c>
      <c r="D80" s="205">
        <f t="shared" ref="D80:L80" si="21">ROUND(1/(1-D79),6)</f>
        <v>1.086476</v>
      </c>
      <c r="E80" s="205">
        <f t="shared" si="21"/>
        <v>1.086476</v>
      </c>
      <c r="F80" s="205">
        <f t="shared" si="21"/>
        <v>1.086476</v>
      </c>
      <c r="G80" s="205">
        <f t="shared" si="21"/>
        <v>1.086476</v>
      </c>
      <c r="H80" s="205">
        <f t="shared" si="21"/>
        <v>1.086476</v>
      </c>
      <c r="I80" s="205">
        <f t="shared" si="21"/>
        <v>1.086476</v>
      </c>
      <c r="J80" s="205">
        <f t="shared" si="21"/>
        <v>1.086476</v>
      </c>
      <c r="K80" s="205">
        <f t="shared" si="21"/>
        <v>1.086476</v>
      </c>
      <c r="L80" s="205">
        <f t="shared" si="21"/>
        <v>1.086476</v>
      </c>
      <c r="M80" s="206"/>
      <c r="P80" s="76" t="s">
        <v>60</v>
      </c>
      <c r="Q80" s="202">
        <f>+Input!C91</f>
        <v>1.07687434555201E-2</v>
      </c>
      <c r="R80" s="76" t="s">
        <v>61</v>
      </c>
    </row>
    <row r="81" spans="1:17" x14ac:dyDescent="0.2">
      <c r="A81" s="144"/>
      <c r="B81" s="76" t="s">
        <v>123</v>
      </c>
      <c r="C81" s="205">
        <f>1/C80</f>
        <v>0.92040689347946936</v>
      </c>
      <c r="D81" s="205">
        <f t="shared" ref="D81:L81" si="22">1/D80</f>
        <v>0.92040689347946936</v>
      </c>
      <c r="E81" s="205">
        <f t="shared" si="22"/>
        <v>0.92040689347946936</v>
      </c>
      <c r="F81" s="205">
        <f t="shared" si="22"/>
        <v>0.92040689347946936</v>
      </c>
      <c r="G81" s="205">
        <f t="shared" si="22"/>
        <v>0.92040689347946936</v>
      </c>
      <c r="H81" s="205">
        <f t="shared" si="22"/>
        <v>0.92040689347946936</v>
      </c>
      <c r="I81" s="205">
        <f t="shared" si="22"/>
        <v>0.92040689347946936</v>
      </c>
      <c r="J81" s="205">
        <f t="shared" si="22"/>
        <v>0.92040689347946936</v>
      </c>
      <c r="K81" s="205">
        <f t="shared" si="22"/>
        <v>0.92040689347946936</v>
      </c>
      <c r="L81" s="205">
        <f t="shared" si="22"/>
        <v>0.92040689347946936</v>
      </c>
      <c r="M81" s="206"/>
      <c r="P81" s="76" t="s">
        <v>124</v>
      </c>
      <c r="Q81" s="207">
        <f>ROUND(1-((1-Q80)/(1-Q79)),7)</f>
        <v>6.2372E-3</v>
      </c>
    </row>
    <row r="82" spans="1:17" x14ac:dyDescent="0.2">
      <c r="A82" s="144"/>
      <c r="C82" s="206"/>
      <c r="D82" s="206"/>
      <c r="E82" s="206"/>
      <c r="F82" s="206"/>
      <c r="G82" s="206"/>
      <c r="H82" s="206"/>
      <c r="I82" s="206"/>
      <c r="J82" s="206"/>
      <c r="K82" s="206"/>
      <c r="L82" s="206"/>
      <c r="M82" s="206"/>
    </row>
    <row r="83" spans="1:17" x14ac:dyDescent="0.2">
      <c r="A83" s="144"/>
      <c r="B83" s="160" t="s">
        <v>125</v>
      </c>
      <c r="C83" s="206"/>
      <c r="D83" s="206"/>
      <c r="E83" s="206"/>
      <c r="F83" s="206"/>
      <c r="G83" s="206"/>
      <c r="H83" s="206"/>
      <c r="I83" s="206"/>
      <c r="J83" s="206"/>
      <c r="K83" s="206"/>
      <c r="L83" s="206"/>
      <c r="M83" s="206"/>
    </row>
    <row r="84" spans="1:17" x14ac:dyDescent="0.2">
      <c r="A84" s="144"/>
      <c r="B84" s="150" t="s">
        <v>121</v>
      </c>
      <c r="C84" s="203">
        <f>1-((1-$Q$78)/((1-$Q$80)/(1-$Q$79)))</f>
        <v>6.9573759390593182E-2</v>
      </c>
      <c r="D84" s="203">
        <f>+$C84</f>
        <v>6.9573759390593182E-2</v>
      </c>
      <c r="E84" s="203">
        <f t="shared" ref="E84:L84" si="23">+$C84</f>
        <v>6.9573759390593182E-2</v>
      </c>
      <c r="F84" s="203">
        <f t="shared" si="23"/>
        <v>6.9573759390593182E-2</v>
      </c>
      <c r="G84" s="203">
        <f t="shared" si="23"/>
        <v>6.9573759390593182E-2</v>
      </c>
      <c r="H84" s="203">
        <f t="shared" si="23"/>
        <v>6.9573759390593182E-2</v>
      </c>
      <c r="I84" s="203">
        <f t="shared" si="23"/>
        <v>6.9573759390593182E-2</v>
      </c>
      <c r="J84" s="203">
        <f t="shared" si="23"/>
        <v>6.9573759390593182E-2</v>
      </c>
      <c r="K84" s="203">
        <f t="shared" si="23"/>
        <v>6.9573759390593182E-2</v>
      </c>
      <c r="L84" s="203">
        <f t="shared" si="23"/>
        <v>6.9573759390593182E-2</v>
      </c>
      <c r="M84" s="206"/>
    </row>
    <row r="85" spans="1:17" x14ac:dyDescent="0.2">
      <c r="A85" s="144"/>
      <c r="B85" s="76" t="s">
        <v>122</v>
      </c>
      <c r="C85" s="205">
        <f>ROUND(1/(1-C84),6)</f>
        <v>1.074776</v>
      </c>
      <c r="D85" s="205">
        <f>+$C$85</f>
        <v>1.074776</v>
      </c>
      <c r="E85" s="205">
        <f t="shared" ref="E85:L85" si="24">+$C$85</f>
        <v>1.074776</v>
      </c>
      <c r="F85" s="205">
        <f t="shared" si="24"/>
        <v>1.074776</v>
      </c>
      <c r="G85" s="205">
        <f t="shared" si="24"/>
        <v>1.074776</v>
      </c>
      <c r="H85" s="205">
        <f t="shared" si="24"/>
        <v>1.074776</v>
      </c>
      <c r="I85" s="205">
        <f t="shared" si="24"/>
        <v>1.074776</v>
      </c>
      <c r="J85" s="205">
        <f t="shared" si="24"/>
        <v>1.074776</v>
      </c>
      <c r="K85" s="205">
        <f t="shared" si="24"/>
        <v>1.074776</v>
      </c>
      <c r="L85" s="205">
        <f t="shared" si="24"/>
        <v>1.074776</v>
      </c>
      <c r="M85" s="206"/>
    </row>
    <row r="86" spans="1:17" x14ac:dyDescent="0.2">
      <c r="A86" s="144"/>
      <c r="B86" s="76" t="s">
        <v>123</v>
      </c>
      <c r="C86" s="205">
        <f>1/C85</f>
        <v>0.93042643304279227</v>
      </c>
      <c r="D86" s="205">
        <f t="shared" ref="D86:L86" si="25">1/D85</f>
        <v>0.93042643304279227</v>
      </c>
      <c r="E86" s="205">
        <f t="shared" si="25"/>
        <v>0.93042643304279227</v>
      </c>
      <c r="F86" s="205">
        <f t="shared" si="25"/>
        <v>0.93042643304279227</v>
      </c>
      <c r="G86" s="205">
        <f t="shared" si="25"/>
        <v>0.93042643304279227</v>
      </c>
      <c r="H86" s="205">
        <f t="shared" si="25"/>
        <v>0.93042643304279227</v>
      </c>
      <c r="I86" s="205">
        <f t="shared" si="25"/>
        <v>0.93042643304279227</v>
      </c>
      <c r="J86" s="205">
        <f t="shared" si="25"/>
        <v>0.93042643304279227</v>
      </c>
      <c r="K86" s="205">
        <f t="shared" si="25"/>
        <v>0.93042643304279227</v>
      </c>
      <c r="L86" s="205">
        <f t="shared" si="25"/>
        <v>0.93042643304279227</v>
      </c>
      <c r="M86" s="206"/>
    </row>
    <row r="87" spans="1:17" x14ac:dyDescent="0.2">
      <c r="A87" s="144"/>
      <c r="C87" s="208"/>
      <c r="D87" s="206"/>
      <c r="E87" s="206"/>
      <c r="F87" s="206"/>
      <c r="G87" s="206"/>
      <c r="H87" s="206"/>
      <c r="I87" s="206"/>
      <c r="J87" s="206"/>
      <c r="K87" s="206"/>
      <c r="L87" s="206"/>
      <c r="M87" s="206"/>
    </row>
    <row r="88" spans="1:17" x14ac:dyDescent="0.2">
      <c r="A88" s="144"/>
    </row>
    <row r="89" spans="1:17" x14ac:dyDescent="0.2">
      <c r="A89" s="141" t="s">
        <v>126</v>
      </c>
      <c r="B89" s="139" t="s">
        <v>127</v>
      </c>
    </row>
    <row r="90" spans="1:17" x14ac:dyDescent="0.2">
      <c r="B90" s="140" t="s">
        <v>128</v>
      </c>
    </row>
    <row r="91" spans="1:17" x14ac:dyDescent="0.2">
      <c r="A91" s="144"/>
      <c r="B91" s="140" t="s">
        <v>129</v>
      </c>
    </row>
    <row r="92" spans="1:17" x14ac:dyDescent="0.2">
      <c r="A92" s="144"/>
      <c r="B92" s="139"/>
      <c r="C92" s="136" t="str">
        <f>+C7</f>
        <v>RS</v>
      </c>
      <c r="D92" s="136" t="str">
        <f t="shared" ref="D92:L92" si="26">+D7</f>
        <v>RHS</v>
      </c>
      <c r="E92" s="136" t="str">
        <f t="shared" si="26"/>
        <v>RLM</v>
      </c>
      <c r="F92" s="136" t="str">
        <f t="shared" si="26"/>
        <v>WH</v>
      </c>
      <c r="G92" s="136" t="str">
        <f t="shared" si="26"/>
        <v>WHS</v>
      </c>
      <c r="H92" s="136" t="str">
        <f t="shared" si="26"/>
        <v>HS</v>
      </c>
      <c r="I92" s="136" t="str">
        <f t="shared" si="26"/>
        <v>PSAL</v>
      </c>
      <c r="J92" s="136" t="str">
        <f t="shared" si="26"/>
        <v>BPL</v>
      </c>
      <c r="K92" s="136" t="str">
        <f t="shared" si="26"/>
        <v>GLP</v>
      </c>
      <c r="L92" s="136" t="str">
        <f t="shared" si="26"/>
        <v>LPL-S</v>
      </c>
      <c r="M92" s="136"/>
    </row>
    <row r="93" spans="1:17" x14ac:dyDescent="0.2">
      <c r="A93" s="144"/>
    </row>
    <row r="94" spans="1:17" x14ac:dyDescent="0.2">
      <c r="A94" s="144"/>
      <c r="B94" s="150" t="s">
        <v>130</v>
      </c>
      <c r="C94" s="209">
        <f t="shared" ref="C94:L94" si="27">(SUMPRODUCT(C14:C17,C50:C53,$C68:$C71,$H68:$H71)*C80+SUMPRODUCT(O14:O17,C50:C53,$E68:$E71,$I68:$I71)*C80)/SUM(C50:C53)</f>
        <v>29.584397062096887</v>
      </c>
      <c r="D94" s="209">
        <f t="shared" si="27"/>
        <v>29.663694829151808</v>
      </c>
      <c r="E94" s="209">
        <f t="shared" si="27"/>
        <v>29.894355798948428</v>
      </c>
      <c r="F94" s="209">
        <f t="shared" si="27"/>
        <v>28.719182463754002</v>
      </c>
      <c r="G94" s="209">
        <f t="shared" si="27"/>
        <v>28.424538986654579</v>
      </c>
      <c r="H94" s="209">
        <f t="shared" si="27"/>
        <v>31.025077904067544</v>
      </c>
      <c r="I94" s="209">
        <f t="shared" si="27"/>
        <v>24.792792683913742</v>
      </c>
      <c r="J94" s="209">
        <f t="shared" si="27"/>
        <v>24.814209755428795</v>
      </c>
      <c r="K94" s="209">
        <f t="shared" si="27"/>
        <v>30.609562502477417</v>
      </c>
      <c r="L94" s="209">
        <f t="shared" si="27"/>
        <v>30.141652613832282</v>
      </c>
      <c r="M94" s="209"/>
    </row>
    <row r="95" spans="1:17" x14ac:dyDescent="0.2">
      <c r="A95" s="144"/>
      <c r="B95" s="210" t="s">
        <v>131</v>
      </c>
      <c r="C95" s="209">
        <f t="shared" ref="C95:L95" si="28">(SUMPRODUCT(C14:C17,C50:C53,$C68:$C71,$H68:$H71)*C80)/SUMPRODUCT(C14:C17,C50:C53)</f>
        <v>36.587840667567804</v>
      </c>
      <c r="D95" s="209">
        <f t="shared" si="28"/>
        <v>36.467027598944938</v>
      </c>
      <c r="E95" s="209">
        <f t="shared" si="28"/>
        <v>36.570621506088969</v>
      </c>
      <c r="F95" s="209">
        <f t="shared" si="28"/>
        <v>36.145292099475654</v>
      </c>
      <c r="G95" s="209">
        <f t="shared" si="28"/>
        <v>35.807143039609862</v>
      </c>
      <c r="H95" s="209">
        <f t="shared" si="28"/>
        <v>36.265222092742476</v>
      </c>
      <c r="I95" s="209">
        <f t="shared" si="28"/>
        <v>35.9965386968533</v>
      </c>
      <c r="J95" s="209">
        <f t="shared" si="28"/>
        <v>36.032487921596463</v>
      </c>
      <c r="K95" s="209">
        <f t="shared" si="28"/>
        <v>36.37978875480713</v>
      </c>
      <c r="L95" s="209">
        <f t="shared" si="28"/>
        <v>36.338708364110097</v>
      </c>
      <c r="M95" s="209"/>
    </row>
    <row r="96" spans="1:17" x14ac:dyDescent="0.2">
      <c r="A96" s="144"/>
      <c r="B96" s="210" t="s">
        <v>132</v>
      </c>
      <c r="C96" s="209">
        <f t="shared" ref="C96:L96" si="29">(SUMPRODUCT(O14:O17,C50:C53,$E68:$E71,$I68:$I71)*C80)/SUMPRODUCT(O14:O17,C50:C53)</f>
        <v>21.992979977502419</v>
      </c>
      <c r="D96" s="209">
        <f t="shared" si="29"/>
        <v>21.937283004790284</v>
      </c>
      <c r="E96" s="209">
        <f t="shared" si="29"/>
        <v>21.982958104355699</v>
      </c>
      <c r="F96" s="209">
        <f t="shared" si="29"/>
        <v>21.744059713920958</v>
      </c>
      <c r="G96" s="209">
        <f t="shared" si="29"/>
        <v>21.523103024494191</v>
      </c>
      <c r="H96" s="209">
        <f t="shared" si="29"/>
        <v>21.804821364282809</v>
      </c>
      <c r="I96" s="209">
        <f t="shared" si="29"/>
        <v>21.752841610177303</v>
      </c>
      <c r="J96" s="209">
        <f t="shared" si="29"/>
        <v>21.773873810284282</v>
      </c>
      <c r="K96" s="209">
        <f t="shared" si="29"/>
        <v>21.90428907449213</v>
      </c>
      <c r="L96" s="209">
        <f t="shared" si="29"/>
        <v>21.89489484307601</v>
      </c>
      <c r="M96" s="209"/>
    </row>
    <row r="97" spans="1:13" x14ac:dyDescent="0.2">
      <c r="A97" s="144"/>
      <c r="C97" s="211"/>
      <c r="D97" s="211"/>
      <c r="E97" s="211"/>
      <c r="F97" s="211"/>
      <c r="G97" s="211"/>
      <c r="H97" s="211"/>
      <c r="I97" s="211"/>
      <c r="J97" s="211"/>
      <c r="K97" s="211"/>
      <c r="L97" s="211"/>
      <c r="M97" s="211"/>
    </row>
    <row r="98" spans="1:13" x14ac:dyDescent="0.2">
      <c r="A98" s="144"/>
      <c r="B98" s="150" t="s">
        <v>133</v>
      </c>
      <c r="C98" s="209">
        <f t="shared" ref="C98:L98" si="30">(SUMPRODUCT(C9:C13,C45:C49,$C63:$C67,$H63:$H67)*C80+SUMPRODUCT(O9:O13,C45:C49,$E63:$E67,$I63:$I67)*C80+SUMPRODUCT(C18:C20,C54:C56,$C72:$C74,$H72:$H74)*C80+SUMPRODUCT(O18:O20,C54:C56,$E72:$E74,$I72:$I74)*C80)/SUM(C45:C49,C54:C56)</f>
        <v>33.921156434589548</v>
      </c>
      <c r="D98" s="209">
        <f t="shared" si="30"/>
        <v>35.30629616738095</v>
      </c>
      <c r="E98" s="209">
        <f t="shared" si="30"/>
        <v>33.886888914105882</v>
      </c>
      <c r="F98" s="209">
        <f t="shared" si="30"/>
        <v>33.489714816274855</v>
      </c>
      <c r="G98" s="209">
        <f t="shared" si="30"/>
        <v>33.815965371688641</v>
      </c>
      <c r="H98" s="209">
        <f t="shared" si="30"/>
        <v>35.552109554514473</v>
      </c>
      <c r="I98" s="209">
        <f t="shared" si="30"/>
        <v>31.645489320157846</v>
      </c>
      <c r="J98" s="209">
        <f t="shared" si="30"/>
        <v>31.78488234372125</v>
      </c>
      <c r="K98" s="209">
        <f t="shared" si="30"/>
        <v>34.460548315304841</v>
      </c>
      <c r="L98" s="209">
        <f t="shared" si="30"/>
        <v>34.258815145819774</v>
      </c>
      <c r="M98" s="209"/>
    </row>
    <row r="99" spans="1:13" x14ac:dyDescent="0.2">
      <c r="A99" s="144"/>
      <c r="B99" s="210" t="s">
        <v>131</v>
      </c>
      <c r="C99" s="209">
        <f t="shared" ref="C99:L99" si="31">(SUMPRODUCT(C9:C13,C45:C49,$C63:$C67,$H63:$H67)*C80+SUMPRODUCT(C18:C20,C54:C56,$C72:$C74,$H72:$H74)*C80)/(SUMPRODUCT(C9:C13,C45:C49)+SUMPRODUCT(C18:C20,C54:C56))</f>
        <v>39.229292281625149</v>
      </c>
      <c r="D99" s="209">
        <f t="shared" si="31"/>
        <v>40.744879590477261</v>
      </c>
      <c r="E99" s="209">
        <f t="shared" si="31"/>
        <v>38.981758535462951</v>
      </c>
      <c r="F99" s="209">
        <f t="shared" si="31"/>
        <v>39.09384692155222</v>
      </c>
      <c r="G99" s="209">
        <f t="shared" si="31"/>
        <v>39.441336900822343</v>
      </c>
      <c r="H99" s="209">
        <f t="shared" si="31"/>
        <v>40.833350504961999</v>
      </c>
      <c r="I99" s="209">
        <f t="shared" si="31"/>
        <v>39.467561834832956</v>
      </c>
      <c r="J99" s="209">
        <f t="shared" si="31"/>
        <v>39.675666321733864</v>
      </c>
      <c r="K99" s="209">
        <f t="shared" si="31"/>
        <v>38.750208593634127</v>
      </c>
      <c r="L99" s="209">
        <f t="shared" si="31"/>
        <v>38.740021610374562</v>
      </c>
      <c r="M99" s="209"/>
    </row>
    <row r="100" spans="1:13" x14ac:dyDescent="0.2">
      <c r="A100" s="144"/>
      <c r="B100" s="210" t="s">
        <v>132</v>
      </c>
      <c r="C100" s="209">
        <f t="shared" ref="C100:L100" si="32">(SUMPRODUCT(O9:O13,C45:C49,$E63:$E67,$I63:$I67)*C80+SUMPRODUCT(O18:O20,C54:C56,$E72:$E74,$I72:$I74)*C80)/(SUMPRODUCT(O9:O13,C45:C49)+SUMPRODUCT(O18:O20,C54:C56))</f>
        <v>28.879752486760196</v>
      </c>
      <c r="D100" s="209">
        <f t="shared" si="32"/>
        <v>30.17158372582707</v>
      </c>
      <c r="E100" s="209">
        <f t="shared" si="32"/>
        <v>28.781862100739914</v>
      </c>
      <c r="F100" s="209">
        <f t="shared" si="32"/>
        <v>28.863743429519655</v>
      </c>
      <c r="G100" s="209">
        <f t="shared" si="32"/>
        <v>29.149109024661765</v>
      </c>
      <c r="H100" s="209">
        <f t="shared" si="32"/>
        <v>30.404315959457691</v>
      </c>
      <c r="I100" s="209">
        <f t="shared" si="32"/>
        <v>28.66452442418964</v>
      </c>
      <c r="J100" s="209">
        <f t="shared" si="32"/>
        <v>28.788549408809743</v>
      </c>
      <c r="K100" s="209">
        <f t="shared" si="32"/>
        <v>28.669270969747963</v>
      </c>
      <c r="L100" s="209">
        <f t="shared" si="32"/>
        <v>28.638607061659837</v>
      </c>
      <c r="M100" s="209"/>
    </row>
    <row r="101" spans="1:13" x14ac:dyDescent="0.2">
      <c r="A101" s="144"/>
      <c r="C101" s="211"/>
      <c r="D101" s="211"/>
      <c r="E101" s="211"/>
      <c r="F101" s="211"/>
      <c r="G101" s="211"/>
      <c r="H101" s="211"/>
      <c r="I101" s="211"/>
      <c r="J101" s="211"/>
      <c r="K101" s="211"/>
      <c r="L101" s="211"/>
      <c r="M101" s="211"/>
    </row>
    <row r="102" spans="1:13" x14ac:dyDescent="0.2">
      <c r="A102" s="144"/>
      <c r="B102" s="76" t="s">
        <v>134</v>
      </c>
      <c r="C102" s="209">
        <f t="shared" ref="C102:L102" si="33">(C94*SUM(C50:C53)+C98*SUM(C45:C49,C54:C56))/C57</f>
        <v>32.052685961214074</v>
      </c>
      <c r="D102" s="212">
        <f t="shared" si="33"/>
        <v>34.020775000517375</v>
      </c>
      <c r="E102" s="212">
        <f t="shared" si="33"/>
        <v>32.111677823815583</v>
      </c>
      <c r="F102" s="212">
        <f t="shared" si="33"/>
        <v>32.270124316175995</v>
      </c>
      <c r="G102" s="212">
        <f t="shared" si="33"/>
        <v>32.418188160753886</v>
      </c>
      <c r="H102" s="212">
        <f t="shared" si="33"/>
        <v>34.567279897347056</v>
      </c>
      <c r="I102" s="212">
        <f t="shared" si="33"/>
        <v>29.736133398782727</v>
      </c>
      <c r="J102" s="212">
        <f t="shared" si="33"/>
        <v>29.918314342968532</v>
      </c>
      <c r="K102" s="212">
        <f t="shared" si="33"/>
        <v>33.033830109615167</v>
      </c>
      <c r="L102" s="212">
        <f t="shared" si="33"/>
        <v>32.79448013152728</v>
      </c>
      <c r="M102" s="212"/>
    </row>
    <row r="103" spans="1:13" x14ac:dyDescent="0.2">
      <c r="A103" s="144"/>
      <c r="C103" s="209"/>
      <c r="D103" s="212"/>
      <c r="E103" s="212"/>
      <c r="F103" s="212"/>
      <c r="G103" s="212"/>
      <c r="H103" s="212"/>
      <c r="I103" s="212"/>
      <c r="J103" s="212"/>
      <c r="K103" s="212"/>
      <c r="L103" s="212"/>
      <c r="M103" s="212"/>
    </row>
    <row r="104" spans="1:13" x14ac:dyDescent="0.2">
      <c r="A104" s="144"/>
      <c r="B104" s="76" t="s">
        <v>135</v>
      </c>
      <c r="C104" s="213">
        <f>SUMPRODUCT(C102:L102,C57:L57)/SUM(C57:L57)</f>
        <v>32.426113879619123</v>
      </c>
      <c r="D104" s="212"/>
      <c r="E104" s="212"/>
      <c r="F104" s="212"/>
      <c r="G104" s="212"/>
      <c r="H104" s="212"/>
      <c r="I104" s="212"/>
      <c r="J104" s="212"/>
      <c r="K104" s="212"/>
      <c r="L104" s="212"/>
      <c r="M104" s="212"/>
    </row>
    <row r="105" spans="1:13" x14ac:dyDescent="0.2">
      <c r="A105" s="144"/>
      <c r="C105" s="209"/>
      <c r="D105" s="212"/>
      <c r="E105" s="212"/>
      <c r="F105" s="212"/>
      <c r="G105" s="212"/>
      <c r="H105" s="212"/>
      <c r="I105" s="212"/>
      <c r="J105" s="212"/>
      <c r="K105" s="212"/>
      <c r="L105" s="212"/>
      <c r="M105" s="212"/>
    </row>
    <row r="106" spans="1:13" x14ac:dyDescent="0.2">
      <c r="A106" s="144"/>
      <c r="C106" s="212"/>
      <c r="D106" s="212"/>
      <c r="E106" s="212"/>
      <c r="F106" s="212"/>
      <c r="G106" s="212"/>
      <c r="H106" s="212"/>
      <c r="I106" s="212"/>
      <c r="J106" s="212"/>
      <c r="K106" s="212"/>
      <c r="L106" s="212"/>
      <c r="M106" s="212"/>
    </row>
    <row r="107" spans="1:13" x14ac:dyDescent="0.2">
      <c r="A107" s="141" t="s">
        <v>136</v>
      </c>
      <c r="B107" s="139" t="s">
        <v>137</v>
      </c>
      <c r="C107" s="212"/>
      <c r="D107" s="212"/>
      <c r="E107" s="212"/>
      <c r="F107" s="212"/>
      <c r="G107" s="212"/>
      <c r="H107" s="212"/>
      <c r="I107" s="212"/>
      <c r="J107" s="212"/>
      <c r="K107" s="212"/>
      <c r="L107" s="212"/>
      <c r="M107" s="212"/>
    </row>
    <row r="108" spans="1:13" x14ac:dyDescent="0.2">
      <c r="A108" s="144"/>
      <c r="B108" s="140" t="s">
        <v>138</v>
      </c>
      <c r="C108" s="212"/>
      <c r="D108" s="212"/>
      <c r="E108" s="212"/>
      <c r="F108" s="212"/>
      <c r="G108" s="212"/>
      <c r="H108" s="212"/>
      <c r="I108" s="212"/>
      <c r="J108" s="212"/>
      <c r="K108" s="212"/>
      <c r="L108" s="212"/>
      <c r="M108" s="212"/>
    </row>
    <row r="109" spans="1:13" x14ac:dyDescent="0.2">
      <c r="A109" s="144"/>
      <c r="B109" s="140" t="s">
        <v>139</v>
      </c>
      <c r="C109" s="212"/>
      <c r="D109" s="212"/>
      <c r="E109" s="212"/>
      <c r="F109" s="212"/>
      <c r="G109" s="212"/>
      <c r="H109" s="212"/>
      <c r="I109" s="212"/>
      <c r="J109" s="212"/>
      <c r="K109" s="212"/>
      <c r="L109" s="212"/>
      <c r="M109" s="212"/>
    </row>
    <row r="110" spans="1:13" x14ac:dyDescent="0.2">
      <c r="A110" s="144"/>
      <c r="B110" s="139"/>
      <c r="C110" s="136" t="str">
        <f>+C7</f>
        <v>RS</v>
      </c>
      <c r="D110" s="136" t="str">
        <f t="shared" ref="D110:L110" si="34">+D7</f>
        <v>RHS</v>
      </c>
      <c r="E110" s="136" t="str">
        <f t="shared" si="34"/>
        <v>RLM</v>
      </c>
      <c r="F110" s="136" t="str">
        <f t="shared" si="34"/>
        <v>WH</v>
      </c>
      <c r="G110" s="136" t="str">
        <f t="shared" si="34"/>
        <v>WHS</v>
      </c>
      <c r="H110" s="136" t="str">
        <f t="shared" si="34"/>
        <v>HS</v>
      </c>
      <c r="I110" s="136" t="str">
        <f t="shared" si="34"/>
        <v>PSAL</v>
      </c>
      <c r="J110" s="136" t="str">
        <f t="shared" si="34"/>
        <v>BPL</v>
      </c>
      <c r="K110" s="136" t="str">
        <f t="shared" si="34"/>
        <v>GLP</v>
      </c>
      <c r="L110" s="136" t="str">
        <f t="shared" si="34"/>
        <v>LPL-S</v>
      </c>
      <c r="M110" s="136"/>
    </row>
    <row r="111" spans="1:13" x14ac:dyDescent="0.2">
      <c r="A111" s="144"/>
      <c r="C111" s="214"/>
    </row>
    <row r="112" spans="1:13" x14ac:dyDescent="0.2">
      <c r="A112" s="144"/>
      <c r="B112" s="150" t="s">
        <v>130</v>
      </c>
      <c r="C112" s="215">
        <f t="shared" ref="C112:L112" si="35">SUM(C50:C53)*C94/1000</f>
        <v>155291.30437420672</v>
      </c>
      <c r="D112" s="215">
        <f t="shared" si="35"/>
        <v>883.84624887789437</v>
      </c>
      <c r="E112" s="215">
        <f t="shared" si="35"/>
        <v>2899.4699685003707</v>
      </c>
      <c r="F112" s="215">
        <f t="shared" si="35"/>
        <v>9.4198918481113125</v>
      </c>
      <c r="G112" s="215">
        <f t="shared" si="35"/>
        <v>0.19897177290658205</v>
      </c>
      <c r="H112" s="215">
        <f t="shared" si="35"/>
        <v>106.23923678133086</v>
      </c>
      <c r="I112" s="215">
        <f t="shared" si="35"/>
        <v>1098.1471663485916</v>
      </c>
      <c r="J112" s="215">
        <f t="shared" si="35"/>
        <v>1968.5857025274327</v>
      </c>
      <c r="K112" s="215">
        <f t="shared" si="35"/>
        <v>72808.896803495853</v>
      </c>
      <c r="L112" s="215">
        <f t="shared" si="35"/>
        <v>47871.534722058968</v>
      </c>
      <c r="M112" s="215"/>
    </row>
    <row r="113" spans="1:30" x14ac:dyDescent="0.2">
      <c r="A113" s="144"/>
      <c r="B113" s="210" t="s">
        <v>131</v>
      </c>
      <c r="C113" s="215">
        <f t="shared" ref="C113:L113" si="36">SUMPRODUCT(C50:C53,C14:C17)*C95/1000</f>
        <v>99895.078683914398</v>
      </c>
      <c r="D113" s="215">
        <f t="shared" si="36"/>
        <v>577.79225574533052</v>
      </c>
      <c r="E113" s="215">
        <f t="shared" si="36"/>
        <v>1923.6640971246798</v>
      </c>
      <c r="F113" s="215">
        <f t="shared" si="36"/>
        <v>5.7421929131495197</v>
      </c>
      <c r="G113" s="215">
        <f t="shared" si="36"/>
        <v>0.12110333847426454</v>
      </c>
      <c r="H113" s="215">
        <f t="shared" si="36"/>
        <v>79.181746982430255</v>
      </c>
      <c r="I113" s="215">
        <f t="shared" si="36"/>
        <v>340.28256960044035</v>
      </c>
      <c r="J113" s="215">
        <f t="shared" si="36"/>
        <v>609.52621066325946</v>
      </c>
      <c r="K113" s="215">
        <f t="shared" si="36"/>
        <v>52039.888074534356</v>
      </c>
      <c r="L113" s="215">
        <f t="shared" si="36"/>
        <v>32951.951726399115</v>
      </c>
      <c r="M113" s="215"/>
    </row>
    <row r="114" spans="1:30" x14ac:dyDescent="0.2">
      <c r="A114" s="144"/>
      <c r="B114" s="210" t="s">
        <v>132</v>
      </c>
      <c r="C114" s="215">
        <f t="shared" ref="C114:L114" si="37">SUMPRODUCT(C50:C53,O14:O17)*C96/1000</f>
        <v>55396.225690292318</v>
      </c>
      <c r="D114" s="215">
        <f t="shared" si="37"/>
        <v>306.05399313256396</v>
      </c>
      <c r="E114" s="215">
        <f t="shared" si="37"/>
        <v>975.80587137569069</v>
      </c>
      <c r="F114" s="215">
        <f t="shared" si="37"/>
        <v>3.6776989349617928</v>
      </c>
      <c r="G114" s="215">
        <f t="shared" si="37"/>
        <v>7.7868434432317529E-2</v>
      </c>
      <c r="H114" s="215">
        <f t="shared" si="37"/>
        <v>27.057489798900605</v>
      </c>
      <c r="I114" s="215">
        <f t="shared" si="37"/>
        <v>757.86459674815114</v>
      </c>
      <c r="J114" s="215">
        <f t="shared" si="37"/>
        <v>1359.059491864173</v>
      </c>
      <c r="K114" s="215">
        <f t="shared" si="37"/>
        <v>20769.008728961504</v>
      </c>
      <c r="L114" s="215">
        <f t="shared" si="37"/>
        <v>14919.58299565985</v>
      </c>
      <c r="M114" s="215"/>
    </row>
    <row r="115" spans="1:30" x14ac:dyDescent="0.2">
      <c r="A115" s="144"/>
      <c r="C115" s="216"/>
      <c r="D115" s="216"/>
      <c r="E115" s="216"/>
      <c r="F115" s="216"/>
      <c r="G115" s="216"/>
      <c r="H115" s="216"/>
      <c r="I115" s="216"/>
      <c r="J115" s="216"/>
      <c r="K115" s="216"/>
      <c r="L115" s="216"/>
      <c r="M115" s="216"/>
    </row>
    <row r="116" spans="1:30" x14ac:dyDescent="0.2">
      <c r="A116" s="144"/>
      <c r="B116" s="150" t="s">
        <v>133</v>
      </c>
      <c r="C116" s="216">
        <f t="shared" ref="C116:L116" si="38">SUM(C45:C49,C54:C56)*C98/1000</f>
        <v>235214.89264743283</v>
      </c>
      <c r="D116" s="216">
        <f t="shared" si="38"/>
        <v>3565.4960334142679</v>
      </c>
      <c r="E116" s="216">
        <f t="shared" si="38"/>
        <v>4105.2525848323949</v>
      </c>
      <c r="F116" s="216">
        <f t="shared" si="38"/>
        <v>31.982677649542484</v>
      </c>
      <c r="G116" s="216">
        <f t="shared" si="38"/>
        <v>0.67631930743377278</v>
      </c>
      <c r="H116" s="216">
        <f t="shared" si="38"/>
        <v>437.87448706190355</v>
      </c>
      <c r="I116" s="216">
        <f t="shared" si="38"/>
        <v>3628.946487789101</v>
      </c>
      <c r="J116" s="216">
        <f t="shared" si="38"/>
        <v>6895.2534512351695</v>
      </c>
      <c r="K116" s="216">
        <f t="shared" si="38"/>
        <v>139280.99708871439</v>
      </c>
      <c r="L116" s="216">
        <f t="shared" si="38"/>
        <v>98571.461538705466</v>
      </c>
      <c r="M116" s="216"/>
    </row>
    <row r="117" spans="1:30" x14ac:dyDescent="0.2">
      <c r="A117" s="144"/>
      <c r="B117" s="210" t="s">
        <v>131</v>
      </c>
      <c r="C117" s="215">
        <f t="shared" ref="C117:L117" si="39">(SUMPRODUCT(C45:C49,C9:C13)+SUMPRODUCT(C54:C56,C18:C20))*C99/1000</f>
        <v>132505.86379340317</v>
      </c>
      <c r="D117" s="215">
        <f t="shared" si="39"/>
        <v>1998.2350772116667</v>
      </c>
      <c r="E117" s="215">
        <f t="shared" si="39"/>
        <v>2363.5885453285991</v>
      </c>
      <c r="F117" s="215">
        <f t="shared" si="39"/>
        <v>16.882419773682642</v>
      </c>
      <c r="G117" s="215">
        <f t="shared" si="39"/>
        <v>0.35768165195248758</v>
      </c>
      <c r="H117" s="215">
        <f t="shared" si="39"/>
        <v>248.24259460950231</v>
      </c>
      <c r="I117" s="215">
        <f t="shared" si="39"/>
        <v>1248.8780384752374</v>
      </c>
      <c r="J117" s="215">
        <f t="shared" si="39"/>
        <v>2368.8144114198053</v>
      </c>
      <c r="K117" s="215">
        <f t="shared" si="39"/>
        <v>89974.028241825043</v>
      </c>
      <c r="L117" s="215">
        <f t="shared" si="39"/>
        <v>62016.737679611375</v>
      </c>
      <c r="M117" s="215"/>
    </row>
    <row r="118" spans="1:30" x14ac:dyDescent="0.2">
      <c r="A118" s="144"/>
      <c r="B118" s="210" t="s">
        <v>132</v>
      </c>
      <c r="C118" s="215">
        <f t="shared" ref="C118:L118" si="40">+(SUMPRODUCT(C45:C49,O9:O13)+SUMPRODUCT(C54:C56,O18:O20))*C100/1000</f>
        <v>102709.02885402963</v>
      </c>
      <c r="D118" s="215">
        <f t="shared" si="40"/>
        <v>1567.2609562026009</v>
      </c>
      <c r="E118" s="215">
        <f t="shared" si="40"/>
        <v>1741.6640395037955</v>
      </c>
      <c r="F118" s="215">
        <f t="shared" si="40"/>
        <v>15.100257875859842</v>
      </c>
      <c r="G118" s="215">
        <f t="shared" si="40"/>
        <v>0.31863765548128514</v>
      </c>
      <c r="H118" s="215">
        <f t="shared" si="40"/>
        <v>189.63189245240125</v>
      </c>
      <c r="I118" s="215">
        <f t="shared" si="40"/>
        <v>2380.0684493138638</v>
      </c>
      <c r="J118" s="215">
        <f t="shared" si="40"/>
        <v>4526.4390398153646</v>
      </c>
      <c r="K118" s="215">
        <f t="shared" si="40"/>
        <v>49306.968846889344</v>
      </c>
      <c r="L118" s="215">
        <f t="shared" si="40"/>
        <v>36554.723859094083</v>
      </c>
      <c r="M118" s="215"/>
    </row>
    <row r="119" spans="1:30" x14ac:dyDescent="0.2">
      <c r="A119" s="144"/>
      <c r="C119" s="211"/>
      <c r="D119" s="211"/>
      <c r="E119" s="211"/>
      <c r="F119" s="211"/>
      <c r="G119" s="211"/>
      <c r="H119" s="211"/>
      <c r="I119" s="211"/>
      <c r="J119" s="211"/>
      <c r="K119" s="211"/>
      <c r="L119" s="211"/>
      <c r="M119" s="211"/>
    </row>
    <row r="120" spans="1:30" x14ac:dyDescent="0.2">
      <c r="A120" s="144"/>
      <c r="B120" s="76" t="s">
        <v>134</v>
      </c>
      <c r="C120" s="216">
        <f>+C112+C116</f>
        <v>390506.19702163956</v>
      </c>
      <c r="D120" s="216">
        <f t="shared" ref="D120:L120" si="41">+D112+D116</f>
        <v>4449.3422822921621</v>
      </c>
      <c r="E120" s="216">
        <f t="shared" si="41"/>
        <v>7004.7225533327655</v>
      </c>
      <c r="F120" s="216">
        <f t="shared" si="41"/>
        <v>41.402569497653801</v>
      </c>
      <c r="G120" s="216">
        <f t="shared" si="41"/>
        <v>0.87529108034035485</v>
      </c>
      <c r="H120" s="216">
        <f t="shared" si="41"/>
        <v>544.11372384323442</v>
      </c>
      <c r="I120" s="216">
        <f t="shared" si="41"/>
        <v>4727.0936541376923</v>
      </c>
      <c r="J120" s="216">
        <f t="shared" si="41"/>
        <v>8863.8391537626012</v>
      </c>
      <c r="K120" s="216">
        <f t="shared" si="41"/>
        <v>212089.89389221024</v>
      </c>
      <c r="L120" s="216">
        <f t="shared" si="41"/>
        <v>146442.99626076443</v>
      </c>
      <c r="M120" s="216"/>
    </row>
    <row r="121" spans="1:30" x14ac:dyDescent="0.2">
      <c r="A121" s="144"/>
    </row>
    <row r="122" spans="1:30" x14ac:dyDescent="0.2">
      <c r="A122" s="144"/>
      <c r="B122" s="76" t="s">
        <v>135</v>
      </c>
      <c r="C122" s="215">
        <f>SUM(C120:L120)</f>
        <v>774670.4764025606</v>
      </c>
      <c r="E122" s="217"/>
      <c r="F122" s="209"/>
    </row>
    <row r="123" spans="1:30" x14ac:dyDescent="0.2">
      <c r="A123" s="144"/>
    </row>
    <row r="124" spans="1:30" x14ac:dyDescent="0.2">
      <c r="A124" s="144"/>
    </row>
    <row r="125" spans="1:30" x14ac:dyDescent="0.2">
      <c r="A125" s="141" t="s">
        <v>140</v>
      </c>
      <c r="B125" s="139" t="s">
        <v>141</v>
      </c>
      <c r="C125" s="212"/>
      <c r="Q125" s="76" t="s">
        <v>142</v>
      </c>
      <c r="T125" s="76" t="s">
        <v>143</v>
      </c>
      <c r="W125" s="76" t="s">
        <v>144</v>
      </c>
      <c r="Z125" s="76" t="s">
        <v>145</v>
      </c>
    </row>
    <row r="126" spans="1:30" x14ac:dyDescent="0.2">
      <c r="A126" s="144"/>
      <c r="B126" s="140" t="s">
        <v>146</v>
      </c>
      <c r="C126" s="212"/>
      <c r="W126" s="76" t="s">
        <v>147</v>
      </c>
      <c r="Z126" s="76" t="s">
        <v>148</v>
      </c>
      <c r="AC126" s="76" t="s">
        <v>149</v>
      </c>
    </row>
    <row r="127" spans="1:30" x14ac:dyDescent="0.2">
      <c r="A127" s="144"/>
      <c r="B127" s="140" t="s">
        <v>129</v>
      </c>
      <c r="C127" s="212"/>
    </row>
    <row r="128" spans="1:30" x14ac:dyDescent="0.2">
      <c r="A128" s="144"/>
      <c r="B128" s="139"/>
      <c r="C128" s="136" t="str">
        <f>+C7</f>
        <v>RS</v>
      </c>
      <c r="D128" s="136" t="str">
        <f t="shared" ref="D128:L128" si="42">+D7</f>
        <v>RHS</v>
      </c>
      <c r="E128" s="136" t="str">
        <f t="shared" si="42"/>
        <v>RLM</v>
      </c>
      <c r="F128" s="136" t="str">
        <f t="shared" si="42"/>
        <v>WH</v>
      </c>
      <c r="G128" s="136" t="str">
        <f t="shared" si="42"/>
        <v>WHS</v>
      </c>
      <c r="H128" s="136" t="str">
        <f t="shared" si="42"/>
        <v>HS</v>
      </c>
      <c r="I128" s="136" t="str">
        <f t="shared" si="42"/>
        <v>PSAL</v>
      </c>
      <c r="J128" s="136" t="str">
        <f t="shared" si="42"/>
        <v>BPL</v>
      </c>
      <c r="K128" s="136" t="str">
        <f t="shared" si="42"/>
        <v>GLP</v>
      </c>
      <c r="L128" s="136" t="str">
        <f t="shared" si="42"/>
        <v>LPL-S</v>
      </c>
      <c r="M128" s="136"/>
      <c r="O128" s="136"/>
      <c r="P128" s="136"/>
      <c r="Q128" s="136" t="str">
        <f>+E128</f>
        <v>RLM</v>
      </c>
      <c r="R128" s="136" t="str">
        <f>+L128</f>
        <v>LPL-S</v>
      </c>
      <c r="S128" s="136"/>
      <c r="T128" s="136" t="str">
        <f>+E128</f>
        <v>RLM</v>
      </c>
      <c r="U128" s="136" t="str">
        <f>+L128</f>
        <v>LPL-S</v>
      </c>
      <c r="V128" s="136"/>
      <c r="W128" s="136" t="str">
        <f>+E128</f>
        <v>RLM</v>
      </c>
      <c r="X128" s="136" t="str">
        <f>+L128</f>
        <v>LPL-S</v>
      </c>
      <c r="Z128" s="136" t="str">
        <f>+E128</f>
        <v>RLM</v>
      </c>
      <c r="AA128" s="136" t="str">
        <f>+L128</f>
        <v>LPL-S</v>
      </c>
      <c r="AC128" s="218" t="str">
        <f>+E128</f>
        <v>RLM</v>
      </c>
      <c r="AD128" s="136" t="str">
        <f>+L128</f>
        <v>LPL-S</v>
      </c>
    </row>
    <row r="129" spans="1:39" x14ac:dyDescent="0.2">
      <c r="A129" s="144"/>
      <c r="C129" s="214"/>
    </row>
    <row r="130" spans="1:39" x14ac:dyDescent="0.2">
      <c r="A130" s="144"/>
      <c r="B130" s="150" t="s">
        <v>130</v>
      </c>
      <c r="C130" s="213">
        <f t="shared" ref="C130:L130" si="43">+C112/SUM(C50:C53)*1000</f>
        <v>29.584397062096887</v>
      </c>
      <c r="D130" s="213">
        <f t="shared" si="43"/>
        <v>29.663694829151808</v>
      </c>
      <c r="E130" s="213">
        <f t="shared" si="43"/>
        <v>29.894355798948428</v>
      </c>
      <c r="F130" s="213">
        <f t="shared" si="43"/>
        <v>28.719182463754002</v>
      </c>
      <c r="G130" s="213">
        <f t="shared" si="43"/>
        <v>28.424538986654579</v>
      </c>
      <c r="H130" s="213">
        <f t="shared" si="43"/>
        <v>31.02507790406754</v>
      </c>
      <c r="I130" s="213">
        <f t="shared" si="43"/>
        <v>24.792792683913746</v>
      </c>
      <c r="J130" s="213">
        <f t="shared" si="43"/>
        <v>24.814209755428795</v>
      </c>
      <c r="K130" s="213">
        <f t="shared" si="43"/>
        <v>30.609562502477417</v>
      </c>
      <c r="L130" s="213">
        <f t="shared" si="43"/>
        <v>30.141652613832282</v>
      </c>
      <c r="M130" s="213"/>
    </row>
    <row r="131" spans="1:39" x14ac:dyDescent="0.2">
      <c r="A131" s="144"/>
      <c r="B131" s="210" t="s">
        <v>150</v>
      </c>
      <c r="C131" s="215"/>
      <c r="E131" s="213">
        <f>+(E113*1000-W131*AVERAGE(E$95,E$96))/Q131</f>
        <v>37.499351152008131</v>
      </c>
      <c r="F131" s="213"/>
      <c r="G131" s="215"/>
      <c r="H131" s="215"/>
      <c r="I131" s="215"/>
      <c r="J131" s="215"/>
      <c r="K131" s="215"/>
      <c r="L131" s="213">
        <f>+(L113*1000-X131*AVERAGE(L$95,L$96))/R131</f>
        <v>37.206482213220035</v>
      </c>
      <c r="M131" s="213"/>
      <c r="N131" s="213"/>
      <c r="Q131" s="170">
        <f>SUMPRODUCT(E50:E53,E32:E35)</f>
        <v>46660.083768386205</v>
      </c>
      <c r="R131" s="170">
        <f>SUMPRODUCT(L50:L53,L32:L35)</f>
        <v>809528.52763515909</v>
      </c>
      <c r="T131" s="170">
        <f>SUMPRODUCT(E50:E53,E14:E17)</f>
        <v>52601.350972511958</v>
      </c>
      <c r="U131" s="170">
        <f>SUMPRODUCT(L50:L53,L14:L17)</f>
        <v>906800.30220733129</v>
      </c>
      <c r="W131" s="170">
        <f>+T131-Q131</f>
        <v>5941.2672041257538</v>
      </c>
      <c r="X131" s="170">
        <f>+U131-R131</f>
        <v>97271.774572172202</v>
      </c>
      <c r="Z131" s="219">
        <f>+E131*Q131/1000</f>
        <v>1749.7228660128292</v>
      </c>
      <c r="AA131" s="219">
        <f>+L131*R131/1000</f>
        <v>30119.708764551753</v>
      </c>
    </row>
    <row r="132" spans="1:39" ht="15" x14ac:dyDescent="0.35">
      <c r="A132" s="144"/>
      <c r="B132" s="210" t="s">
        <v>151</v>
      </c>
      <c r="C132" s="213"/>
      <c r="D132" s="213"/>
      <c r="E132" s="213">
        <f>+(E114*1000-W132*AVERAGE(E$95,E$96))/Q132</f>
        <v>22.843959552199863</v>
      </c>
      <c r="F132" s="215"/>
      <c r="G132" s="215"/>
      <c r="H132" s="215"/>
      <c r="I132" s="215"/>
      <c r="J132" s="215"/>
      <c r="K132" s="215"/>
      <c r="L132" s="213">
        <f>+(L114*1000-X132*AVERAGE(L$95,L$96))/R132</f>
        <v>22.79703507734698</v>
      </c>
      <c r="M132" s="213"/>
      <c r="N132" s="213"/>
      <c r="Q132" s="170">
        <f>SUMPRODUCT(E50:E53,Q32:Q35)</f>
        <v>50330.464815449261</v>
      </c>
      <c r="R132" s="170">
        <f>SUMPRODUCT(L50:L53,X32:X35)</f>
        <v>778690.11901231389</v>
      </c>
      <c r="T132" s="170">
        <f>SUMPRODUCT(E50:E53,Q14:Q17)</f>
        <v>44389.197611323507</v>
      </c>
      <c r="U132" s="170">
        <f>SUMPRODUCT(L50:L53,X14:X17)</f>
        <v>681418.34444014169</v>
      </c>
      <c r="W132" s="170">
        <f>+T132-Q132</f>
        <v>-5941.2672041257538</v>
      </c>
      <c r="X132" s="170">
        <f>+U132-R132</f>
        <v>-97271.774572172202</v>
      </c>
      <c r="Z132" s="220">
        <f>+E132*Q132/1000</f>
        <v>1149.7471024875413</v>
      </c>
      <c r="AA132" s="220">
        <f>+L132*R132/1000</f>
        <v>17751.825957507215</v>
      </c>
    </row>
    <row r="133" spans="1:39" x14ac:dyDescent="0.2">
      <c r="A133" s="144"/>
      <c r="C133" s="213"/>
      <c r="D133" s="213"/>
      <c r="E133" s="216"/>
      <c r="F133" s="216"/>
      <c r="G133" s="216"/>
      <c r="H133" s="216"/>
      <c r="I133" s="216"/>
      <c r="J133" s="216"/>
      <c r="K133" s="216"/>
      <c r="L133" s="216"/>
      <c r="M133" s="216"/>
      <c r="Q133" s="170"/>
      <c r="R133" s="170"/>
      <c r="T133" s="170"/>
      <c r="U133" s="170"/>
      <c r="W133" s="170"/>
      <c r="X133" s="170"/>
      <c r="Z133" s="219">
        <f>+Z132+Z131</f>
        <v>2899.4699685003707</v>
      </c>
      <c r="AA133" s="219">
        <f>+AA132+AA131</f>
        <v>47871.534722058968</v>
      </c>
      <c r="AC133" s="214">
        <f>+E112</f>
        <v>2899.4699685003707</v>
      </c>
      <c r="AD133" s="214">
        <f>+L112</f>
        <v>47871.534722058968</v>
      </c>
    </row>
    <row r="134" spans="1:39" x14ac:dyDescent="0.2">
      <c r="A134" s="144"/>
      <c r="B134" s="150" t="s">
        <v>133</v>
      </c>
      <c r="C134" s="212">
        <f t="shared" ref="C134:L134" si="44">+C116/SUM(C45:C49,C54:C56)*1000</f>
        <v>33.921156434589548</v>
      </c>
      <c r="D134" s="212">
        <f t="shared" si="44"/>
        <v>35.30629616738095</v>
      </c>
      <c r="E134" s="212">
        <f t="shared" si="44"/>
        <v>33.886888914105889</v>
      </c>
      <c r="F134" s="212">
        <f t="shared" si="44"/>
        <v>33.489714816274848</v>
      </c>
      <c r="G134" s="212">
        <f t="shared" si="44"/>
        <v>33.815965371688641</v>
      </c>
      <c r="H134" s="212">
        <f t="shared" si="44"/>
        <v>35.552109554514466</v>
      </c>
      <c r="I134" s="212">
        <f t="shared" si="44"/>
        <v>31.645489320157843</v>
      </c>
      <c r="J134" s="212">
        <f t="shared" si="44"/>
        <v>31.784882343721254</v>
      </c>
      <c r="K134" s="212">
        <f t="shared" si="44"/>
        <v>34.460548315304841</v>
      </c>
      <c r="L134" s="212">
        <f t="shared" si="44"/>
        <v>34.258815145819781</v>
      </c>
      <c r="M134" s="212"/>
      <c r="Q134" s="170"/>
      <c r="R134" s="170"/>
      <c r="T134" s="170"/>
      <c r="U134" s="170"/>
      <c r="W134" s="170"/>
      <c r="X134" s="170"/>
      <c r="Z134" s="219"/>
      <c r="AA134" s="219"/>
      <c r="AC134" s="214"/>
    </row>
    <row r="135" spans="1:39" x14ac:dyDescent="0.2">
      <c r="A135" s="144"/>
      <c r="B135" s="210" t="s">
        <v>150</v>
      </c>
      <c r="C135" s="215"/>
      <c r="D135" s="215"/>
      <c r="E135" s="213">
        <f>+(E117*1000-W135*AVERAGE(E$99,E$100))/Q135</f>
        <v>39.767590212205846</v>
      </c>
      <c r="F135" s="213"/>
      <c r="G135" s="213"/>
      <c r="H135" s="215"/>
      <c r="I135" s="215"/>
      <c r="J135" s="215"/>
      <c r="K135" s="215"/>
      <c r="L135" s="213">
        <f>+(L117*1000-X135*AVERAGE(L$99,L$100))/R135</f>
        <v>39.372966201944749</v>
      </c>
      <c r="M135" s="213"/>
      <c r="N135" s="213"/>
      <c r="Q135" s="170">
        <f>SUMPRODUCT(E45:E49,E27:E31)+SUMPRODUCT(E54:E56,E36:E38)</f>
        <v>52537.838233439645</v>
      </c>
      <c r="R135" s="170">
        <f>SUMPRODUCT(L45:L49,L27:L31)+SUMPRODUCT(L54:L56,L36:L38)</f>
        <v>1422570.4665419753</v>
      </c>
      <c r="T135" s="170">
        <f>SUMPRODUCT(E45:E49,E9:E13)+SUMPRODUCT(E54:E56,E18:E20)</f>
        <v>60633.194451152507</v>
      </c>
      <c r="U135" s="170">
        <f>SUMPRODUCT(L45:L49,L9:L13)+SUMPRODUCT(L54:L56,L18:L20)</f>
        <v>1600844.1684246073</v>
      </c>
      <c r="W135" s="170">
        <f>+T135-Q135</f>
        <v>8095.3562177128624</v>
      </c>
      <c r="X135" s="170">
        <f>+U135-R135</f>
        <v>178273.70188263198</v>
      </c>
      <c r="Z135" s="219">
        <f>+E135*Q135/1000</f>
        <v>2089.3032215025887</v>
      </c>
      <c r="AA135" s="219">
        <f>+L135*R135/1000</f>
        <v>56010.818899041966</v>
      </c>
      <c r="AC135" s="214"/>
    </row>
    <row r="136" spans="1:39" ht="15" x14ac:dyDescent="0.35">
      <c r="A136" s="144"/>
      <c r="B136" s="210" t="s">
        <v>151</v>
      </c>
      <c r="C136" s="215"/>
      <c r="D136" s="215"/>
      <c r="E136" s="213">
        <f>+(E118*1000-W136*AVERAGE(E$99,E$100))/Q136</f>
        <v>29.383627935500435</v>
      </c>
      <c r="F136" s="213"/>
      <c r="G136" s="213"/>
      <c r="H136" s="215"/>
      <c r="I136" s="215"/>
      <c r="J136" s="215"/>
      <c r="K136" s="215"/>
      <c r="L136" s="213">
        <f>+(L118*1000-X136*AVERAGE(L$99,L$100))/R136</f>
        <v>29.25757715167299</v>
      </c>
      <c r="M136" s="213"/>
      <c r="N136" s="213"/>
      <c r="Q136" s="170">
        <f>SUMPRODUCT(E45:E49,Q27:Q31)+SUMPRODUCT(E54:E56,Q36:Q38)</f>
        <v>68607.912125588657</v>
      </c>
      <c r="R136" s="170">
        <f>SUMPRODUCT(L45:L49,X27:X31)+SUMPRODUCT(L54:L56,X36:X38)</f>
        <v>1454687.8717614461</v>
      </c>
      <c r="T136" s="170">
        <f>SUMPRODUCT(E45:E49,Q9:Q13)+SUMPRODUCT(E54:E56,Q18:Q20)</f>
        <v>60512.555907875794</v>
      </c>
      <c r="U136" s="170">
        <f>SUMPRODUCT(L45:L49,X9:X13)+SUMPRODUCT(L54:L56,X18:X20)</f>
        <v>1276414.1698788141</v>
      </c>
      <c r="W136" s="170">
        <f>+T136-Q136</f>
        <v>-8095.3562177128624</v>
      </c>
      <c r="X136" s="170">
        <f>+U136-R136</f>
        <v>-178273.70188263198</v>
      </c>
      <c r="Z136" s="220">
        <f>+E136*Q136/1000</f>
        <v>2015.9493633298059</v>
      </c>
      <c r="AA136" s="220">
        <f>+L136*R136/1000</f>
        <v>42560.642639663492</v>
      </c>
      <c r="AC136" s="214"/>
    </row>
    <row r="137" spans="1:39" x14ac:dyDescent="0.2">
      <c r="A137" s="144"/>
      <c r="C137" s="211"/>
      <c r="D137" s="211"/>
      <c r="E137" s="211"/>
      <c r="F137" s="211"/>
      <c r="G137" s="211"/>
      <c r="H137" s="211"/>
      <c r="I137" s="211"/>
      <c r="J137" s="211"/>
      <c r="K137" s="211"/>
      <c r="L137" s="211"/>
      <c r="M137" s="211"/>
      <c r="Z137" s="219">
        <f>+Z136+Z135</f>
        <v>4105.2525848323949</v>
      </c>
      <c r="AA137" s="219">
        <f>+AA136+AA135</f>
        <v>98571.461538705451</v>
      </c>
      <c r="AC137" s="214">
        <f>+E116</f>
        <v>4105.2525848323949</v>
      </c>
      <c r="AD137" s="214">
        <f>+L116</f>
        <v>98571.461538705466</v>
      </c>
    </row>
    <row r="138" spans="1:39" x14ac:dyDescent="0.2">
      <c r="A138" s="144"/>
      <c r="B138" s="76" t="s">
        <v>152</v>
      </c>
      <c r="C138" s="209">
        <f t="shared" ref="C138:L138" si="45">(C130*SUM(C50:C53)+C134*SUM(C45:C49,C54:C56))/C57</f>
        <v>32.052685961214074</v>
      </c>
      <c r="D138" s="209">
        <f t="shared" si="45"/>
        <v>34.020775000517375</v>
      </c>
      <c r="E138" s="209">
        <f t="shared" si="45"/>
        <v>32.11167782381559</v>
      </c>
      <c r="F138" s="209">
        <f t="shared" si="45"/>
        <v>32.270124316175988</v>
      </c>
      <c r="G138" s="209">
        <f t="shared" si="45"/>
        <v>32.418188160753886</v>
      </c>
      <c r="H138" s="209">
        <f t="shared" si="45"/>
        <v>34.567279897347049</v>
      </c>
      <c r="I138" s="209">
        <f t="shared" si="45"/>
        <v>29.736133398782719</v>
      </c>
      <c r="J138" s="209">
        <f t="shared" si="45"/>
        <v>29.918314342968539</v>
      </c>
      <c r="K138" s="209">
        <f t="shared" si="45"/>
        <v>33.033830109615167</v>
      </c>
      <c r="L138" s="209">
        <f t="shared" si="45"/>
        <v>32.794480131527287</v>
      </c>
      <c r="M138" s="209"/>
      <c r="AC138" s="214"/>
    </row>
    <row r="139" spans="1:39" x14ac:dyDescent="0.2">
      <c r="A139" s="144"/>
      <c r="B139" s="76" t="s">
        <v>153</v>
      </c>
      <c r="C139" s="213">
        <f>+C122/SUM(C57:L57)*1000</f>
        <v>32.426113879619123</v>
      </c>
      <c r="T139" s="170"/>
      <c r="U139" s="170"/>
    </row>
    <row r="140" spans="1:39" x14ac:dyDescent="0.2">
      <c r="A140" s="144"/>
      <c r="T140" s="170"/>
      <c r="U140" s="170"/>
    </row>
    <row r="141" spans="1:39" x14ac:dyDescent="0.2">
      <c r="A141" s="144"/>
      <c r="T141" s="170"/>
      <c r="U141" s="170"/>
    </row>
    <row r="142" spans="1:39" x14ac:dyDescent="0.2">
      <c r="A142" s="141" t="s">
        <v>62</v>
      </c>
      <c r="B142" s="139" t="s">
        <v>63</v>
      </c>
      <c r="L142" s="136" t="s">
        <v>154</v>
      </c>
      <c r="T142" s="170"/>
      <c r="U142" s="170"/>
    </row>
    <row r="143" spans="1:39" x14ac:dyDescent="0.2">
      <c r="A143" s="144"/>
      <c r="B143" s="140" t="str">
        <f>Input!B97</f>
        <v>obligations - Peak Load shares eff 6/1/17, scaling factors eff 6/1/17, Transmission Loads eff 1/1/17; costs are market estimates</v>
      </c>
      <c r="L143" s="136" t="s">
        <v>155</v>
      </c>
      <c r="T143" s="170"/>
      <c r="U143" s="170"/>
    </row>
    <row r="144" spans="1:39" x14ac:dyDescent="0.2">
      <c r="A144" s="144"/>
      <c r="B144" s="140" t="s">
        <v>64</v>
      </c>
      <c r="C144" s="136" t="str">
        <f>+C7</f>
        <v>RS</v>
      </c>
      <c r="D144" s="136" t="str">
        <f t="shared" ref="D144:L144" si="46">+D7</f>
        <v>RHS</v>
      </c>
      <c r="E144" s="136" t="str">
        <f t="shared" si="46"/>
        <v>RLM</v>
      </c>
      <c r="F144" s="136" t="str">
        <f t="shared" si="46"/>
        <v>WH</v>
      </c>
      <c r="G144" s="136" t="str">
        <f t="shared" si="46"/>
        <v>WHS</v>
      </c>
      <c r="H144" s="136" t="str">
        <f t="shared" si="46"/>
        <v>HS</v>
      </c>
      <c r="I144" s="136" t="str">
        <f t="shared" si="46"/>
        <v>PSAL</v>
      </c>
      <c r="J144" s="136" t="str">
        <f t="shared" si="46"/>
        <v>BPL</v>
      </c>
      <c r="K144" s="136" t="str">
        <f t="shared" si="46"/>
        <v>GLP</v>
      </c>
      <c r="L144" s="136" t="str">
        <f t="shared" si="46"/>
        <v>LPL-S</v>
      </c>
      <c r="M144" s="136"/>
      <c r="T144" s="170"/>
      <c r="U144" s="170"/>
      <c r="AD144" s="136" t="s">
        <v>9</v>
      </c>
      <c r="AE144" s="136" t="s">
        <v>10</v>
      </c>
      <c r="AF144" s="136" t="s">
        <v>11</v>
      </c>
      <c r="AG144" s="136" t="s">
        <v>12</v>
      </c>
      <c r="AH144" s="136" t="s">
        <v>13</v>
      </c>
      <c r="AI144" s="136" t="s">
        <v>14</v>
      </c>
      <c r="AJ144" s="136" t="s">
        <v>15</v>
      </c>
      <c r="AK144" s="136" t="s">
        <v>16</v>
      </c>
      <c r="AL144" s="136" t="s">
        <v>17</v>
      </c>
      <c r="AM144" s="136" t="s">
        <v>18</v>
      </c>
    </row>
    <row r="145" spans="1:39" x14ac:dyDescent="0.2">
      <c r="A145" s="144"/>
      <c r="B145" s="140"/>
      <c r="C145" s="136"/>
      <c r="D145" s="136"/>
      <c r="E145" s="136"/>
      <c r="F145" s="136"/>
      <c r="G145" s="136"/>
      <c r="H145" s="136"/>
      <c r="I145" s="136"/>
      <c r="J145" s="136"/>
      <c r="K145" s="136"/>
      <c r="M145" s="136"/>
      <c r="R145" s="362" t="s">
        <v>156</v>
      </c>
      <c r="S145" s="363"/>
      <c r="T145" s="363"/>
      <c r="U145" s="363"/>
      <c r="V145" s="363"/>
      <c r="AC145" s="221" t="s">
        <v>65</v>
      </c>
      <c r="AD145" s="222">
        <f>Input!C101</f>
        <v>3614.8035376744388</v>
      </c>
      <c r="AE145" s="222">
        <f>Input!D101</f>
        <v>23.643695494965005</v>
      </c>
      <c r="AF145" s="222">
        <f>Input!E101</f>
        <v>69.399876937336387</v>
      </c>
      <c r="AG145" s="222">
        <f>Input!F101</f>
        <v>0</v>
      </c>
      <c r="AH145" s="222">
        <f>Input!G101</f>
        <v>0</v>
      </c>
      <c r="AI145" s="222">
        <f>Input!H101</f>
        <v>2.8850730932572</v>
      </c>
      <c r="AJ145" s="222">
        <f>Input!I101</f>
        <v>0</v>
      </c>
      <c r="AK145" s="222">
        <f>Input!J101</f>
        <v>0</v>
      </c>
      <c r="AL145" s="222">
        <f>Input!K101</f>
        <v>1791.2766878838574</v>
      </c>
      <c r="AM145" s="222">
        <f>Input!L101</f>
        <v>1397.5169179511906</v>
      </c>
    </row>
    <row r="146" spans="1:39" x14ac:dyDescent="0.2">
      <c r="A146" s="144"/>
      <c r="T146" s="137" t="s">
        <v>69</v>
      </c>
      <c r="U146" s="76" t="s">
        <v>68</v>
      </c>
      <c r="AC146" s="168" t="s">
        <v>66</v>
      </c>
      <c r="AD146" s="222">
        <f>Input!C102</f>
        <v>3884.3082612142225</v>
      </c>
      <c r="AE146" s="222">
        <f>Input!D102</f>
        <v>25.019442282317307</v>
      </c>
      <c r="AF146" s="222">
        <f>Input!E102</f>
        <v>73.093907081139662</v>
      </c>
      <c r="AG146" s="222">
        <f>Input!F102</f>
        <v>0</v>
      </c>
      <c r="AH146" s="222">
        <f>Input!G102</f>
        <v>0</v>
      </c>
      <c r="AI146" s="222">
        <f>Input!H102</f>
        <v>2.9247629259559189</v>
      </c>
      <c r="AJ146" s="222">
        <f>Input!I102</f>
        <v>0</v>
      </c>
      <c r="AK146" s="222">
        <f>Input!J102</f>
        <v>0</v>
      </c>
      <c r="AL146" s="222">
        <f>Input!K102</f>
        <v>1779.5058449484745</v>
      </c>
      <c r="AM146" s="222">
        <f>Input!L102</f>
        <v>1369.6951113062776</v>
      </c>
    </row>
    <row r="147" spans="1:39" x14ac:dyDescent="0.2">
      <c r="A147" s="223"/>
      <c r="B147" s="76" t="s">
        <v>157</v>
      </c>
      <c r="C147" s="224">
        <f>ROUND(AD145*$AD$148*$AD$149,1)</f>
        <v>4146.6000000000004</v>
      </c>
      <c r="D147" s="224">
        <f t="shared" ref="D147:K147" si="47">ROUND(AE145*$AD$148*$AD$149,1)</f>
        <v>27.1</v>
      </c>
      <c r="E147" s="224">
        <f t="shared" si="47"/>
        <v>79.599999999999994</v>
      </c>
      <c r="F147" s="224">
        <f t="shared" si="47"/>
        <v>0</v>
      </c>
      <c r="G147" s="224">
        <f t="shared" si="47"/>
        <v>0</v>
      </c>
      <c r="H147" s="224">
        <f t="shared" si="47"/>
        <v>3.3</v>
      </c>
      <c r="I147" s="224">
        <f t="shared" si="47"/>
        <v>0</v>
      </c>
      <c r="J147" s="224">
        <f t="shared" si="47"/>
        <v>0</v>
      </c>
      <c r="K147" s="224">
        <f t="shared" si="47"/>
        <v>2054.8000000000002</v>
      </c>
      <c r="L147" s="224">
        <f>ROUND(AM145*$AD$148*$AD$149*(1-AE45),1)</f>
        <v>1009.1</v>
      </c>
      <c r="M147" s="225"/>
      <c r="R147" s="226">
        <f>Input!C108</f>
        <v>2016</v>
      </c>
      <c r="S147" s="221" t="s">
        <v>158</v>
      </c>
      <c r="T147" s="226">
        <f>Input!D108</f>
        <v>28</v>
      </c>
      <c r="U147" s="227">
        <f>Input!E108</f>
        <v>82516.44</v>
      </c>
      <c r="V147" s="228">
        <f>U147/$T$150*T147</f>
        <v>27181.88611764706</v>
      </c>
    </row>
    <row r="148" spans="1:39" x14ac:dyDescent="0.2">
      <c r="A148" s="76"/>
      <c r="C148" s="229"/>
      <c r="D148" s="137"/>
      <c r="E148" s="137"/>
      <c r="F148" s="137"/>
      <c r="G148" s="137"/>
      <c r="H148" s="137"/>
      <c r="I148" s="137"/>
      <c r="J148" s="137"/>
      <c r="K148" s="137"/>
      <c r="L148" s="137"/>
      <c r="R148" s="226">
        <f>Input!C109</f>
        <v>2017</v>
      </c>
      <c r="S148" s="221" t="s">
        <v>158</v>
      </c>
      <c r="T148" s="226">
        <f>Input!D109</f>
        <v>28</v>
      </c>
      <c r="U148" s="227">
        <f>Input!E109</f>
        <v>91224.18</v>
      </c>
      <c r="V148" s="228">
        <f>U148/$T$150*T148</f>
        <v>30050.318117647053</v>
      </c>
      <c r="AC148" s="168" t="s">
        <v>67</v>
      </c>
      <c r="AD148" s="230">
        <f>Input!C104</f>
        <v>1.0459721343534554</v>
      </c>
    </row>
    <row r="149" spans="1:39" x14ac:dyDescent="0.2">
      <c r="A149" s="223"/>
      <c r="B149" s="76" t="s">
        <v>159</v>
      </c>
      <c r="C149" s="224">
        <f>ROUND(AD146,1)</f>
        <v>3884.3</v>
      </c>
      <c r="D149" s="224">
        <f t="shared" ref="D149:K149" si="48">ROUND(AE146,1)</f>
        <v>25</v>
      </c>
      <c r="E149" s="224">
        <f t="shared" si="48"/>
        <v>73.099999999999994</v>
      </c>
      <c r="F149" s="224">
        <f t="shared" si="48"/>
        <v>0</v>
      </c>
      <c r="G149" s="224">
        <f t="shared" si="48"/>
        <v>0</v>
      </c>
      <c r="H149" s="224">
        <f t="shared" si="48"/>
        <v>2.9</v>
      </c>
      <c r="I149" s="224">
        <f t="shared" si="48"/>
        <v>0</v>
      </c>
      <c r="J149" s="224">
        <f t="shared" si="48"/>
        <v>0</v>
      </c>
      <c r="K149" s="224">
        <f t="shared" si="48"/>
        <v>1779.5</v>
      </c>
      <c r="L149" s="224">
        <f>ROUND(AM146*(1-AF45),1)</f>
        <v>862.2</v>
      </c>
      <c r="M149" s="225"/>
      <c r="R149" s="226">
        <f>Input!C110</f>
        <v>2018</v>
      </c>
      <c r="S149" s="221" t="s">
        <v>158</v>
      </c>
      <c r="T149" s="226">
        <f>Input!D110</f>
        <v>29</v>
      </c>
      <c r="U149" s="227">
        <f>Input!E110</f>
        <v>113092.93324614984</v>
      </c>
      <c r="V149" s="231">
        <f>U149/$T$150*T149</f>
        <v>38584.647813392301</v>
      </c>
      <c r="X149" s="76" t="str">
        <f>+Input!B105</f>
        <v>PJM June 1, 2017 (through May 31, 2018) Forecast Pool Requirement</v>
      </c>
      <c r="AD149" s="230">
        <f>Input!C105</f>
        <v>1.0967</v>
      </c>
    </row>
    <row r="150" spans="1:39" x14ac:dyDescent="0.2">
      <c r="A150" s="76"/>
      <c r="C150" s="222"/>
      <c r="D150" s="222"/>
      <c r="E150" s="222"/>
      <c r="F150" s="222"/>
      <c r="G150" s="222"/>
      <c r="H150" s="222"/>
      <c r="I150" s="222"/>
      <c r="J150" s="222"/>
      <c r="K150" s="222"/>
      <c r="M150" s="222"/>
      <c r="T150" s="76">
        <f>SUM(T147:T149)</f>
        <v>85</v>
      </c>
      <c r="V150" s="228">
        <f>ROUND(SUM(V147:V149),2)</f>
        <v>95816.85</v>
      </c>
    </row>
    <row r="151" spans="1:39" x14ac:dyDescent="0.2">
      <c r="A151" s="144"/>
      <c r="B151" s="76" t="s">
        <v>160</v>
      </c>
      <c r="I151" s="222"/>
      <c r="K151" s="136"/>
      <c r="M151" s="222"/>
    </row>
    <row r="152" spans="1:39" x14ac:dyDescent="0.2">
      <c r="A152" s="144"/>
      <c r="D152" s="168" t="s">
        <v>161</v>
      </c>
      <c r="E152" s="232">
        <v>122</v>
      </c>
      <c r="G152" s="168" t="s">
        <v>162</v>
      </c>
      <c r="H152" s="137">
        <v>4</v>
      </c>
      <c r="I152" s="222"/>
      <c r="M152" s="222"/>
    </row>
    <row r="153" spans="1:39" x14ac:dyDescent="0.2">
      <c r="A153" s="144"/>
      <c r="D153" s="233" t="s">
        <v>163</v>
      </c>
      <c r="E153" s="234">
        <v>243</v>
      </c>
      <c r="G153" s="233" t="s">
        <v>164</v>
      </c>
      <c r="H153" s="137">
        <v>8</v>
      </c>
      <c r="I153" s="222"/>
      <c r="K153" s="235"/>
      <c r="L153" s="235"/>
      <c r="M153" s="222"/>
    </row>
    <row r="154" spans="1:39" x14ac:dyDescent="0.2">
      <c r="A154" s="144"/>
      <c r="G154" s="168" t="s">
        <v>165</v>
      </c>
      <c r="H154" s="76">
        <f>+H152+H153</f>
        <v>12</v>
      </c>
      <c r="I154" s="222"/>
      <c r="J154" s="236"/>
      <c r="K154" s="235"/>
      <c r="L154" s="235"/>
      <c r="M154" s="222"/>
    </row>
    <row r="155" spans="1:39" x14ac:dyDescent="0.2">
      <c r="A155" s="144"/>
      <c r="B155" s="137" t="s">
        <v>166</v>
      </c>
      <c r="C155" s="168" t="s">
        <v>167</v>
      </c>
      <c r="D155" s="237">
        <f>V150</f>
        <v>95816.85</v>
      </c>
      <c r="E155" s="204" t="s">
        <v>168</v>
      </c>
      <c r="K155" s="238"/>
      <c r="L155" s="239"/>
    </row>
    <row r="156" spans="1:39" x14ac:dyDescent="0.2">
      <c r="A156" s="144"/>
      <c r="B156" s="137"/>
      <c r="C156" s="168"/>
      <c r="D156" s="237"/>
      <c r="E156" s="204"/>
      <c r="K156" s="238"/>
      <c r="L156" s="239"/>
    </row>
    <row r="157" spans="1:39" ht="38.25" x14ac:dyDescent="0.2">
      <c r="A157" s="144"/>
      <c r="B157" s="137"/>
      <c r="D157" s="75" t="s">
        <v>70</v>
      </c>
      <c r="E157" s="75" t="s">
        <v>75</v>
      </c>
      <c r="F157" s="76" t="s">
        <v>169</v>
      </c>
      <c r="K157" s="238"/>
      <c r="L157" s="239"/>
    </row>
    <row r="158" spans="1:39" x14ac:dyDescent="0.2">
      <c r="A158" s="144"/>
      <c r="B158" s="137" t="s">
        <v>71</v>
      </c>
      <c r="C158" s="168" t="s">
        <v>72</v>
      </c>
      <c r="D158" s="240">
        <f>Input!E113</f>
        <v>169.73527191124808</v>
      </c>
      <c r="E158" s="240">
        <v>0</v>
      </c>
      <c r="F158" s="241">
        <f>SUM(D158:E158)</f>
        <v>169.73527191124808</v>
      </c>
      <c r="G158" s="204" t="s">
        <v>73</v>
      </c>
      <c r="K158" s="242"/>
    </row>
    <row r="159" spans="1:39" x14ac:dyDescent="0.2">
      <c r="A159" s="144"/>
      <c r="C159" s="168" t="s">
        <v>74</v>
      </c>
      <c r="D159" s="240">
        <f>Input!E114</f>
        <v>169.73527191124808</v>
      </c>
      <c r="E159" s="243">
        <v>0</v>
      </c>
      <c r="F159" s="241">
        <f>SUM(D159:E159)</f>
        <v>169.73527191124808</v>
      </c>
      <c r="G159" s="204" t="s">
        <v>73</v>
      </c>
      <c r="Q159" s="168" t="s">
        <v>170</v>
      </c>
    </row>
    <row r="160" spans="1:39" x14ac:dyDescent="0.2">
      <c r="A160" s="144"/>
      <c r="E160" s="244"/>
      <c r="F160" s="137"/>
      <c r="G160" s="137"/>
      <c r="H160" s="137"/>
      <c r="I160" s="137"/>
      <c r="J160" s="137"/>
      <c r="P160" s="168" t="s">
        <v>171</v>
      </c>
      <c r="Q160" s="245">
        <f>(F158*E152+F159*E153)/1000</f>
        <v>61.953374247605545</v>
      </c>
      <c r="R160" s="76" t="s">
        <v>172</v>
      </c>
    </row>
    <row r="161" spans="1:18" x14ac:dyDescent="0.2">
      <c r="A161" s="141"/>
      <c r="C161" s="136" t="str">
        <f>+C7</f>
        <v>RS</v>
      </c>
      <c r="D161" s="136" t="str">
        <f>+D7</f>
        <v>RHS</v>
      </c>
      <c r="F161" s="137"/>
      <c r="G161" s="137"/>
      <c r="H161" s="137"/>
      <c r="I161" s="137"/>
      <c r="J161" s="221"/>
    </row>
    <row r="162" spans="1:18" x14ac:dyDescent="0.2">
      <c r="A162" s="141"/>
      <c r="B162" s="246" t="s">
        <v>173</v>
      </c>
      <c r="C162" s="246"/>
      <c r="D162" s="246"/>
      <c r="F162" s="137"/>
      <c r="G162" s="137"/>
      <c r="H162" s="137"/>
      <c r="I162" s="137"/>
      <c r="J162" s="221"/>
      <c r="K162" s="211"/>
    </row>
    <row r="163" spans="1:18" x14ac:dyDescent="0.2">
      <c r="A163" s="141"/>
      <c r="B163" s="221" t="s">
        <v>174</v>
      </c>
      <c r="C163" s="175">
        <f>ROUND(Q165/Q167,3)</f>
        <v>0.64700000000000002</v>
      </c>
      <c r="D163" s="175">
        <f>ROUND(R165/R167,3)</f>
        <v>0.63300000000000001</v>
      </c>
      <c r="F163" s="140" t="s">
        <v>175</v>
      </c>
      <c r="G163" s="247"/>
      <c r="H163" s="248"/>
      <c r="I163" s="248"/>
      <c r="J163" s="221"/>
      <c r="K163" s="211"/>
      <c r="P163" s="183" t="s">
        <v>176</v>
      </c>
      <c r="Q163" s="183"/>
      <c r="R163" s="183"/>
    </row>
    <row r="164" spans="1:18" x14ac:dyDescent="0.2">
      <c r="A164" s="141"/>
      <c r="B164" s="221" t="s">
        <v>177</v>
      </c>
      <c r="C164" s="175">
        <f>1-C163</f>
        <v>0.35299999999999998</v>
      </c>
      <c r="D164" s="175">
        <f>1-D163</f>
        <v>0.36699999999999999</v>
      </c>
      <c r="F164" s="137"/>
      <c r="H164" s="137"/>
      <c r="I164" s="137"/>
      <c r="J164" s="221"/>
      <c r="K164" s="211"/>
      <c r="N164" s="226"/>
      <c r="Q164" s="76" t="s">
        <v>9</v>
      </c>
      <c r="R164" s="76" t="s">
        <v>10</v>
      </c>
    </row>
    <row r="165" spans="1:18" x14ac:dyDescent="0.2">
      <c r="A165" s="141"/>
      <c r="F165" s="137"/>
      <c r="H165" s="137"/>
      <c r="I165" s="137"/>
      <c r="J165" s="221"/>
      <c r="K165" s="211"/>
      <c r="P165" s="76" t="s">
        <v>178</v>
      </c>
      <c r="Q165" s="249">
        <v>3626859</v>
      </c>
      <c r="R165" s="249">
        <v>27006</v>
      </c>
    </row>
    <row r="166" spans="1:18" x14ac:dyDescent="0.2">
      <c r="A166" s="141"/>
      <c r="B166" s="221" t="s">
        <v>76</v>
      </c>
      <c r="C166" s="185">
        <f>Input!C119</f>
        <v>0.86519999999999975</v>
      </c>
      <c r="D166" s="185">
        <f>Input!D119</f>
        <v>1.1569000000000003</v>
      </c>
      <c r="E166" s="137" t="s">
        <v>77</v>
      </c>
      <c r="F166" s="147" t="s">
        <v>78</v>
      </c>
      <c r="I166" s="137"/>
      <c r="J166" s="221"/>
      <c r="K166" s="211"/>
      <c r="P166" s="76" t="s">
        <v>179</v>
      </c>
      <c r="Q166" s="250">
        <v>1975894</v>
      </c>
      <c r="R166" s="250">
        <v>15667</v>
      </c>
    </row>
    <row r="167" spans="1:18" x14ac:dyDescent="0.2">
      <c r="A167" s="141"/>
      <c r="F167" s="137"/>
      <c r="H167" s="137"/>
      <c r="I167" s="137"/>
      <c r="J167" s="221"/>
      <c r="K167" s="211"/>
      <c r="P167" s="76" t="s">
        <v>180</v>
      </c>
      <c r="Q167" s="249">
        <f>SUM(Q165:Q166)</f>
        <v>5602753</v>
      </c>
      <c r="R167" s="249">
        <f>SUM(R165:R166)</f>
        <v>42673</v>
      </c>
    </row>
    <row r="168" spans="1:18" x14ac:dyDescent="0.2">
      <c r="A168" s="141" t="s">
        <v>79</v>
      </c>
      <c r="B168" s="10" t="s">
        <v>80</v>
      </c>
      <c r="F168" s="137"/>
      <c r="H168" s="137"/>
      <c r="I168" s="137"/>
      <c r="J168" s="221"/>
      <c r="K168" s="211"/>
      <c r="Q168" s="249"/>
      <c r="R168" s="249"/>
    </row>
    <row r="169" spans="1:18" x14ac:dyDescent="0.2">
      <c r="A169" s="76"/>
      <c r="B169" s="251" t="s">
        <v>81</v>
      </c>
      <c r="C169" s="137"/>
      <c r="D169" s="235">
        <f>+Input!D123</f>
        <v>2</v>
      </c>
      <c r="E169" s="137"/>
      <c r="F169" s="137"/>
      <c r="G169" s="137"/>
      <c r="H169" s="137"/>
      <c r="I169" s="137"/>
      <c r="J169" s="137"/>
    </row>
    <row r="170" spans="1:18" x14ac:dyDescent="0.2">
      <c r="A170" s="141"/>
      <c r="B170" s="251" t="s">
        <v>83</v>
      </c>
      <c r="D170" s="235">
        <f>+Input!D124</f>
        <v>6.96</v>
      </c>
      <c r="I170" s="137"/>
      <c r="J170" s="137"/>
    </row>
    <row r="171" spans="1:18" x14ac:dyDescent="0.2">
      <c r="A171" s="144"/>
      <c r="B171" s="251" t="s">
        <v>181</v>
      </c>
      <c r="D171" s="243">
        <f>SUM(D169:D170)</f>
        <v>8.9600000000000009</v>
      </c>
      <c r="E171" s="204" t="s">
        <v>82</v>
      </c>
    </row>
    <row r="172" spans="1:18" x14ac:dyDescent="0.2">
      <c r="A172" s="144"/>
      <c r="B172" s="140"/>
      <c r="F172" s="204"/>
    </row>
    <row r="173" spans="1:18" x14ac:dyDescent="0.2">
      <c r="A173" s="144"/>
      <c r="B173" s="139"/>
      <c r="E173" s="252"/>
      <c r="F173" s="204"/>
    </row>
    <row r="174" spans="1:18" x14ac:dyDescent="0.2">
      <c r="A174" s="141" t="s">
        <v>182</v>
      </c>
      <c r="B174" s="139" t="s">
        <v>183</v>
      </c>
    </row>
    <row r="175" spans="1:18" x14ac:dyDescent="0.2">
      <c r="A175" s="141"/>
      <c r="B175" s="139"/>
    </row>
    <row r="176" spans="1:18" x14ac:dyDescent="0.2">
      <c r="A176" s="141"/>
      <c r="B176" s="139"/>
      <c r="C176" s="136" t="str">
        <f t="shared" ref="C176:J176" si="49">+C7</f>
        <v>RS</v>
      </c>
      <c r="D176" s="136" t="str">
        <f t="shared" si="49"/>
        <v>RHS</v>
      </c>
      <c r="E176" s="136" t="str">
        <f t="shared" si="49"/>
        <v>RLM</v>
      </c>
      <c r="F176" s="136" t="str">
        <f t="shared" si="49"/>
        <v>WH</v>
      </c>
      <c r="G176" s="136" t="str">
        <f t="shared" si="49"/>
        <v>WHS</v>
      </c>
      <c r="H176" s="136" t="str">
        <f t="shared" si="49"/>
        <v>HS</v>
      </c>
      <c r="I176" s="136" t="str">
        <f t="shared" si="49"/>
        <v>PSAL</v>
      </c>
      <c r="J176" s="136" t="str">
        <f t="shared" si="49"/>
        <v>BPL</v>
      </c>
    </row>
    <row r="177" spans="1:13" x14ac:dyDescent="0.2">
      <c r="A177" s="141"/>
      <c r="B177" s="139"/>
    </row>
    <row r="178" spans="1:13" x14ac:dyDescent="0.2">
      <c r="A178" s="144"/>
      <c r="B178" s="168" t="s">
        <v>184</v>
      </c>
      <c r="C178" s="245">
        <f>(+$D$155*C149*$H$154/12)/C57</f>
        <v>30.548588780016356</v>
      </c>
      <c r="D178" s="245">
        <f>(+$D$155*D149*$H$154/12)/D57</f>
        <v>18.315985196743476</v>
      </c>
      <c r="E178" s="245">
        <f>(+$D$155*E149*$H$154/12)/SUMPRODUCT(E27:E38,E45:E56)</f>
        <v>70.608452210027934</v>
      </c>
      <c r="F178" s="245">
        <f>(+$D$155*F149*$H$154/12)/F57</f>
        <v>0</v>
      </c>
      <c r="G178" s="245">
        <f>(+$D$155*G149*$H$154/12)/G57</f>
        <v>0</v>
      </c>
      <c r="H178" s="245">
        <f>(+$D$155*H149*$H$154/12)/H57</f>
        <v>17.65287367385077</v>
      </c>
      <c r="I178" s="245">
        <f>(+$D$155*I149*$H$154/12)/I57</f>
        <v>0</v>
      </c>
      <c r="J178" s="245">
        <f>(+$D$155*J149*$H$154/12)/J57</f>
        <v>0</v>
      </c>
      <c r="K178" s="245"/>
      <c r="L178" s="245"/>
      <c r="M178" s="245"/>
    </row>
    <row r="179" spans="1:13" x14ac:dyDescent="0.2">
      <c r="A179" s="144"/>
      <c r="B179" s="168"/>
      <c r="C179" s="245"/>
      <c r="D179" s="245"/>
      <c r="E179" s="245"/>
      <c r="F179" s="245"/>
      <c r="G179" s="245"/>
      <c r="H179" s="245"/>
      <c r="I179" s="245"/>
      <c r="J179" s="245"/>
      <c r="K179" s="245"/>
      <c r="L179" s="245"/>
      <c r="M179" s="245"/>
    </row>
    <row r="180" spans="1:13" x14ac:dyDescent="0.2">
      <c r="A180" s="144"/>
      <c r="B180" s="168" t="s">
        <v>185</v>
      </c>
      <c r="K180" s="245"/>
      <c r="L180" s="245"/>
      <c r="M180" s="245"/>
    </row>
    <row r="181" spans="1:13" x14ac:dyDescent="0.2">
      <c r="A181" s="141"/>
      <c r="B181" s="221" t="s">
        <v>186</v>
      </c>
      <c r="C181" s="209">
        <f>((+$Q$160*C147*1000)/C57)</f>
        <v>21.085971083605628</v>
      </c>
      <c r="D181" s="209">
        <f>((+$Q$160*D147*1000)/D57)</f>
        <v>12.837564591180755</v>
      </c>
      <c r="E181" s="209">
        <f>(+$Q$160*E147*1000)/SUMPRODUCT(E45:E56,E27:E38)</f>
        <v>49.713627973160882</v>
      </c>
      <c r="F181" s="209">
        <f>((+$Q$160*F147*1000)/F57)</f>
        <v>0</v>
      </c>
      <c r="G181" s="209">
        <f>((+$Q$160*G147*1000)/G57)</f>
        <v>0</v>
      </c>
      <c r="H181" s="209">
        <f>((+$Q$160*H147*1000)/H57)</f>
        <v>12.988363394235893</v>
      </c>
      <c r="I181" s="209">
        <f>((+$Q$160*I147*1000)/I57)</f>
        <v>0</v>
      </c>
      <c r="J181" s="209">
        <f>((+$Q$160*J147*1000)/J57)</f>
        <v>0</v>
      </c>
      <c r="K181" s="245"/>
      <c r="L181" s="245"/>
      <c r="M181" s="245"/>
    </row>
    <row r="182" spans="1:13" x14ac:dyDescent="0.2">
      <c r="A182" s="144"/>
      <c r="B182" s="168" t="s">
        <v>187</v>
      </c>
      <c r="C182" s="253">
        <f>(C147*$F$158*$E$152)/SUM(C50:C53)</f>
        <v>16.358356149737993</v>
      </c>
      <c r="D182" s="253">
        <f>(D147*$F$158*$E$152)/SUM(D50:D53)</f>
        <v>18.834311265689642</v>
      </c>
      <c r="E182" s="253">
        <f>(E147*$F$158*$E$152)/SUMPRODUCT(E50:E53,E32:E35)</f>
        <v>35.326408344369803</v>
      </c>
      <c r="F182" s="253">
        <f>(F147*$F$158*$E$152)/SUM(F50:F53)</f>
        <v>0</v>
      </c>
      <c r="G182" s="253">
        <f>(G147*$F$158*$E$152)/SUM(G50:G53)</f>
        <v>0</v>
      </c>
      <c r="H182" s="253">
        <f>(H147*$F$158*$E$152)/SUM(H50:H53)</f>
        <v>19.956014444063506</v>
      </c>
      <c r="I182" s="253">
        <f>(I147*$F$158*$E$152)/SUM(I50:I53)</f>
        <v>0</v>
      </c>
      <c r="J182" s="253">
        <f>(J147*$F$158*$E$152)/SUM(J50:J53)</f>
        <v>0</v>
      </c>
      <c r="K182" s="245"/>
      <c r="L182" s="245"/>
      <c r="M182" s="245"/>
    </row>
    <row r="183" spans="1:13" x14ac:dyDescent="0.2">
      <c r="A183" s="144"/>
      <c r="B183" s="168" t="s">
        <v>188</v>
      </c>
      <c r="C183" s="245">
        <f>(C147*$F$159*$E$153)/SUM(C45:C49,C54:C56)</f>
        <v>24.664729192747583</v>
      </c>
      <c r="D183" s="245">
        <f>(D147*$F$159*$E$153)/SUM(D45:D49,D54:D56)</f>
        <v>11.068273120929039</v>
      </c>
      <c r="E183" s="245">
        <f>(E147*$F$159*$E$153)/(SUMPRODUCT(E45:E49,E27:E31)+SUMPRODUCT(E54:E56,E36:E38))</f>
        <v>62.491254454303068</v>
      </c>
      <c r="F183" s="245">
        <f>(F147*$F$159*$E$153)/SUM(F45:F49,F54:F56)</f>
        <v>0</v>
      </c>
      <c r="G183" s="245">
        <f>(G147*$F$159*$E$153)/SUM(G45:G49,G54:G56)</f>
        <v>0</v>
      </c>
      <c r="H183" s="245">
        <f>(H147*$F$159*$E$153)/SUM(H45:H49,H54:H56)</f>
        <v>11.051164610066381</v>
      </c>
      <c r="I183" s="245">
        <f>(I147*$F$159*$E$153)/SUM(I45:I49,I54:I56)</f>
        <v>0</v>
      </c>
      <c r="J183" s="245">
        <f>(J147*$F$159*$E$153)/SUM(J45:J49,J54:J56)</f>
        <v>0</v>
      </c>
      <c r="K183" s="245"/>
      <c r="L183" s="245"/>
      <c r="M183" s="245"/>
    </row>
    <row r="184" spans="1:13" x14ac:dyDescent="0.2">
      <c r="A184" s="144"/>
      <c r="E184" s="254" t="s">
        <v>189</v>
      </c>
      <c r="F184" s="245"/>
      <c r="G184" s="245"/>
      <c r="H184" s="245"/>
      <c r="K184" s="245"/>
      <c r="L184" s="245"/>
      <c r="M184" s="245"/>
    </row>
    <row r="185" spans="1:13" x14ac:dyDescent="0.2">
      <c r="A185" s="144"/>
      <c r="E185" s="254" t="s">
        <v>190</v>
      </c>
      <c r="F185" s="245"/>
      <c r="G185" s="245"/>
      <c r="H185" s="245"/>
      <c r="K185" s="245"/>
      <c r="L185" s="245"/>
      <c r="M185" s="245"/>
    </row>
    <row r="186" spans="1:13" x14ac:dyDescent="0.2">
      <c r="A186" s="144"/>
    </row>
    <row r="187" spans="1:13" x14ac:dyDescent="0.2">
      <c r="A187" s="141" t="s">
        <v>191</v>
      </c>
      <c r="B187" s="139" t="s">
        <v>192</v>
      </c>
    </row>
    <row r="188" spans="1:13" x14ac:dyDescent="0.2">
      <c r="A188" s="144"/>
      <c r="B188" s="139"/>
      <c r="K188" s="255"/>
    </row>
    <row r="189" spans="1:13" x14ac:dyDescent="0.2">
      <c r="A189" s="144"/>
      <c r="B189" s="139" t="s">
        <v>193</v>
      </c>
    </row>
    <row r="190" spans="1:13" x14ac:dyDescent="0.2">
      <c r="A190" s="144"/>
      <c r="B190" s="140" t="s">
        <v>194</v>
      </c>
    </row>
    <row r="191" spans="1:13" x14ac:dyDescent="0.2">
      <c r="A191" s="144"/>
      <c r="B191" s="140" t="s">
        <v>129</v>
      </c>
    </row>
    <row r="192" spans="1:13" x14ac:dyDescent="0.2">
      <c r="A192" s="144"/>
      <c r="C192" s="136" t="str">
        <f t="shared" ref="C192:J192" si="50">+C7</f>
        <v>RS</v>
      </c>
      <c r="D192" s="136" t="str">
        <f t="shared" si="50"/>
        <v>RHS</v>
      </c>
      <c r="E192" s="136" t="str">
        <f t="shared" si="50"/>
        <v>RLM</v>
      </c>
      <c r="F192" s="136" t="str">
        <f t="shared" si="50"/>
        <v>WH</v>
      </c>
      <c r="G192" s="136" t="str">
        <f t="shared" si="50"/>
        <v>WHS</v>
      </c>
      <c r="H192" s="136" t="str">
        <f t="shared" si="50"/>
        <v>HS</v>
      </c>
      <c r="I192" s="136" t="str">
        <f t="shared" si="50"/>
        <v>PSAL</v>
      </c>
      <c r="J192" s="136" t="str">
        <f t="shared" si="50"/>
        <v>BPL</v>
      </c>
    </row>
    <row r="193" spans="1:11" x14ac:dyDescent="0.2">
      <c r="A193" s="144"/>
      <c r="C193" s="136"/>
      <c r="D193" s="136"/>
      <c r="E193" s="209"/>
      <c r="F193" s="136"/>
      <c r="G193" s="136"/>
    </row>
    <row r="194" spans="1:11" x14ac:dyDescent="0.2">
      <c r="A194" s="144"/>
      <c r="B194" s="150" t="s">
        <v>130</v>
      </c>
      <c r="C194" s="209">
        <f>+C130+($D$171*C80)+C$178+C181</f>
        <v>90.953781885718868</v>
      </c>
      <c r="D194" s="209">
        <f>+D130+($D$171*D80)+D$178+D181</f>
        <v>70.55206957707604</v>
      </c>
      <c r="E194" s="209"/>
      <c r="F194" s="209">
        <f>+F130+($D$171*F80)+F$178+F181</f>
        <v>38.454007423754007</v>
      </c>
      <c r="G194" s="209">
        <f>+G130+($D$171*G80)+G$178+G181</f>
        <v>38.15936394665458</v>
      </c>
      <c r="H194" s="209">
        <f>+H130+($D$171*H80)+H$178+H181</f>
        <v>71.401139932154209</v>
      </c>
      <c r="I194" s="209">
        <f>+I130+($D$171*I80)+I$178+I181</f>
        <v>34.527617643913743</v>
      </c>
      <c r="J194" s="209">
        <f>+J130+($D$171*J80)+J$178+J181</f>
        <v>34.549034715428796</v>
      </c>
      <c r="K194" s="209"/>
    </row>
    <row r="195" spans="1:11" x14ac:dyDescent="0.2">
      <c r="A195" s="144"/>
      <c r="B195" s="210" t="s">
        <v>150</v>
      </c>
      <c r="C195" s="209"/>
      <c r="D195" s="209"/>
      <c r="E195" s="209">
        <f>+E131+($D$171*E80)+E$178+E181</f>
        <v>167.55625629519693</v>
      </c>
      <c r="F195" s="209"/>
      <c r="G195" s="209"/>
      <c r="H195" s="209"/>
      <c r="I195" s="209"/>
      <c r="J195" s="209"/>
    </row>
    <row r="196" spans="1:11" x14ac:dyDescent="0.2">
      <c r="A196" s="144"/>
      <c r="B196" s="210" t="s">
        <v>151</v>
      </c>
      <c r="C196" s="209"/>
      <c r="D196" s="209"/>
      <c r="E196" s="209">
        <f>+E132+($D$171*E80)</f>
        <v>32.57878451219986</v>
      </c>
      <c r="F196" s="209"/>
      <c r="G196" s="209"/>
      <c r="H196" s="209"/>
      <c r="I196" s="209"/>
      <c r="J196" s="209"/>
    </row>
    <row r="197" spans="1:11" x14ac:dyDescent="0.2">
      <c r="A197" s="144"/>
      <c r="B197" s="221" t="s">
        <v>174</v>
      </c>
      <c r="C197" s="209">
        <f>(C194*SUM(C50:C53)-C166*10*C164*SUM(C50:C53))/SUM(C50:C53)</f>
        <v>87.899625885718862</v>
      </c>
      <c r="D197" s="209">
        <f>(D194*SUM(D50:D53)-D166*10*D164*SUM(D50:D53))/SUM(D50:D53)</f>
        <v>66.306246577076038</v>
      </c>
      <c r="E197" s="209"/>
      <c r="F197" s="209"/>
      <c r="G197" s="209"/>
      <c r="H197" s="209"/>
      <c r="I197" s="209"/>
      <c r="J197" s="209"/>
    </row>
    <row r="198" spans="1:11" x14ac:dyDescent="0.2">
      <c r="A198" s="144"/>
      <c r="B198" s="221" t="s">
        <v>195</v>
      </c>
      <c r="C198" s="209">
        <f>+C197+C166*10</f>
        <v>96.551625885718863</v>
      </c>
      <c r="D198" s="209">
        <f>+D197+D166*10</f>
        <v>77.875246577076041</v>
      </c>
      <c r="E198" s="209"/>
      <c r="F198" s="209"/>
      <c r="G198" s="209"/>
      <c r="H198" s="209"/>
      <c r="I198" s="209"/>
      <c r="J198" s="209"/>
    </row>
    <row r="199" spans="1:11" x14ac:dyDescent="0.2">
      <c r="A199" s="144"/>
      <c r="C199" s="209"/>
      <c r="D199" s="209"/>
      <c r="E199" s="209"/>
      <c r="F199" s="209"/>
      <c r="G199" s="209"/>
      <c r="H199" s="209"/>
      <c r="I199" s="209"/>
      <c r="J199" s="209"/>
    </row>
    <row r="200" spans="1:11" x14ac:dyDescent="0.2">
      <c r="A200" s="144"/>
      <c r="B200" s="150" t="s">
        <v>133</v>
      </c>
      <c r="C200" s="209">
        <f>+C134+($D$171*C80)+C$178+C181</f>
        <v>95.290541258211533</v>
      </c>
      <c r="D200" s="209">
        <f>+D134+($D$171*D80)+D$178+D181</f>
        <v>76.194670915305181</v>
      </c>
      <c r="E200" s="209"/>
      <c r="F200" s="209">
        <f>+F134+($D$171*F80)+F$178+F181</f>
        <v>43.224539776274852</v>
      </c>
      <c r="G200" s="209">
        <f>+G134+($D$171*G80)+G$178+G181</f>
        <v>43.550790331688646</v>
      </c>
      <c r="H200" s="209">
        <f>+H134+($D$171*H80)+H$178+H181</f>
        <v>75.928171582601138</v>
      </c>
      <c r="I200" s="209">
        <f>+I134+($D$171*I80)+I$178+I181</f>
        <v>41.380314280157847</v>
      </c>
      <c r="J200" s="209">
        <f>+J134+($D$171*J80)+J$178+J181</f>
        <v>41.519707303721255</v>
      </c>
      <c r="K200" s="209"/>
    </row>
    <row r="201" spans="1:11" x14ac:dyDescent="0.2">
      <c r="A201" s="144"/>
      <c r="B201" s="210" t="s">
        <v>150</v>
      </c>
      <c r="C201" s="209"/>
      <c r="D201" s="209"/>
      <c r="E201" s="209">
        <f>+E135+($D$171*E80)+E$178+E181</f>
        <v>169.82449535539467</v>
      </c>
      <c r="F201" s="209"/>
      <c r="G201" s="209"/>
      <c r="H201" s="209"/>
      <c r="I201" s="209"/>
      <c r="J201" s="209"/>
    </row>
    <row r="202" spans="1:11" x14ac:dyDescent="0.2">
      <c r="A202" s="144"/>
      <c r="B202" s="210" t="s">
        <v>151</v>
      </c>
      <c r="C202" s="209"/>
      <c r="D202" s="209"/>
      <c r="E202" s="209">
        <f>+E136+($D$171*E80)</f>
        <v>39.11845289550044</v>
      </c>
      <c r="F202" s="209"/>
      <c r="G202" s="209"/>
      <c r="H202" s="209"/>
      <c r="I202" s="209"/>
      <c r="J202" s="209"/>
    </row>
    <row r="203" spans="1:11" x14ac:dyDescent="0.2">
      <c r="A203" s="144"/>
      <c r="C203" s="209"/>
      <c r="D203" s="209"/>
      <c r="E203" s="209"/>
      <c r="F203" s="209"/>
      <c r="G203" s="209"/>
      <c r="H203" s="209"/>
      <c r="I203" s="209"/>
      <c r="J203" s="209"/>
    </row>
    <row r="204" spans="1:11" x14ac:dyDescent="0.2">
      <c r="A204" s="144"/>
      <c r="B204" s="76" t="s">
        <v>196</v>
      </c>
      <c r="C204" s="209">
        <f>+C138+($D$171*C80)+C$178+C181</f>
        <v>93.422070784836066</v>
      </c>
      <c r="D204" s="209">
        <f>+D138+($D$171*D80)+D$178+D181</f>
        <v>74.909149748441607</v>
      </c>
      <c r="E204" s="209">
        <f>((E195*SUMPRODUCT(E32:E35,E50:E53)+E196*SUMPRODUCT(Q32:Q35,E50:E53))+(E201*(SUMPRODUCT(E27:E31,E45:E49)+SUMPRODUCT(E36:E38,E54:E56))+E202*(SUMPRODUCT(Q27:Q31,E45:E49)+SUMPRODUCT(Q36:Q38,E54:E56))))/E57</f>
        <v>96.563211479032347</v>
      </c>
      <c r="F204" s="209">
        <f>+F138+($D$171*F80)+F$178+F181</f>
        <v>42.004949276175992</v>
      </c>
      <c r="G204" s="209">
        <f>+G138+($D$171*G80)+G$178+G181</f>
        <v>42.153013120753883</v>
      </c>
      <c r="H204" s="209">
        <f>+H138+($D$171*H80)+H$178+H181</f>
        <v>74.943341925433714</v>
      </c>
      <c r="I204" s="209">
        <f>+I138+($D$171*I80)+I$178+I181</f>
        <v>39.470958358782724</v>
      </c>
      <c r="J204" s="209">
        <f>+J138+($D$171*J80)+J$178+J181</f>
        <v>39.65313930296854</v>
      </c>
      <c r="K204" s="209"/>
    </row>
    <row r="205" spans="1:11" x14ac:dyDescent="0.2">
      <c r="A205" s="144"/>
      <c r="C205" s="209"/>
      <c r="D205" s="209"/>
      <c r="E205" s="209"/>
      <c r="F205" s="209"/>
      <c r="G205" s="209"/>
      <c r="H205" s="209"/>
      <c r="I205" s="209"/>
      <c r="J205" s="209"/>
      <c r="K205" s="209"/>
    </row>
    <row r="206" spans="1:11" x14ac:dyDescent="0.2">
      <c r="A206" s="144"/>
      <c r="B206" s="139" t="s">
        <v>197</v>
      </c>
    </row>
    <row r="207" spans="1:11" x14ac:dyDescent="0.2">
      <c r="A207" s="144"/>
      <c r="B207" s="140" t="s">
        <v>198</v>
      </c>
    </row>
    <row r="208" spans="1:11" x14ac:dyDescent="0.2">
      <c r="A208" s="144"/>
      <c r="B208" s="140" t="s">
        <v>129</v>
      </c>
    </row>
    <row r="209" spans="1:15" x14ac:dyDescent="0.2">
      <c r="A209" s="144"/>
      <c r="C209" s="136" t="str">
        <f>+K7</f>
        <v>GLP</v>
      </c>
      <c r="D209" s="136" t="str">
        <f>+L7</f>
        <v>LPL-S</v>
      </c>
      <c r="E209" s="136"/>
      <c r="H209" s="139" t="s">
        <v>199</v>
      </c>
      <c r="I209" s="136" t="str">
        <f>+C209</f>
        <v>GLP</v>
      </c>
      <c r="J209" s="136" t="str">
        <f>+D209</f>
        <v>LPL-S</v>
      </c>
    </row>
    <row r="210" spans="1:15" x14ac:dyDescent="0.2">
      <c r="A210" s="144"/>
      <c r="C210" s="136"/>
      <c r="D210" s="136"/>
      <c r="F210" s="139"/>
    </row>
    <row r="211" spans="1:15" x14ac:dyDescent="0.2">
      <c r="A211" s="144"/>
      <c r="B211" s="150" t="s">
        <v>130</v>
      </c>
      <c r="C211" s="209">
        <f>+K130+($D$171*K80)</f>
        <v>40.344387462477414</v>
      </c>
      <c r="D211" s="209">
        <f>+L130+($D$171*L$80)</f>
        <v>39.876477573832283</v>
      </c>
      <c r="E211" s="244"/>
      <c r="H211" s="256" t="s">
        <v>200</v>
      </c>
    </row>
    <row r="212" spans="1:15" x14ac:dyDescent="0.2">
      <c r="A212" s="144"/>
      <c r="B212" s="210" t="s">
        <v>150</v>
      </c>
      <c r="C212" s="209"/>
      <c r="D212" s="209">
        <f>+L131+($D$171*L$80)</f>
        <v>46.941307173220039</v>
      </c>
      <c r="H212" s="168" t="s">
        <v>201</v>
      </c>
      <c r="I212" s="257">
        <f>+$F158*$E152/$H152/1000</f>
        <v>5.1769257932930657</v>
      </c>
      <c r="J212" s="257">
        <f>+$F158*$E152/$H152/1000</f>
        <v>5.1769257932930657</v>
      </c>
      <c r="K212" s="204" t="s">
        <v>202</v>
      </c>
      <c r="O212" s="258"/>
    </row>
    <row r="213" spans="1:15" x14ac:dyDescent="0.2">
      <c r="A213" s="144"/>
      <c r="B213" s="210" t="s">
        <v>151</v>
      </c>
      <c r="C213" s="209"/>
      <c r="D213" s="209">
        <f>+L132+($D$171*L$80)</f>
        <v>32.531860037346981</v>
      </c>
      <c r="H213" s="168" t="s">
        <v>203</v>
      </c>
      <c r="I213" s="257">
        <f>+$F159*$E153/$H153/1000</f>
        <v>5.1557088843041603</v>
      </c>
      <c r="J213" s="257">
        <f>+$F159*$E153/$H153/1000</f>
        <v>5.1557088843041603</v>
      </c>
      <c r="K213" s="204" t="s">
        <v>202</v>
      </c>
    </row>
    <row r="214" spans="1:15" x14ac:dyDescent="0.2">
      <c r="A214" s="144"/>
      <c r="C214" s="209"/>
      <c r="D214" s="209"/>
      <c r="H214" s="168" t="s">
        <v>204</v>
      </c>
      <c r="I214" s="257">
        <f>($F$158*$E$152+$F$159*$E$153)/$H$154/1000</f>
        <v>5.1627811873004621</v>
      </c>
      <c r="J214" s="257">
        <f>($F$158*$E$152+$F$159*$E$153)/$H$154/1000</f>
        <v>5.1627811873004621</v>
      </c>
      <c r="K214" s="204" t="s">
        <v>202</v>
      </c>
    </row>
    <row r="215" spans="1:15" x14ac:dyDescent="0.2">
      <c r="A215" s="144"/>
      <c r="B215" s="150" t="s">
        <v>133</v>
      </c>
      <c r="C215" s="209">
        <f>+K134+($D$171*K80)</f>
        <v>44.195373275304846</v>
      </c>
      <c r="D215" s="209">
        <f>+L134+($D$171*L$80)</f>
        <v>43.993640105819779</v>
      </c>
    </row>
    <row r="216" spans="1:15" x14ac:dyDescent="0.2">
      <c r="A216" s="144"/>
      <c r="B216" s="210" t="s">
        <v>150</v>
      </c>
      <c r="C216" s="209"/>
      <c r="D216" s="209">
        <f>+L135+($D$171*L$80)</f>
        <v>49.107791161944746</v>
      </c>
      <c r="H216" s="256" t="s">
        <v>205</v>
      </c>
      <c r="I216" s="259"/>
      <c r="J216" s="259"/>
      <c r="K216" s="204"/>
    </row>
    <row r="217" spans="1:15" x14ac:dyDescent="0.2">
      <c r="A217" s="144"/>
      <c r="B217" s="210" t="s">
        <v>151</v>
      </c>
      <c r="C217" s="209"/>
      <c r="D217" s="209">
        <f>+L136+($D$171*L$80)</f>
        <v>38.992402111672988</v>
      </c>
      <c r="H217" s="168" t="s">
        <v>206</v>
      </c>
      <c r="I217" s="257">
        <f>+$D155/1000/12</f>
        <v>7.9847375000000005</v>
      </c>
      <c r="J217" s="257">
        <f>+$D155/1000/12</f>
        <v>7.9847375000000005</v>
      </c>
      <c r="K217" s="204" t="s">
        <v>207</v>
      </c>
    </row>
    <row r="218" spans="1:15" x14ac:dyDescent="0.2">
      <c r="A218" s="144"/>
      <c r="B218" s="210"/>
      <c r="C218" s="209"/>
      <c r="D218" s="209"/>
    </row>
    <row r="219" spans="1:15" x14ac:dyDescent="0.2">
      <c r="A219" s="144"/>
      <c r="B219" s="76" t="s">
        <v>208</v>
      </c>
      <c r="C219" s="209">
        <f>+K138+($D$171*K80)</f>
        <v>42.768655069615164</v>
      </c>
      <c r="D219" s="209">
        <f>+L138+($D$171*L$80)</f>
        <v>42.529305091527291</v>
      </c>
    </row>
    <row r="220" spans="1:15" x14ac:dyDescent="0.2">
      <c r="A220" s="144"/>
      <c r="C220" s="209"/>
      <c r="D220" s="209"/>
    </row>
    <row r="221" spans="1:15" x14ac:dyDescent="0.2">
      <c r="A221" s="144"/>
      <c r="B221" s="260" t="s">
        <v>209</v>
      </c>
      <c r="C221" s="209"/>
      <c r="D221" s="209"/>
    </row>
    <row r="222" spans="1:15" x14ac:dyDescent="0.2">
      <c r="A222" s="144"/>
      <c r="B222" s="150" t="s">
        <v>130</v>
      </c>
      <c r="C222" s="209">
        <f>(C211*W49+((I214*$H152)*K147*1000)+(I217*$H152*K149*1000))/W49</f>
        <v>82.078155609568597</v>
      </c>
      <c r="D222" s="209">
        <f>(D211*X49+((J214*$H152)*L147*1000)+(J217*$H152*L149*1000))/X49</f>
        <v>70.336271492343997</v>
      </c>
      <c r="F222" s="76" t="s">
        <v>210</v>
      </c>
    </row>
    <row r="223" spans="1:15" x14ac:dyDescent="0.2">
      <c r="A223" s="144"/>
      <c r="B223" s="210" t="s">
        <v>150</v>
      </c>
      <c r="C223" s="209"/>
      <c r="D223" s="209">
        <f>(D212*X50+((J214*$H152)*L147*1000)+(J217*$H152*L149*1000))/X50</f>
        <v>106.7005510083208</v>
      </c>
    </row>
    <row r="224" spans="1:15" x14ac:dyDescent="0.2">
      <c r="A224" s="144"/>
      <c r="B224" s="210" t="s">
        <v>151</v>
      </c>
      <c r="C224" s="209"/>
      <c r="D224" s="209">
        <f>+D213</f>
        <v>32.531860037346981</v>
      </c>
    </row>
    <row r="225" spans="1:7" x14ac:dyDescent="0.2">
      <c r="A225" s="144"/>
      <c r="C225" s="209"/>
      <c r="D225" s="209"/>
    </row>
    <row r="226" spans="1:7" x14ac:dyDescent="0.2">
      <c r="A226" s="144"/>
      <c r="B226" s="150" t="s">
        <v>133</v>
      </c>
      <c r="C226" s="209">
        <f>(C215*W45+((I214*$H153)*K147*1000)+(I217*$H153*K149*1000))/W45</f>
        <v>93.317282615822251</v>
      </c>
      <c r="D226" s="209">
        <f>(D215*X45+((J214*$H153)*L147*1000)+(J217*$H153*L149*1000))/X45</f>
        <v>77.620660683294261</v>
      </c>
    </row>
    <row r="227" spans="1:7" x14ac:dyDescent="0.2">
      <c r="A227" s="144"/>
      <c r="B227" s="210" t="s">
        <v>150</v>
      </c>
      <c r="C227" s="209"/>
      <c r="D227" s="209">
        <f>(D216*X46+((J214*$H153)*L147*1000)+(J217*$H153*L149*1000))/X46</f>
        <v>117.12103031208024</v>
      </c>
    </row>
    <row r="228" spans="1:7" x14ac:dyDescent="0.2">
      <c r="A228" s="144"/>
      <c r="B228" s="210" t="s">
        <v>151</v>
      </c>
      <c r="C228" s="209"/>
      <c r="D228" s="209">
        <f>+D217</f>
        <v>38.992402111672988</v>
      </c>
    </row>
    <row r="229" spans="1:7" x14ac:dyDescent="0.2">
      <c r="A229" s="144"/>
      <c r="B229" s="210"/>
      <c r="C229" s="209"/>
      <c r="D229" s="209"/>
    </row>
    <row r="230" spans="1:7" x14ac:dyDescent="0.2">
      <c r="A230" s="144"/>
      <c r="B230" s="76" t="s">
        <v>211</v>
      </c>
      <c r="C230" s="209">
        <f>(C219*K57+((I214*$H152+I214*$H153)*K147*1000)+(I217*$H154*K149*1000))/K57</f>
        <v>89.15339630326595</v>
      </c>
      <c r="D230" s="209">
        <f>(D219*L57+((J214*$H152+J214*$H153)*L147*1000)+(J217*$H154*L149*1000))/L57</f>
        <v>75.029850612725355</v>
      </c>
    </row>
    <row r="231" spans="1:7" x14ac:dyDescent="0.2">
      <c r="A231" s="144"/>
      <c r="C231" s="215"/>
      <c r="D231" s="215"/>
    </row>
    <row r="232" spans="1:7" x14ac:dyDescent="0.2">
      <c r="A232" s="144"/>
      <c r="B232" s="139" t="s">
        <v>212</v>
      </c>
      <c r="C232" s="209"/>
      <c r="D232" s="209"/>
    </row>
    <row r="233" spans="1:7" x14ac:dyDescent="0.2">
      <c r="A233" s="144"/>
      <c r="B233" s="168" t="s">
        <v>213</v>
      </c>
      <c r="C233" s="219">
        <f>(+SUMPRODUCT(C204:J204,C57:J57)+SUMPRODUCT(C230:D230,K57:L57))/1000</f>
        <v>2095746.572860776</v>
      </c>
      <c r="G233" s="214"/>
    </row>
    <row r="234" spans="1:7" x14ac:dyDescent="0.2">
      <c r="A234" s="144"/>
      <c r="C234" s="168" t="s">
        <v>214</v>
      </c>
      <c r="D234" s="245">
        <f>+C233/SUM(C57:L57)*1000</f>
        <v>87.723643929203945</v>
      </c>
      <c r="E234" s="76" t="s">
        <v>215</v>
      </c>
    </row>
    <row r="235" spans="1:7" x14ac:dyDescent="0.2">
      <c r="A235" s="144"/>
      <c r="C235" s="168" t="s">
        <v>216</v>
      </c>
      <c r="D235" s="245">
        <f>+C233/SUMPRODUCT(C57:L57,C85:L85)*1000</f>
        <v>81.620397114565222</v>
      </c>
      <c r="E235" s="76" t="s">
        <v>217</v>
      </c>
    </row>
    <row r="236" spans="1:7" x14ac:dyDescent="0.2">
      <c r="A236" s="144"/>
    </row>
    <row r="237" spans="1:7" x14ac:dyDescent="0.2">
      <c r="A237" s="144"/>
      <c r="E237" s="259"/>
    </row>
    <row r="238" spans="1:7" x14ac:dyDescent="0.2">
      <c r="A238" s="141" t="s">
        <v>218</v>
      </c>
      <c r="B238" s="139" t="s">
        <v>219</v>
      </c>
    </row>
    <row r="239" spans="1:7" x14ac:dyDescent="0.2">
      <c r="A239" s="144"/>
      <c r="B239" s="139"/>
    </row>
    <row r="240" spans="1:7" x14ac:dyDescent="0.2">
      <c r="A240" s="144"/>
      <c r="B240" s="139" t="s">
        <v>193</v>
      </c>
    </row>
    <row r="241" spans="1:13" x14ac:dyDescent="0.2">
      <c r="A241" s="144"/>
      <c r="B241" s="140" t="s">
        <v>194</v>
      </c>
    </row>
    <row r="242" spans="1:13" x14ac:dyDescent="0.2">
      <c r="A242" s="144"/>
      <c r="B242" s="139"/>
    </row>
    <row r="243" spans="1:13" x14ac:dyDescent="0.2">
      <c r="A243" s="144"/>
      <c r="C243" s="136" t="str">
        <f t="shared" ref="C243:J243" si="51">+C7</f>
        <v>RS</v>
      </c>
      <c r="D243" s="136" t="str">
        <f t="shared" si="51"/>
        <v>RHS</v>
      </c>
      <c r="E243" s="136" t="str">
        <f t="shared" si="51"/>
        <v>RLM</v>
      </c>
      <c r="F243" s="136" t="str">
        <f t="shared" si="51"/>
        <v>WH</v>
      </c>
      <c r="G243" s="136" t="str">
        <f t="shared" si="51"/>
        <v>WHS</v>
      </c>
      <c r="H243" s="136" t="str">
        <f t="shared" si="51"/>
        <v>HS</v>
      </c>
      <c r="I243" s="136" t="str">
        <f t="shared" si="51"/>
        <v>PSAL</v>
      </c>
      <c r="J243" s="136" t="str">
        <f t="shared" si="51"/>
        <v>BPL</v>
      </c>
    </row>
    <row r="244" spans="1:13" x14ac:dyDescent="0.2">
      <c r="A244" s="144"/>
      <c r="C244" s="136"/>
      <c r="D244" s="136"/>
      <c r="E244" s="136"/>
      <c r="F244" s="136"/>
      <c r="G244" s="136"/>
    </row>
    <row r="245" spans="1:13" x14ac:dyDescent="0.2">
      <c r="A245" s="144"/>
      <c r="B245" s="150" t="s">
        <v>130</v>
      </c>
      <c r="E245" s="261"/>
      <c r="F245" s="262">
        <f>ROUND(+F194/$D$235,3)</f>
        <v>0.47099999999999997</v>
      </c>
      <c r="G245" s="262">
        <f>ROUND(+G194/$D$235,3)</f>
        <v>0.46800000000000003</v>
      </c>
      <c r="H245" s="262">
        <f>ROUND(+H194/$D$235,3)</f>
        <v>0.875</v>
      </c>
      <c r="I245" s="261">
        <f>ROUND(+I194/$D$235,3)</f>
        <v>0.42299999999999999</v>
      </c>
      <c r="J245" s="261">
        <f>ROUND(+J194/$D$235,3)</f>
        <v>0.42299999999999999</v>
      </c>
      <c r="K245" s="263"/>
      <c r="L245" s="263"/>
      <c r="M245" s="263"/>
    </row>
    <row r="246" spans="1:13" x14ac:dyDescent="0.2">
      <c r="A246" s="144"/>
      <c r="B246" s="210" t="s">
        <v>150</v>
      </c>
      <c r="C246" s="264"/>
      <c r="D246" s="265"/>
      <c r="E246" s="262">
        <f>ROUND(+E195/$D$235,3)</f>
        <v>2.0529999999999999</v>
      </c>
      <c r="F246" s="261"/>
      <c r="G246" s="261"/>
      <c r="H246" s="261"/>
      <c r="I246" s="137"/>
      <c r="J246" s="266" t="s">
        <v>220</v>
      </c>
      <c r="K246" s="263"/>
      <c r="L246" s="263"/>
      <c r="M246" s="263"/>
    </row>
    <row r="247" spans="1:13" x14ac:dyDescent="0.2">
      <c r="A247" s="144"/>
      <c r="B247" s="210" t="s">
        <v>151</v>
      </c>
      <c r="C247" s="264"/>
      <c r="D247" s="265"/>
      <c r="E247" s="262">
        <f>ROUND(+E196/$D$235,3)</f>
        <v>0.39900000000000002</v>
      </c>
      <c r="F247" s="261"/>
      <c r="G247" s="261"/>
      <c r="H247" s="267"/>
      <c r="I247" s="137"/>
      <c r="J247" s="266" t="s">
        <v>221</v>
      </c>
      <c r="K247" s="268">
        <f>ROUND((I245*U49+J245*V49)/(U49+V49),3)</f>
        <v>0.42299999999999999</v>
      </c>
      <c r="L247" s="263"/>
      <c r="M247" s="263"/>
    </row>
    <row r="248" spans="1:13" x14ac:dyDescent="0.2">
      <c r="A248" s="144"/>
      <c r="E248" s="264"/>
      <c r="F248" s="265"/>
      <c r="G248" s="265"/>
      <c r="L248" s="263"/>
      <c r="M248" s="263"/>
    </row>
    <row r="249" spans="1:13" x14ac:dyDescent="0.2">
      <c r="A249" s="144"/>
      <c r="B249" s="269" t="s">
        <v>222</v>
      </c>
      <c r="C249" s="262">
        <f>ROUND(+C194/$D$235,3)</f>
        <v>1.1140000000000001</v>
      </c>
      <c r="D249" s="262">
        <f>ROUND(+D194/$D$235,3)</f>
        <v>0.86399999999999999</v>
      </c>
      <c r="E249" s="264"/>
      <c r="F249" s="265"/>
      <c r="G249" s="265"/>
      <c r="H249" s="265"/>
      <c r="I249" s="265"/>
      <c r="J249" s="265"/>
      <c r="K249" s="263"/>
      <c r="L249" s="263"/>
      <c r="M249" s="263"/>
    </row>
    <row r="250" spans="1:13" x14ac:dyDescent="0.2">
      <c r="A250" s="141"/>
      <c r="B250" s="269" t="s">
        <v>223</v>
      </c>
      <c r="C250" s="270">
        <f>ROUND(+C197-C194,3)</f>
        <v>-3.0539999999999998</v>
      </c>
      <c r="D250" s="270">
        <f>ROUND(D197-D194,3)</f>
        <v>-4.2460000000000004</v>
      </c>
      <c r="E250" s="251" t="s">
        <v>224</v>
      </c>
      <c r="F250" s="265"/>
      <c r="G250" s="265"/>
      <c r="H250" s="265"/>
      <c r="I250" s="265"/>
      <c r="J250" s="265"/>
      <c r="K250" s="263"/>
      <c r="L250" s="263"/>
      <c r="M250" s="263"/>
    </row>
    <row r="251" spans="1:13" x14ac:dyDescent="0.2">
      <c r="A251" s="141"/>
      <c r="B251" s="269" t="s">
        <v>223</v>
      </c>
      <c r="C251" s="270">
        <f>ROUND(+C198-C194,3)</f>
        <v>5.5979999999999999</v>
      </c>
      <c r="D251" s="270">
        <f>ROUND(D198-D194,3)</f>
        <v>7.3230000000000004</v>
      </c>
      <c r="E251" s="251" t="s">
        <v>225</v>
      </c>
      <c r="F251" s="265"/>
      <c r="G251" s="265"/>
      <c r="H251" s="265"/>
      <c r="I251" s="265"/>
      <c r="J251" s="265"/>
      <c r="K251" s="263"/>
      <c r="L251" s="263"/>
      <c r="M251" s="263"/>
    </row>
    <row r="252" spans="1:13" x14ac:dyDescent="0.2">
      <c r="A252" s="144"/>
      <c r="G252" s="265"/>
      <c r="H252" s="265"/>
      <c r="I252" s="265"/>
      <c r="J252" s="265"/>
      <c r="K252" s="263"/>
      <c r="L252" s="263"/>
      <c r="M252" s="263"/>
    </row>
    <row r="253" spans="1:13" x14ac:dyDescent="0.2">
      <c r="A253" s="144"/>
      <c r="H253" s="265"/>
      <c r="I253" s="265"/>
      <c r="J253" s="265"/>
      <c r="K253" s="263"/>
      <c r="L253" s="263"/>
      <c r="M253" s="263"/>
    </row>
    <row r="254" spans="1:13" x14ac:dyDescent="0.2">
      <c r="A254" s="144"/>
      <c r="C254" s="265"/>
      <c r="D254" s="265"/>
      <c r="E254" s="265"/>
      <c r="F254" s="265"/>
      <c r="G254" s="265"/>
      <c r="H254" s="265"/>
      <c r="I254" s="265"/>
      <c r="J254" s="265"/>
      <c r="K254" s="263"/>
      <c r="L254" s="263"/>
      <c r="M254" s="263"/>
    </row>
    <row r="255" spans="1:13" x14ac:dyDescent="0.2">
      <c r="A255" s="144"/>
      <c r="B255" s="150" t="s">
        <v>133</v>
      </c>
      <c r="C255" s="262">
        <f>ROUND(+C200/$D$235,3)</f>
        <v>1.167</v>
      </c>
      <c r="D255" s="262">
        <f>ROUND(+D200/$D$235,3)</f>
        <v>0.93400000000000005</v>
      </c>
      <c r="E255" s="261"/>
      <c r="F255" s="262">
        <f>ROUND(+F200/$D$235,3)</f>
        <v>0.53</v>
      </c>
      <c r="G255" s="262">
        <f>ROUND(+G200/$D$235,3)</f>
        <v>0.53400000000000003</v>
      </c>
      <c r="H255" s="262">
        <f>ROUND(+H200/$D$235,3)</f>
        <v>0.93</v>
      </c>
      <c r="I255" s="261">
        <f>ROUND(+I200/$D$235,3)</f>
        <v>0.50700000000000001</v>
      </c>
      <c r="J255" s="261">
        <f>ROUND(+J200/$D$235,3)</f>
        <v>0.50900000000000001</v>
      </c>
      <c r="K255" s="263"/>
      <c r="L255" s="263"/>
      <c r="M255" s="263"/>
    </row>
    <row r="256" spans="1:13" x14ac:dyDescent="0.2">
      <c r="A256" s="144"/>
      <c r="B256" s="210" t="s">
        <v>150</v>
      </c>
      <c r="C256" s="265"/>
      <c r="D256" s="265"/>
      <c r="E256" s="262">
        <f>ROUND(+E201/$D$235,3)</f>
        <v>2.081</v>
      </c>
      <c r="F256" s="265"/>
      <c r="G256" s="265"/>
      <c r="H256" s="265"/>
      <c r="J256" s="266" t="s">
        <v>220</v>
      </c>
      <c r="K256" s="263"/>
      <c r="L256" s="263"/>
      <c r="M256" s="263"/>
    </row>
    <row r="257" spans="1:13" x14ac:dyDescent="0.2">
      <c r="A257" s="144"/>
      <c r="B257" s="210" t="s">
        <v>151</v>
      </c>
      <c r="C257" s="265"/>
      <c r="D257" s="265"/>
      <c r="E257" s="262">
        <f>ROUND(+E202/$D$235,3)</f>
        <v>0.47899999999999998</v>
      </c>
      <c r="F257" s="265"/>
      <c r="G257" s="265"/>
      <c r="J257" s="266" t="s">
        <v>221</v>
      </c>
      <c r="K257" s="268">
        <f>ROUND((I255*U45+J255*V45)/(U45+V45),3)</f>
        <v>0.50800000000000001</v>
      </c>
      <c r="L257" s="263"/>
      <c r="M257" s="263"/>
    </row>
    <row r="258" spans="1:13" x14ac:dyDescent="0.2">
      <c r="A258" s="144"/>
      <c r="C258" s="271"/>
      <c r="D258" s="271"/>
      <c r="E258" s="271"/>
      <c r="F258" s="271"/>
      <c r="G258" s="271"/>
      <c r="K258" s="263"/>
      <c r="L258" s="263"/>
      <c r="M258" s="263"/>
    </row>
    <row r="259" spans="1:13" x14ac:dyDescent="0.2">
      <c r="A259" s="144"/>
      <c r="B259" s="76" t="s">
        <v>226</v>
      </c>
      <c r="C259" s="272">
        <f>ROUND(+C204/$D$235,3)</f>
        <v>1.145</v>
      </c>
      <c r="D259" s="272">
        <f t="shared" ref="D259:J259" si="52">ROUND(+D204/$D$235,3)</f>
        <v>0.91800000000000004</v>
      </c>
      <c r="E259" s="272">
        <f t="shared" si="52"/>
        <v>1.1830000000000001</v>
      </c>
      <c r="F259" s="272">
        <f t="shared" si="52"/>
        <v>0.51500000000000001</v>
      </c>
      <c r="G259" s="272">
        <f t="shared" si="52"/>
        <v>0.51600000000000001</v>
      </c>
      <c r="H259" s="272">
        <f t="shared" si="52"/>
        <v>0.91800000000000004</v>
      </c>
      <c r="I259" s="272">
        <f t="shared" si="52"/>
        <v>0.48399999999999999</v>
      </c>
      <c r="J259" s="272">
        <f t="shared" si="52"/>
        <v>0.48599999999999999</v>
      </c>
      <c r="K259" s="263"/>
      <c r="L259" s="263"/>
      <c r="M259" s="263"/>
    </row>
    <row r="260" spans="1:13" x14ac:dyDescent="0.2">
      <c r="A260" s="144"/>
    </row>
    <row r="261" spans="1:13" x14ac:dyDescent="0.2">
      <c r="A261" s="144"/>
    </row>
    <row r="262" spans="1:13" x14ac:dyDescent="0.2">
      <c r="A262" s="144"/>
      <c r="B262" s="139" t="s">
        <v>197</v>
      </c>
    </row>
    <row r="263" spans="1:13" x14ac:dyDescent="0.2">
      <c r="A263" s="144"/>
      <c r="B263" s="140" t="s">
        <v>198</v>
      </c>
    </row>
    <row r="264" spans="1:13" x14ac:dyDescent="0.2">
      <c r="A264" s="144"/>
      <c r="B264" s="137"/>
    </row>
    <row r="265" spans="1:13" x14ac:dyDescent="0.2">
      <c r="A265" s="144"/>
      <c r="C265" s="136" t="str">
        <f>+K7</f>
        <v>GLP</v>
      </c>
      <c r="D265" s="136" t="str">
        <f>+C265</f>
        <v>GLP</v>
      </c>
      <c r="E265" s="136" t="str">
        <f>+L7</f>
        <v>LPL-S</v>
      </c>
      <c r="F265" s="136" t="str">
        <f>+E265</f>
        <v>LPL-S</v>
      </c>
      <c r="H265" s="139" t="s">
        <v>199</v>
      </c>
    </row>
    <row r="266" spans="1:13" ht="25.5" x14ac:dyDescent="0.2">
      <c r="A266" s="144"/>
      <c r="C266" s="136" t="s">
        <v>227</v>
      </c>
      <c r="D266" s="273" t="s">
        <v>223</v>
      </c>
      <c r="E266" s="136" t="s">
        <v>227</v>
      </c>
      <c r="F266" s="273" t="s">
        <v>223</v>
      </c>
    </row>
    <row r="267" spans="1:13" x14ac:dyDescent="0.2">
      <c r="A267" s="144"/>
      <c r="B267" s="150" t="s">
        <v>130</v>
      </c>
      <c r="C267" s="262">
        <f>ROUND(+C222/$D$235,3)</f>
        <v>1.006</v>
      </c>
      <c r="D267" s="268">
        <f>ROUND(+C211-C222,3)</f>
        <v>-41.734000000000002</v>
      </c>
      <c r="E267" s="267"/>
      <c r="F267" s="267"/>
      <c r="H267" s="256" t="s">
        <v>200</v>
      </c>
    </row>
    <row r="268" spans="1:13" x14ac:dyDescent="0.2">
      <c r="A268" s="144"/>
      <c r="B268" s="210" t="s">
        <v>150</v>
      </c>
      <c r="C268" s="261"/>
      <c r="D268" s="268"/>
      <c r="E268" s="262">
        <f>ROUND(D223/$D$235,3)</f>
        <v>1.3069999999999999</v>
      </c>
      <c r="F268" s="268">
        <f>ROUND(+D212-D223,3)</f>
        <v>-59.759</v>
      </c>
      <c r="H268" s="168" t="s">
        <v>201</v>
      </c>
      <c r="I268" s="274">
        <f t="shared" ref="I268:J270" si="53">ROUND(+I212,4)</f>
        <v>5.1768999999999998</v>
      </c>
      <c r="J268" s="274">
        <f t="shared" si="53"/>
        <v>5.1768999999999998</v>
      </c>
      <c r="K268" s="204" t="s">
        <v>202</v>
      </c>
    </row>
    <row r="269" spans="1:13" x14ac:dyDescent="0.2">
      <c r="A269" s="144"/>
      <c r="B269" s="210" t="s">
        <v>151</v>
      </c>
      <c r="C269" s="261"/>
      <c r="D269" s="268"/>
      <c r="E269" s="262">
        <f>ROUND(D224/$D$235,3)</f>
        <v>0.39900000000000002</v>
      </c>
      <c r="F269" s="268">
        <f>ROUND(+D213-D224,3)</f>
        <v>0</v>
      </c>
      <c r="H269" s="168" t="s">
        <v>203</v>
      </c>
      <c r="I269" s="274">
        <f t="shared" si="53"/>
        <v>5.1557000000000004</v>
      </c>
      <c r="J269" s="274">
        <f t="shared" si="53"/>
        <v>5.1557000000000004</v>
      </c>
      <c r="K269" s="204" t="s">
        <v>202</v>
      </c>
    </row>
    <row r="270" spans="1:13" x14ac:dyDescent="0.2">
      <c r="A270" s="144"/>
      <c r="C270" s="261"/>
      <c r="D270" s="268"/>
      <c r="E270" s="261"/>
      <c r="F270" s="268"/>
      <c r="H270" s="168" t="s">
        <v>204</v>
      </c>
      <c r="I270" s="274">
        <f t="shared" si="53"/>
        <v>5.1627999999999998</v>
      </c>
      <c r="J270" s="274">
        <f t="shared" si="53"/>
        <v>5.1627999999999998</v>
      </c>
      <c r="K270" s="204" t="s">
        <v>202</v>
      </c>
    </row>
    <row r="271" spans="1:13" x14ac:dyDescent="0.2">
      <c r="A271" s="144"/>
      <c r="B271" s="150" t="s">
        <v>133</v>
      </c>
      <c r="C271" s="262">
        <f>ROUND(+C226/$D$235,3)</f>
        <v>1.143</v>
      </c>
      <c r="D271" s="268">
        <f>ROUND(+C215-C226,3)</f>
        <v>-49.122</v>
      </c>
      <c r="E271" s="262"/>
      <c r="F271" s="268"/>
    </row>
    <row r="272" spans="1:13" x14ac:dyDescent="0.2">
      <c r="A272" s="144"/>
      <c r="B272" s="210" t="s">
        <v>150</v>
      </c>
      <c r="C272" s="261"/>
      <c r="D272" s="267"/>
      <c r="E272" s="262">
        <f>ROUND(D227/$D$235,3)</f>
        <v>1.4350000000000001</v>
      </c>
      <c r="F272" s="268">
        <f>ROUND(+D216-D227,3)</f>
        <v>-68.013000000000005</v>
      </c>
      <c r="H272" s="256" t="s">
        <v>205</v>
      </c>
      <c r="I272" s="259"/>
      <c r="J272" s="259"/>
    </row>
    <row r="273" spans="1:11" x14ac:dyDescent="0.2">
      <c r="A273" s="144"/>
      <c r="B273" s="210" t="s">
        <v>151</v>
      </c>
      <c r="C273" s="261"/>
      <c r="D273" s="267"/>
      <c r="E273" s="262">
        <f>ROUND(D228/$D$235,3)</f>
        <v>0.47799999999999998</v>
      </c>
      <c r="F273" s="268">
        <f>ROUND(+D217-D228,3)</f>
        <v>0</v>
      </c>
      <c r="H273" s="168" t="s">
        <v>206</v>
      </c>
      <c r="I273" s="274">
        <f>ROUND(+I217,4)</f>
        <v>7.9847000000000001</v>
      </c>
      <c r="J273" s="274">
        <f>ROUND(+J217,4)</f>
        <v>7.9847000000000001</v>
      </c>
      <c r="K273" s="204" t="s">
        <v>207</v>
      </c>
    </row>
    <row r="274" spans="1:11" x14ac:dyDescent="0.2">
      <c r="A274" s="144"/>
      <c r="C274" s="272"/>
      <c r="D274" s="267"/>
      <c r="E274" s="272"/>
      <c r="F274" s="267"/>
    </row>
    <row r="275" spans="1:11" x14ac:dyDescent="0.2">
      <c r="A275" s="144"/>
      <c r="B275" s="76" t="s">
        <v>211</v>
      </c>
      <c r="C275" s="272">
        <f>ROUND(+C230/$D$235,3)</f>
        <v>1.0920000000000001</v>
      </c>
      <c r="D275" s="267"/>
      <c r="E275" s="272">
        <f>ROUND(+D230/$D$235,3)</f>
        <v>0.91900000000000004</v>
      </c>
      <c r="F275" s="267"/>
    </row>
    <row r="276" spans="1:11" x14ac:dyDescent="0.2">
      <c r="A276" s="144"/>
      <c r="C276" s="263"/>
      <c r="E276" s="263"/>
    </row>
    <row r="277" spans="1:11" x14ac:dyDescent="0.2">
      <c r="A277" s="144"/>
      <c r="C277" s="263"/>
      <c r="E277" s="263"/>
    </row>
    <row r="279" spans="1:11" x14ac:dyDescent="0.2">
      <c r="A279" s="139" t="s">
        <v>228</v>
      </c>
      <c r="E279" s="211"/>
    </row>
    <row r="280" spans="1:11" x14ac:dyDescent="0.2">
      <c r="A280" s="144"/>
      <c r="B280" s="168" t="s">
        <v>229</v>
      </c>
      <c r="C280" s="244">
        <f>+F158</f>
        <v>169.73527191124808</v>
      </c>
      <c r="D280" s="204" t="s">
        <v>230</v>
      </c>
      <c r="E280" s="135" t="s">
        <v>201</v>
      </c>
    </row>
    <row r="281" spans="1:11" x14ac:dyDescent="0.2">
      <c r="A281" s="144"/>
      <c r="B281" s="168"/>
      <c r="C281" s="244">
        <f>+F159</f>
        <v>169.73527191124808</v>
      </c>
      <c r="D281" s="204" t="s">
        <v>230</v>
      </c>
      <c r="E281" s="135" t="s">
        <v>203</v>
      </c>
    </row>
    <row r="282" spans="1:11" x14ac:dyDescent="0.2">
      <c r="A282" s="144"/>
      <c r="B282" s="168"/>
    </row>
    <row r="283" spans="1:11" x14ac:dyDescent="0.2">
      <c r="A283" s="144"/>
      <c r="B283" s="168" t="s">
        <v>231</v>
      </c>
      <c r="C283" s="244">
        <f>+D155</f>
        <v>95816.85</v>
      </c>
      <c r="D283" s="204" t="s">
        <v>168</v>
      </c>
      <c r="E283" s="252"/>
    </row>
    <row r="284" spans="1:11" x14ac:dyDescent="0.2">
      <c r="A284" s="144"/>
      <c r="B284" s="168" t="s">
        <v>232</v>
      </c>
      <c r="C284" s="275">
        <f>+H152</f>
        <v>4</v>
      </c>
      <c r="D284" s="76" t="s">
        <v>233</v>
      </c>
      <c r="E284" s="252"/>
    </row>
    <row r="285" spans="1:11" x14ac:dyDescent="0.2">
      <c r="A285" s="144"/>
      <c r="B285" s="168"/>
      <c r="C285" s="275">
        <f>+H153</f>
        <v>8</v>
      </c>
      <c r="D285" s="76" t="s">
        <v>234</v>
      </c>
      <c r="E285" s="252"/>
    </row>
    <row r="286" spans="1:11" x14ac:dyDescent="0.2">
      <c r="A286" s="144"/>
      <c r="B286" s="221" t="s">
        <v>235</v>
      </c>
      <c r="C286" s="241">
        <f>+D171</f>
        <v>8.9600000000000009</v>
      </c>
      <c r="D286" s="76" t="s">
        <v>87</v>
      </c>
    </row>
    <row r="287" spans="1:11" x14ac:dyDescent="0.2">
      <c r="A287" s="144"/>
      <c r="B287" s="168" t="s">
        <v>236</v>
      </c>
      <c r="C287" s="137" t="s">
        <v>237</v>
      </c>
    </row>
    <row r="288" spans="1:11" x14ac:dyDescent="0.2">
      <c r="A288" s="144"/>
      <c r="B288" s="168" t="s">
        <v>238</v>
      </c>
      <c r="C288" s="355" t="s">
        <v>386</v>
      </c>
    </row>
    <row r="289" spans="1:13" x14ac:dyDescent="0.2">
      <c r="A289" s="144"/>
      <c r="B289" s="168"/>
      <c r="C289" s="135"/>
    </row>
    <row r="290" spans="1:13" x14ac:dyDescent="0.2">
      <c r="A290" s="144"/>
      <c r="B290" s="168" t="s">
        <v>239</v>
      </c>
      <c r="C290" s="76" t="s">
        <v>240</v>
      </c>
    </row>
    <row r="291" spans="1:13" x14ac:dyDescent="0.2">
      <c r="A291" s="144"/>
      <c r="B291" s="168" t="s">
        <v>241</v>
      </c>
      <c r="C291" s="76" t="s">
        <v>242</v>
      </c>
    </row>
    <row r="292" spans="1:13" x14ac:dyDescent="0.2">
      <c r="A292" s="144"/>
      <c r="B292" s="168" t="s">
        <v>243</v>
      </c>
      <c r="C292" s="76" t="s">
        <v>244</v>
      </c>
    </row>
    <row r="293" spans="1:13" x14ac:dyDescent="0.2">
      <c r="C293" s="76" t="s">
        <v>245</v>
      </c>
    </row>
    <row r="294" spans="1:13" x14ac:dyDescent="0.2">
      <c r="B294" s="168" t="s">
        <v>246</v>
      </c>
      <c r="C294" s="76" t="s">
        <v>247</v>
      </c>
    </row>
    <row r="295" spans="1:13" x14ac:dyDescent="0.2">
      <c r="A295" s="144"/>
      <c r="B295" s="221" t="s">
        <v>248</v>
      </c>
      <c r="C295" s="263" t="s">
        <v>249</v>
      </c>
      <c r="E295" s="263"/>
    </row>
    <row r="296" spans="1:13" x14ac:dyDescent="0.2">
      <c r="A296" s="144"/>
      <c r="C296" s="263"/>
      <c r="E296" s="263"/>
    </row>
    <row r="297" spans="1:13" x14ac:dyDescent="0.2">
      <c r="A297" s="144"/>
      <c r="C297" s="263"/>
      <c r="E297" s="263"/>
    </row>
    <row r="298" spans="1:13" x14ac:dyDescent="0.2">
      <c r="A298" s="141" t="s">
        <v>250</v>
      </c>
      <c r="B298" s="139" t="s">
        <v>251</v>
      </c>
    </row>
    <row r="299" spans="1:13" x14ac:dyDescent="0.2">
      <c r="A299" s="144"/>
      <c r="B299" s="139"/>
    </row>
    <row r="300" spans="1:13" x14ac:dyDescent="0.2">
      <c r="A300" s="144"/>
      <c r="C300" s="136" t="s">
        <v>9</v>
      </c>
      <c r="D300" s="136" t="s">
        <v>10</v>
      </c>
      <c r="E300" s="136" t="s">
        <v>11</v>
      </c>
      <c r="F300" s="136" t="s">
        <v>12</v>
      </c>
      <c r="G300" s="136" t="s">
        <v>13</v>
      </c>
      <c r="H300" s="136" t="s">
        <v>14</v>
      </c>
      <c r="I300" s="136" t="s">
        <v>15</v>
      </c>
      <c r="J300" s="136" t="s">
        <v>16</v>
      </c>
      <c r="K300" s="136" t="s">
        <v>17</v>
      </c>
      <c r="L300" s="136" t="s">
        <v>18</v>
      </c>
      <c r="M300" s="136"/>
    </row>
    <row r="301" spans="1:13" x14ac:dyDescent="0.2">
      <c r="A301" s="144"/>
      <c r="B301" s="76" t="s">
        <v>252</v>
      </c>
    </row>
    <row r="302" spans="1:13" x14ac:dyDescent="0.2">
      <c r="A302" s="144"/>
      <c r="B302" s="162" t="s">
        <v>48</v>
      </c>
      <c r="C302" s="216">
        <f>(+C197*SUM(C50:C53)*C163+C198*SUM(C50:C53)*C164)/1000</f>
        <v>477425.02228974854</v>
      </c>
      <c r="D302" s="216">
        <f>(+D197*SUM(D50:D53)*D163+D198*SUM(D50:D53)*D164)/1000</f>
        <v>2102.1380649112443</v>
      </c>
      <c r="E302" s="219">
        <f>(E195*SUMPRODUCT(E32:E35,E50:E53)+E196*SUMPRODUCT(Q32:Q35,E50:E53))/1000</f>
        <v>9457.8943222724556</v>
      </c>
      <c r="F302" s="219">
        <f>+F194*SUM(F50:F53)/1000</f>
        <v>12.612914434991314</v>
      </c>
      <c r="G302" s="219">
        <f>+G194*SUM(G50:G53)/1000</f>
        <v>0.26711554762658202</v>
      </c>
      <c r="H302" s="219">
        <f>+H194*SUM(H50:H53)/1000</f>
        <v>244.499067340442</v>
      </c>
      <c r="I302" s="219">
        <f>+I194*SUM(I50:I53)/1000</f>
        <v>1529.3317683018713</v>
      </c>
      <c r="J302" s="219">
        <f>+J194*SUM(J50:J53)/1000</f>
        <v>2740.8785710791126</v>
      </c>
      <c r="K302" s="219">
        <f>(C211*SUM(K50:K53)/1000)+(I212*$H152*K147)+(I217*$H152*K149)</f>
        <v>195350.01676682319</v>
      </c>
      <c r="L302" s="219">
        <f>(D211*SUM(L50:L53)/1000)+(J212*$H152*L147)+(J217*$H152*L149)</f>
        <v>111766.47120742835</v>
      </c>
      <c r="M302" s="219"/>
    </row>
    <row r="303" spans="1:13" x14ac:dyDescent="0.2">
      <c r="A303" s="144"/>
      <c r="B303" s="162" t="s">
        <v>49</v>
      </c>
      <c r="C303" s="219">
        <f>+C200*SUM(C45:C49,C54:C56)/1000</f>
        <v>660760.32742535253</v>
      </c>
      <c r="D303" s="219">
        <f>+D200*SUM(D45:D49,D54:D56)/1000</f>
        <v>7694.7124566076782</v>
      </c>
      <c r="E303" s="219">
        <f>(E201*(SUMPRODUCT(E27:E31,E45:E49)+SUMPRODUCT(E36:E38,E54:E56))+E202*(SUMPRODUCT(Q27:Q31,E45:E49)+SUMPRODUCT(Q36:Q38,E54:E56)))/1000</f>
        <v>11606.04724380072</v>
      </c>
      <c r="F303" s="219">
        <f>+F200*SUM(F45:F49,F54:F56)/1000</f>
        <v>41.279435486342479</v>
      </c>
      <c r="G303" s="219">
        <f>+G200*SUM(G45:G49,G54:G56)/1000</f>
        <v>0.87101580663377287</v>
      </c>
      <c r="H303" s="219">
        <f>+H200*SUM(H45:H49,H54:H56)/1000</f>
        <v>935.16276816991046</v>
      </c>
      <c r="I303" s="219">
        <f>+I200*SUM(I45:I49,I54:I56)/1000</f>
        <v>4745.2875400771018</v>
      </c>
      <c r="J303" s="219">
        <f>+J200*SUM(J45:J49,J54:J56)/1000</f>
        <v>9007.0777039327695</v>
      </c>
      <c r="K303" s="219">
        <f>(C215*SUM(K45:K49,K54:K56)/1000)+(I213*$H153*K147)+(I217*$H153*K149)</f>
        <v>377049.07529565413</v>
      </c>
      <c r="L303" s="219">
        <f>(D215*SUM(L45:L49,L54:L56)/1000)+(J213*$H153*L147)+(J217*$H153*L149)</f>
        <v>223277.59988800035</v>
      </c>
      <c r="M303" s="219"/>
    </row>
    <row r="304" spans="1:13" x14ac:dyDescent="0.2">
      <c r="A304" s="144"/>
      <c r="B304" s="162" t="s">
        <v>104</v>
      </c>
      <c r="C304" s="214">
        <f>+C303+C302</f>
        <v>1138185.3497151011</v>
      </c>
      <c r="D304" s="214">
        <f t="shared" ref="D304:J304" si="54">+D303+D302</f>
        <v>9796.8505215189216</v>
      </c>
      <c r="E304" s="214">
        <f t="shared" si="54"/>
        <v>21063.941566073176</v>
      </c>
      <c r="F304" s="214">
        <f t="shared" si="54"/>
        <v>53.892349921333789</v>
      </c>
      <c r="G304" s="214">
        <f t="shared" si="54"/>
        <v>1.1381313542603548</v>
      </c>
      <c r="H304" s="214">
        <f t="shared" si="54"/>
        <v>1179.6618355103524</v>
      </c>
      <c r="I304" s="214">
        <f t="shared" si="54"/>
        <v>6274.6193083789731</v>
      </c>
      <c r="J304" s="219">
        <f t="shared" si="54"/>
        <v>11747.956275011882</v>
      </c>
      <c r="K304" s="219">
        <f>+K303+K302</f>
        <v>572399.09206247726</v>
      </c>
      <c r="L304" s="219">
        <f>+L303+L302</f>
        <v>335044.07109542866</v>
      </c>
      <c r="M304" s="219"/>
    </row>
    <row r="305" spans="1:13" x14ac:dyDescent="0.2">
      <c r="A305" s="144"/>
      <c r="B305" s="162"/>
    </row>
    <row r="306" spans="1:13" x14ac:dyDescent="0.2">
      <c r="A306" s="144"/>
      <c r="B306" s="76" t="s">
        <v>253</v>
      </c>
    </row>
    <row r="307" spans="1:13" x14ac:dyDescent="0.2">
      <c r="A307" s="144"/>
      <c r="B307" s="162" t="s">
        <v>48</v>
      </c>
      <c r="C307" s="180">
        <f>+C302/C304</f>
        <v>0.41946157750954421</v>
      </c>
      <c r="D307" s="180">
        <f t="shared" ref="D307:I307" si="55">+D302/D304</f>
        <v>0.21457284259812562</v>
      </c>
      <c r="E307" s="180">
        <f t="shared" si="55"/>
        <v>0.44900876185043626</v>
      </c>
      <c r="F307" s="180">
        <f t="shared" si="55"/>
        <v>0.23403905106016493</v>
      </c>
      <c r="G307" s="180">
        <f t="shared" si="55"/>
        <v>0.23469658983270364</v>
      </c>
      <c r="H307" s="180">
        <f t="shared" si="55"/>
        <v>0.20726199659978434</v>
      </c>
      <c r="I307" s="180">
        <f t="shared" si="55"/>
        <v>0.24373299687833477</v>
      </c>
      <c r="J307" s="180">
        <f>+J302/J304</f>
        <v>0.23330684137027402</v>
      </c>
      <c r="K307" s="180">
        <f>+K302/K304</f>
        <v>0.34128289068896839</v>
      </c>
      <c r="L307" s="180">
        <f>+L302/L304</f>
        <v>0.33358737207916311</v>
      </c>
      <c r="M307" s="180"/>
    </row>
    <row r="308" spans="1:13" x14ac:dyDescent="0.2">
      <c r="A308" s="144"/>
      <c r="B308" s="162" t="s">
        <v>49</v>
      </c>
      <c r="C308" s="180">
        <f>+C303/C304</f>
        <v>0.58053842249045584</v>
      </c>
      <c r="D308" s="180">
        <f t="shared" ref="D308:I308" si="56">+D303/D304</f>
        <v>0.78542715740187452</v>
      </c>
      <c r="E308" s="180">
        <f t="shared" si="56"/>
        <v>0.55099123814956374</v>
      </c>
      <c r="F308" s="180">
        <f t="shared" si="56"/>
        <v>0.76596094893983513</v>
      </c>
      <c r="G308" s="180">
        <f t="shared" si="56"/>
        <v>0.76530341016729642</v>
      </c>
      <c r="H308" s="180">
        <f t="shared" si="56"/>
        <v>0.79273800340021572</v>
      </c>
      <c r="I308" s="180">
        <f t="shared" si="56"/>
        <v>0.75626700312166528</v>
      </c>
      <c r="J308" s="180">
        <f>+J303/J304</f>
        <v>0.76669315862972598</v>
      </c>
      <c r="K308" s="180">
        <f>+K303/K304</f>
        <v>0.65871710931103167</v>
      </c>
      <c r="L308" s="180">
        <f>+L303/L304</f>
        <v>0.666412627920837</v>
      </c>
      <c r="M308" s="180"/>
    </row>
    <row r="309" spans="1:13" x14ac:dyDescent="0.2">
      <c r="A309" s="144"/>
    </row>
    <row r="310" spans="1:13" x14ac:dyDescent="0.2">
      <c r="A310" s="144"/>
      <c r="B310" s="76" t="s">
        <v>254</v>
      </c>
    </row>
    <row r="311" spans="1:13" x14ac:dyDescent="0.2">
      <c r="A311" s="144"/>
      <c r="B311" s="162" t="s">
        <v>48</v>
      </c>
      <c r="C311" s="276">
        <f>+SUM(C302:L302)</f>
        <v>800629.13208788785</v>
      </c>
    </row>
    <row r="312" spans="1:13" x14ac:dyDescent="0.2">
      <c r="A312" s="144"/>
      <c r="B312" s="162" t="s">
        <v>49</v>
      </c>
      <c r="C312" s="276">
        <f>+SUM(C303:L303)</f>
        <v>1295117.4407728883</v>
      </c>
    </row>
    <row r="313" spans="1:13" x14ac:dyDescent="0.2">
      <c r="A313" s="144"/>
      <c r="B313" s="162" t="s">
        <v>104</v>
      </c>
      <c r="C313" s="214">
        <f>+C312+C311</f>
        <v>2095746.572860776</v>
      </c>
      <c r="D313" s="258"/>
    </row>
    <row r="314" spans="1:13" x14ac:dyDescent="0.2">
      <c r="A314" s="144"/>
      <c r="L314" s="277" t="s">
        <v>255</v>
      </c>
    </row>
    <row r="315" spans="1:13" x14ac:dyDescent="0.2">
      <c r="A315" s="144"/>
      <c r="B315" s="76" t="s">
        <v>256</v>
      </c>
      <c r="D315" s="76" t="s">
        <v>257</v>
      </c>
      <c r="K315" s="162" t="s">
        <v>0</v>
      </c>
    </row>
    <row r="316" spans="1:13" x14ac:dyDescent="0.2">
      <c r="A316" s="144"/>
      <c r="B316" s="162" t="s">
        <v>48</v>
      </c>
      <c r="C316" s="180">
        <f>+C311/C313</f>
        <v>0.38202573844365056</v>
      </c>
      <c r="E316" s="211">
        <f>+C311/SUMPRODUCT(O49:X49,C85:L85)*1000</f>
        <v>78.660748289489618</v>
      </c>
      <c r="F316" s="76" t="s">
        <v>258</v>
      </c>
      <c r="I316" s="76" t="s">
        <v>259</v>
      </c>
      <c r="K316" s="162" t="s">
        <v>48</v>
      </c>
      <c r="L316" s="196">
        <f>IF(ROUND(E316/$D$235,4)&lt;ROUND(E317/$D$235,4),1,ROUND(E316/$D$235,4))</f>
        <v>1</v>
      </c>
      <c r="M316" s="278"/>
    </row>
    <row r="317" spans="1:13" x14ac:dyDescent="0.2">
      <c r="A317" s="144"/>
      <c r="B317" s="162" t="s">
        <v>49</v>
      </c>
      <c r="C317" s="180">
        <f>+C312/C313</f>
        <v>0.61797426155634949</v>
      </c>
      <c r="E317" s="211">
        <f>+C312/SUMPRODUCT(O45:X45,C85:L85)*1000</f>
        <v>83.564073456535738</v>
      </c>
      <c r="F317" s="76" t="s">
        <v>258</v>
      </c>
      <c r="K317" s="162" t="s">
        <v>49</v>
      </c>
      <c r="L317" s="196">
        <f>IF(ROUND(E316/$D$235,4)&lt;ROUND(E317/$D$235,4),1,ROUND(E317/$D$235,4))</f>
        <v>1</v>
      </c>
      <c r="M317" s="278"/>
    </row>
    <row r="318" spans="1:13" x14ac:dyDescent="0.2">
      <c r="A318" s="144"/>
    </row>
    <row r="319" spans="1:13" x14ac:dyDescent="0.2">
      <c r="A319" s="144"/>
      <c r="C319" s="263"/>
      <c r="E319" s="263"/>
    </row>
    <row r="320" spans="1:13" x14ac:dyDescent="0.2">
      <c r="A320" s="141" t="s">
        <v>260</v>
      </c>
      <c r="B320" s="139" t="s">
        <v>261</v>
      </c>
      <c r="C320" s="263"/>
      <c r="E320" s="263"/>
    </row>
    <row r="321" spans="1:12" x14ac:dyDescent="0.2">
      <c r="A321" s="144"/>
      <c r="C321" s="263"/>
      <c r="E321" s="263"/>
    </row>
    <row r="322" spans="1:12" x14ac:dyDescent="0.2">
      <c r="A322" s="144"/>
      <c r="B322" s="168" t="s">
        <v>262</v>
      </c>
      <c r="C322" s="209">
        <f>D235</f>
        <v>81.620397114565222</v>
      </c>
      <c r="E322" s="279" t="s">
        <v>263</v>
      </c>
    </row>
    <row r="323" spans="1:12" x14ac:dyDescent="0.2">
      <c r="A323" s="144"/>
      <c r="B323" s="168" t="s">
        <v>264</v>
      </c>
      <c r="C323" s="280">
        <f>+L316</f>
        <v>1</v>
      </c>
      <c r="E323" s="263"/>
    </row>
    <row r="324" spans="1:12" x14ac:dyDescent="0.2">
      <c r="A324" s="144"/>
      <c r="B324" s="168" t="s">
        <v>265</v>
      </c>
      <c r="C324" s="280">
        <f>+L317</f>
        <v>1</v>
      </c>
      <c r="E324" s="263"/>
    </row>
    <row r="325" spans="1:12" x14ac:dyDescent="0.2">
      <c r="A325" s="144"/>
      <c r="C325" s="263"/>
      <c r="E325" s="263"/>
    </row>
    <row r="326" spans="1:12" x14ac:dyDescent="0.2">
      <c r="A326" s="144"/>
      <c r="C326" s="136" t="s">
        <v>9</v>
      </c>
      <c r="D326" s="136" t="s">
        <v>10</v>
      </c>
      <c r="E326" s="136" t="s">
        <v>11</v>
      </c>
      <c r="F326" s="136" t="s">
        <v>12</v>
      </c>
      <c r="G326" s="136" t="s">
        <v>13</v>
      </c>
      <c r="H326" s="136" t="s">
        <v>14</v>
      </c>
      <c r="I326" s="136" t="s">
        <v>15</v>
      </c>
      <c r="J326" s="136" t="s">
        <v>16</v>
      </c>
      <c r="K326" s="136" t="s">
        <v>17</v>
      </c>
      <c r="L326" s="136" t="s">
        <v>18</v>
      </c>
    </row>
    <row r="327" spans="1:12" x14ac:dyDescent="0.2">
      <c r="A327" s="144"/>
      <c r="B327" s="76" t="s">
        <v>266</v>
      </c>
    </row>
    <row r="328" spans="1:12" x14ac:dyDescent="0.2">
      <c r="A328" s="144"/>
      <c r="B328" s="162" t="s">
        <v>48</v>
      </c>
      <c r="C328" s="219">
        <f>+($C$322*C249*O49+C250*O53+C251*O54)/1000</f>
        <v>477275.4047160183</v>
      </c>
      <c r="D328" s="219">
        <f>+($C$322*D249*P49+D250*P53+D251*P54)/1000</f>
        <v>2101.1779487379085</v>
      </c>
      <c r="E328" s="281">
        <f>(($C$322*E246*Q50)+(C322*E247*Q51))/1000</f>
        <v>9457.7641227314252</v>
      </c>
      <c r="F328" s="219">
        <f>+$C$322*F245*R49/1000</f>
        <v>12.609371909434952</v>
      </c>
      <c r="G328" s="219">
        <f>+$C$322*G245*S49/1000</f>
        <v>0.26738842094731563</v>
      </c>
      <c r="H328" s="219">
        <f>+$C$322*H245*T49/1000</f>
        <v>244.55627901391145</v>
      </c>
      <c r="I328" s="219">
        <f>+$C$322*K247*U49/1000</f>
        <v>1529.2347814942698</v>
      </c>
      <c r="J328" s="219">
        <f>+$C$322*K247*V49/1000</f>
        <v>2739.0057778945861</v>
      </c>
      <c r="K328" s="281">
        <f>+($C$322*C267+D267)*W49/1000+(I268*H152*K147)+(I273*H152*K149)</f>
        <v>195425.0166872968</v>
      </c>
      <c r="L328" s="281">
        <f>(($C$322*E268+F268)*X50+(C322*E269*X51))/1000+(J268*$H$152*L147)+(J273*$H$152*L149)</f>
        <v>111775.06908830113</v>
      </c>
    </row>
    <row r="329" spans="1:12" x14ac:dyDescent="0.2">
      <c r="A329" s="144"/>
      <c r="B329" s="162" t="s">
        <v>49</v>
      </c>
      <c r="C329" s="219">
        <f>+$C$322*C255*O45/1000</f>
        <v>660486.16562306543</v>
      </c>
      <c r="D329" s="219">
        <f>+$C$322*D255*P45/1000</f>
        <v>7698.628752409174</v>
      </c>
      <c r="E329" s="281">
        <f>(($C$322*E256*Q46)+(C322*E257*Q47))/1000</f>
        <v>11605.965947895889</v>
      </c>
      <c r="F329" s="219">
        <f>+$C$322*F255*R45/1000</f>
        <v>41.312163999537191</v>
      </c>
      <c r="G329" s="219">
        <f>+$C$322*G255*S45/1000</f>
        <v>0.87170584118355665</v>
      </c>
      <c r="H329" s="219">
        <f>+$C$322*H255*T45/1000</f>
        <v>934.90163229105747</v>
      </c>
      <c r="I329" s="219">
        <f>+$C$322*K257*U45/1000</f>
        <v>4754.7880718692859</v>
      </c>
      <c r="J329" s="219">
        <f>+$C$322*K257*V45/1000</f>
        <v>8994.810990808488</v>
      </c>
      <c r="K329" s="281">
        <f>+($C$322*C271+D271)*W45/1000+(I269*H153*K147)+(I273*H153*K149)</f>
        <v>376946.30327398365</v>
      </c>
      <c r="L329" s="281">
        <f>(($C$322*E272+F272)*X46+C322*E273*X47)/1000+(J269*$H$153*L147)+(J273*$H$153*L149)</f>
        <v>223315.85877331902</v>
      </c>
    </row>
    <row r="330" spans="1:12" x14ac:dyDescent="0.2">
      <c r="A330" s="144"/>
      <c r="B330" s="162" t="s">
        <v>104</v>
      </c>
      <c r="C330" s="214">
        <f>+C329+C328</f>
        <v>1137761.5703390837</v>
      </c>
      <c r="D330" s="214">
        <f t="shared" ref="D330:L330" si="57">+D329+D328</f>
        <v>9799.806701147083</v>
      </c>
      <c r="E330" s="214">
        <f t="shared" si="57"/>
        <v>21063.730070627316</v>
      </c>
      <c r="F330" s="214">
        <f t="shared" si="57"/>
        <v>53.921535908972146</v>
      </c>
      <c r="G330" s="214">
        <f t="shared" si="57"/>
        <v>1.1390942621308722</v>
      </c>
      <c r="H330" s="214">
        <f t="shared" si="57"/>
        <v>1179.457911304969</v>
      </c>
      <c r="I330" s="214">
        <f t="shared" si="57"/>
        <v>6284.0228533635554</v>
      </c>
      <c r="J330" s="214">
        <f t="shared" si="57"/>
        <v>11733.816768703075</v>
      </c>
      <c r="K330" s="214">
        <f t="shared" si="57"/>
        <v>572371.31996128045</v>
      </c>
      <c r="L330" s="214">
        <f t="shared" si="57"/>
        <v>335090.92786162015</v>
      </c>
    </row>
    <row r="331" spans="1:12" x14ac:dyDescent="0.2">
      <c r="A331" s="144"/>
      <c r="B331" s="162"/>
      <c r="C331" s="214"/>
      <c r="D331" s="214"/>
      <c r="E331" s="214"/>
      <c r="F331" s="214"/>
      <c r="G331" s="214"/>
      <c r="H331" s="214"/>
      <c r="I331" s="214"/>
      <c r="J331" s="214"/>
      <c r="K331" s="214"/>
      <c r="L331" s="214"/>
    </row>
    <row r="332" spans="1:12" x14ac:dyDescent="0.2">
      <c r="A332" s="144"/>
      <c r="B332" s="162" t="s">
        <v>267</v>
      </c>
      <c r="C332" s="214">
        <f>SUM(C328:L328)</f>
        <v>800560.10616181861</v>
      </c>
      <c r="D332" s="214"/>
      <c r="E332" s="214"/>
      <c r="F332" s="214"/>
      <c r="G332" s="214"/>
      <c r="H332" s="214"/>
      <c r="I332" s="214"/>
      <c r="J332" s="214"/>
      <c r="K332" s="214"/>
      <c r="L332" s="214"/>
    </row>
    <row r="333" spans="1:12" x14ac:dyDescent="0.2">
      <c r="A333" s="144"/>
      <c r="B333" s="162" t="s">
        <v>268</v>
      </c>
      <c r="C333" s="214">
        <f>SUM(C329:L329)</f>
        <v>1294779.6069354827</v>
      </c>
      <c r="E333" s="263"/>
    </row>
    <row r="334" spans="1:12" x14ac:dyDescent="0.2">
      <c r="A334" s="144"/>
      <c r="B334" s="162" t="s">
        <v>269</v>
      </c>
      <c r="C334" s="214">
        <f>+C333+C332</f>
        <v>2095339.7130973013</v>
      </c>
      <c r="E334" s="263"/>
    </row>
    <row r="335" spans="1:12" x14ac:dyDescent="0.2">
      <c r="A335" s="144"/>
      <c r="B335" s="162"/>
      <c r="C335" s="263"/>
      <c r="E335" s="263"/>
    </row>
    <row r="336" spans="1:12" x14ac:dyDescent="0.2">
      <c r="A336" s="144"/>
      <c r="C336" s="136" t="s">
        <v>9</v>
      </c>
      <c r="D336" s="136" t="s">
        <v>10</v>
      </c>
      <c r="E336" s="136" t="s">
        <v>11</v>
      </c>
      <c r="F336" s="136" t="s">
        <v>12</v>
      </c>
      <c r="G336" s="136" t="s">
        <v>13</v>
      </c>
      <c r="H336" s="136" t="s">
        <v>14</v>
      </c>
      <c r="I336" s="136" t="s">
        <v>15</v>
      </c>
      <c r="J336" s="136" t="s">
        <v>16</v>
      </c>
      <c r="K336" s="136" t="s">
        <v>17</v>
      </c>
      <c r="L336" s="136" t="s">
        <v>18</v>
      </c>
    </row>
    <row r="337" spans="1:12" x14ac:dyDescent="0.2">
      <c r="A337" s="144"/>
      <c r="B337" s="76" t="s">
        <v>270</v>
      </c>
    </row>
    <row r="338" spans="1:12" x14ac:dyDescent="0.2">
      <c r="A338" s="144"/>
      <c r="B338" s="162" t="s">
        <v>48</v>
      </c>
      <c r="C338" s="219">
        <f t="shared" ref="C338:L338" si="58">+$C$322*$C$323*O49*C85/1000</f>
        <v>460469.7219832064</v>
      </c>
      <c r="D338" s="219">
        <f t="shared" si="58"/>
        <v>2613.7746518525646</v>
      </c>
      <c r="E338" s="219">
        <f t="shared" si="58"/>
        <v>8508.3643484665372</v>
      </c>
      <c r="F338" s="219">
        <f t="shared" si="58"/>
        <v>28.773355208778895</v>
      </c>
      <c r="G338" s="219">
        <f t="shared" si="58"/>
        <v>0.61406550750442757</v>
      </c>
      <c r="H338" s="219">
        <f t="shared" si="58"/>
        <v>300.39225066680649</v>
      </c>
      <c r="I338" s="219">
        <f t="shared" si="58"/>
        <v>3885.5433605562303</v>
      </c>
      <c r="J338" s="219">
        <f t="shared" si="58"/>
        <v>6959.379843835537</v>
      </c>
      <c r="K338" s="219">
        <f t="shared" si="58"/>
        <v>208662.30079410912</v>
      </c>
      <c r="L338" s="219">
        <f t="shared" si="58"/>
        <v>139324.32704022509</v>
      </c>
    </row>
    <row r="339" spans="1:12" x14ac:dyDescent="0.2">
      <c r="A339" s="144"/>
      <c r="B339" s="162" t="s">
        <v>49</v>
      </c>
      <c r="C339" s="219">
        <f t="shared" ref="C339:L339" si="59">+$C$322*$C$324*O45*C85/1000</f>
        <v>608290.21349074179</v>
      </c>
      <c r="D339" s="219">
        <f t="shared" si="59"/>
        <v>8858.9950920763604</v>
      </c>
      <c r="E339" s="219">
        <f t="shared" si="59"/>
        <v>10627.346668031629</v>
      </c>
      <c r="F339" s="219">
        <f t="shared" si="59"/>
        <v>83.776079952389779</v>
      </c>
      <c r="G339" s="219">
        <f t="shared" si="59"/>
        <v>1.7544728785840789</v>
      </c>
      <c r="H339" s="219">
        <f t="shared" si="59"/>
        <v>1080.4406846744662</v>
      </c>
      <c r="I339" s="219">
        <f t="shared" si="59"/>
        <v>10059.708867581463</v>
      </c>
      <c r="J339" s="219">
        <f t="shared" si="59"/>
        <v>19030.328695781856</v>
      </c>
      <c r="K339" s="219">
        <f t="shared" si="59"/>
        <v>354557.23115376057</v>
      </c>
      <c r="L339" s="219">
        <f t="shared" si="59"/>
        <v>252403.58596166232</v>
      </c>
    </row>
    <row r="340" spans="1:12" x14ac:dyDescent="0.2">
      <c r="A340" s="144"/>
      <c r="B340" s="162" t="s">
        <v>104</v>
      </c>
      <c r="C340" s="214">
        <f t="shared" ref="C340:L340" si="60">+C339+C338</f>
        <v>1068759.9354739483</v>
      </c>
      <c r="D340" s="214">
        <f t="shared" si="60"/>
        <v>11472.769743928926</v>
      </c>
      <c r="E340" s="214">
        <f t="shared" si="60"/>
        <v>19135.711016498164</v>
      </c>
      <c r="F340" s="214">
        <f t="shared" si="60"/>
        <v>112.54943516116867</v>
      </c>
      <c r="G340" s="214">
        <f t="shared" si="60"/>
        <v>2.3685383860885065</v>
      </c>
      <c r="H340" s="214">
        <f t="shared" si="60"/>
        <v>1380.8329353412728</v>
      </c>
      <c r="I340" s="214">
        <f t="shared" si="60"/>
        <v>13945.252228137693</v>
      </c>
      <c r="J340" s="219">
        <f t="shared" si="60"/>
        <v>25989.708539617393</v>
      </c>
      <c r="K340" s="219">
        <f t="shared" si="60"/>
        <v>563219.53194786969</v>
      </c>
      <c r="L340" s="219">
        <f t="shared" si="60"/>
        <v>391727.91300188738</v>
      </c>
    </row>
    <row r="341" spans="1:12" x14ac:dyDescent="0.2">
      <c r="A341" s="144"/>
      <c r="C341" s="263"/>
      <c r="D341" s="263"/>
      <c r="E341" s="263"/>
      <c r="F341" s="263"/>
      <c r="G341" s="263"/>
      <c r="H341" s="263"/>
      <c r="I341" s="263"/>
      <c r="J341" s="263"/>
      <c r="K341" s="263"/>
      <c r="L341" s="263"/>
    </row>
    <row r="342" spans="1:12" x14ac:dyDescent="0.2">
      <c r="A342" s="144"/>
      <c r="B342" s="162" t="s">
        <v>267</v>
      </c>
      <c r="C342" s="214">
        <f>SUM(C338:L338)</f>
        <v>830753.19169363449</v>
      </c>
    </row>
    <row r="343" spans="1:12" x14ac:dyDescent="0.2">
      <c r="A343" s="144"/>
      <c r="B343" s="162" t="s">
        <v>268</v>
      </c>
      <c r="C343" s="214">
        <f>SUM(C339:L339)</f>
        <v>1264993.3811671413</v>
      </c>
    </row>
    <row r="344" spans="1:12" x14ac:dyDescent="0.2">
      <c r="A344" s="144"/>
      <c r="B344" s="162" t="s">
        <v>269</v>
      </c>
      <c r="C344" s="214">
        <f>+C343+C342</f>
        <v>2095746.5728607757</v>
      </c>
    </row>
    <row r="345" spans="1:12" x14ac:dyDescent="0.2">
      <c r="A345" s="144"/>
      <c r="C345" s="263"/>
      <c r="E345" s="263"/>
    </row>
    <row r="346" spans="1:12" x14ac:dyDescent="0.2">
      <c r="B346" s="168" t="s">
        <v>271</v>
      </c>
      <c r="C346" s="214">
        <f>+C334-C344</f>
        <v>-406.85976347443648</v>
      </c>
    </row>
    <row r="347" spans="1:12" x14ac:dyDescent="0.2">
      <c r="C347" s="76" t="s">
        <v>272</v>
      </c>
    </row>
    <row r="350" spans="1:12" x14ac:dyDescent="0.2">
      <c r="A350" s="141" t="s">
        <v>273</v>
      </c>
      <c r="B350" s="139" t="s">
        <v>274</v>
      </c>
      <c r="C350" s="147" t="s">
        <v>275</v>
      </c>
    </row>
    <row r="351" spans="1:12" x14ac:dyDescent="0.2">
      <c r="B351" s="140" t="s">
        <v>35</v>
      </c>
    </row>
    <row r="352" spans="1:12" x14ac:dyDescent="0.2">
      <c r="B352" s="162" t="s">
        <v>48</v>
      </c>
      <c r="C352" s="170">
        <f>SUMPRODUCT(O49:X49,C85:L85)</f>
        <v>10178254.714046055</v>
      </c>
    </row>
    <row r="353" spans="2:3" x14ac:dyDescent="0.2">
      <c r="B353" s="162" t="s">
        <v>49</v>
      </c>
      <c r="C353" s="282">
        <f>SUMPRODUCT(O45:X45,C85:L85)</f>
        <v>15498495.791334525</v>
      </c>
    </row>
    <row r="354" spans="2:3" x14ac:dyDescent="0.2">
      <c r="B354" s="162" t="s">
        <v>104</v>
      </c>
      <c r="C354" s="170">
        <f>+C353+C352</f>
        <v>25676750.505380578</v>
      </c>
    </row>
  </sheetData>
  <mergeCells count="1">
    <mergeCell ref="R145:V145"/>
  </mergeCells>
  <pageMargins left="0.75" right="0.75" top="1" bottom="1" header="0.5" footer="0.5"/>
  <pageSetup scale="60" fitToHeight="9" orientation="landscape" r:id="rId1"/>
  <headerFooter alignWithMargins="0">
    <oddHeader>&amp;C&amp;"Arial,Bold"Public Service Electric and Gas Company Specific Addendum
Attachment 2</oddHeader>
    <oddFooter>&amp;CPage &amp;P of &amp;N</oddFooter>
  </headerFooter>
  <rowBreaks count="6" manualBreakCount="6">
    <brk id="39" max="16383" man="1"/>
    <brk id="87" max="11" man="1"/>
    <brk id="140" max="11" man="1"/>
    <brk id="186" max="11" man="1"/>
    <brk id="236" max="11" man="1"/>
    <brk id="295" max="11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Q210"/>
  <sheetViews>
    <sheetView view="pageBreakPreview" zoomScaleNormal="85" zoomScaleSheetLayoutView="100" workbookViewId="0">
      <selection activeCell="A2" sqref="A2"/>
    </sheetView>
  </sheetViews>
  <sheetFormatPr defaultColWidth="9.140625" defaultRowHeight="12.75" x14ac:dyDescent="0.2"/>
  <cols>
    <col min="1" max="1" width="12.5703125" style="76" customWidth="1"/>
    <col min="2" max="2" width="34.7109375" style="76" customWidth="1"/>
    <col min="3" max="3" width="26.42578125" style="76" customWidth="1"/>
    <col min="4" max="5" width="13.140625" style="76" customWidth="1"/>
    <col min="6" max="7" width="12.140625" style="76" customWidth="1"/>
    <col min="8" max="8" width="11.85546875" style="76" customWidth="1"/>
    <col min="9" max="9" width="11" style="76" customWidth="1"/>
    <col min="10" max="10" width="13.140625" style="76" customWidth="1"/>
    <col min="11" max="11" width="12.5703125" style="76" customWidth="1"/>
    <col min="12" max="12" width="14.140625" style="76" customWidth="1"/>
    <col min="13" max="13" width="14.28515625" style="76" bestFit="1" customWidth="1"/>
    <col min="14" max="14" width="24.140625" style="76" bestFit="1" customWidth="1"/>
    <col min="15" max="16" width="10.85546875" style="76" bestFit="1" customWidth="1"/>
    <col min="17" max="17" width="14.42578125" style="76" bestFit="1" customWidth="1"/>
    <col min="18" max="16384" width="9.140625" style="76"/>
  </cols>
  <sheetData>
    <row r="1" spans="1:17" ht="15.75" x14ac:dyDescent="0.25">
      <c r="B1" s="7" t="s">
        <v>377</v>
      </c>
    </row>
    <row r="2" spans="1:17" x14ac:dyDescent="0.2">
      <c r="B2" s="353" t="s">
        <v>376</v>
      </c>
    </row>
    <row r="3" spans="1:17" x14ac:dyDescent="0.2">
      <c r="B3" s="140" t="s">
        <v>276</v>
      </c>
    </row>
    <row r="5" spans="1:17" x14ac:dyDescent="0.2">
      <c r="A5" s="141" t="s">
        <v>277</v>
      </c>
      <c r="B5" s="139" t="s">
        <v>278</v>
      </c>
      <c r="M5" s="283" t="s">
        <v>279</v>
      </c>
      <c r="N5" s="283" t="s">
        <v>280</v>
      </c>
      <c r="O5" s="283" t="s">
        <v>281</v>
      </c>
      <c r="P5" s="283" t="s">
        <v>282</v>
      </c>
      <c r="Q5" s="283" t="s">
        <v>283</v>
      </c>
    </row>
    <row r="6" spans="1:17" ht="51" customHeight="1" x14ac:dyDescent="0.2">
      <c r="A6" s="162" t="s">
        <v>284</v>
      </c>
      <c r="B6" s="139" t="s">
        <v>89</v>
      </c>
      <c r="C6" s="145" t="s">
        <v>90</v>
      </c>
      <c r="D6" s="145" t="s">
        <v>285</v>
      </c>
      <c r="E6" s="145" t="s">
        <v>286</v>
      </c>
      <c r="G6" s="145" t="s">
        <v>287</v>
      </c>
      <c r="M6" s="284" t="s">
        <v>288</v>
      </c>
      <c r="N6" s="285" t="s">
        <v>289</v>
      </c>
      <c r="O6" s="364" t="s">
        <v>290</v>
      </c>
      <c r="P6" s="364" t="s">
        <v>384</v>
      </c>
      <c r="Q6" s="364" t="s">
        <v>385</v>
      </c>
    </row>
    <row r="7" spans="1:17" x14ac:dyDescent="0.2">
      <c r="M7" s="284" t="s">
        <v>291</v>
      </c>
      <c r="N7" s="285" t="s">
        <v>292</v>
      </c>
      <c r="O7" s="365"/>
      <c r="P7" s="365"/>
      <c r="Q7" s="365"/>
    </row>
    <row r="8" spans="1:17" x14ac:dyDescent="0.2">
      <c r="A8" s="162">
        <v>1</v>
      </c>
      <c r="B8" s="139" t="s">
        <v>91</v>
      </c>
      <c r="C8" s="235">
        <f>Input!C136</f>
        <v>96.38</v>
      </c>
      <c r="D8" s="235">
        <f>Input!D136</f>
        <v>90.78</v>
      </c>
      <c r="E8" s="235">
        <f>ROUND(IF(Input!E138="yes",Input!$E$136,IF(LEFT(Input!B2,6)="Rebase",Input!E136,(bid_factors!D235*(1+#REF!)*SUM(C20:C21)/1000-SUM(C26:D26))/(E$13/E$14/1000*(E16*$C20+E17*$C21)))),2)</f>
        <v>90.78</v>
      </c>
      <c r="G8" s="352" t="s">
        <v>375</v>
      </c>
      <c r="M8" s="284" t="s">
        <v>293</v>
      </c>
      <c r="N8" s="285" t="s">
        <v>294</v>
      </c>
      <c r="O8" s="365"/>
      <c r="P8" s="365"/>
      <c r="Q8" s="365"/>
    </row>
    <row r="9" spans="1:17" x14ac:dyDescent="0.2">
      <c r="A9" s="163" t="s">
        <v>295</v>
      </c>
      <c r="B9" s="139" t="s">
        <v>296</v>
      </c>
      <c r="C9" s="286"/>
      <c r="D9" s="286"/>
      <c r="E9" s="286"/>
      <c r="G9" s="285" t="s">
        <v>387</v>
      </c>
      <c r="M9" s="284" t="s">
        <v>297</v>
      </c>
      <c r="N9" s="285" t="s">
        <v>298</v>
      </c>
      <c r="O9" s="365"/>
      <c r="P9" s="365"/>
      <c r="Q9" s="365"/>
    </row>
    <row r="10" spans="1:17" x14ac:dyDescent="0.2">
      <c r="A10" s="162"/>
      <c r="B10" s="139" t="s">
        <v>299</v>
      </c>
      <c r="C10" s="287">
        <f>+C8+C9</f>
        <v>96.38</v>
      </c>
      <c r="D10" s="287">
        <f>+D8+D9</f>
        <v>90.78</v>
      </c>
      <c r="E10" s="287">
        <f>+E8+E9</f>
        <v>90.78</v>
      </c>
      <c r="G10" s="177" t="s">
        <v>300</v>
      </c>
      <c r="M10" s="284" t="s">
        <v>301</v>
      </c>
      <c r="N10" s="285" t="s">
        <v>302</v>
      </c>
      <c r="O10" s="365"/>
      <c r="P10" s="365"/>
      <c r="Q10" s="365"/>
    </row>
    <row r="11" spans="1:17" x14ac:dyDescent="0.2">
      <c r="A11" s="162"/>
      <c r="B11" s="139"/>
      <c r="C11" s="287"/>
      <c r="D11" s="287"/>
      <c r="E11" s="287"/>
      <c r="G11" s="177"/>
      <c r="M11" s="284" t="s">
        <v>303</v>
      </c>
      <c r="N11" s="285" t="s">
        <v>304</v>
      </c>
      <c r="O11" s="365"/>
      <c r="P11" s="365"/>
      <c r="Q11" s="365"/>
    </row>
    <row r="12" spans="1:17" x14ac:dyDescent="0.2">
      <c r="B12" s="140" t="s">
        <v>305</v>
      </c>
      <c r="M12" s="284" t="s">
        <v>306</v>
      </c>
      <c r="N12" s="285" t="s">
        <v>307</v>
      </c>
      <c r="O12" s="365"/>
      <c r="P12" s="365"/>
      <c r="Q12" s="365"/>
    </row>
    <row r="13" spans="1:17" x14ac:dyDescent="0.2">
      <c r="A13" s="162">
        <v>2</v>
      </c>
      <c r="B13" s="139" t="s">
        <v>92</v>
      </c>
      <c r="C13" s="226">
        <f>Input!C137</f>
        <v>28</v>
      </c>
      <c r="D13" s="226">
        <f>Input!D137</f>
        <v>28</v>
      </c>
      <c r="E13" s="226">
        <f>Input!E137</f>
        <v>29</v>
      </c>
      <c r="G13" s="76" t="s">
        <v>308</v>
      </c>
      <c r="M13" s="284" t="s">
        <v>309</v>
      </c>
      <c r="N13" s="285" t="s">
        <v>310</v>
      </c>
      <c r="O13" s="365"/>
      <c r="P13" s="365"/>
      <c r="Q13" s="365"/>
    </row>
    <row r="14" spans="1:17" x14ac:dyDescent="0.2">
      <c r="A14" s="162">
        <v>3</v>
      </c>
      <c r="B14" s="139" t="s">
        <v>311</v>
      </c>
      <c r="C14" s="226">
        <v>85</v>
      </c>
      <c r="D14" s="226">
        <v>85</v>
      </c>
      <c r="E14" s="226">
        <v>85</v>
      </c>
      <c r="G14" s="76" t="s">
        <v>308</v>
      </c>
      <c r="M14" s="284" t="s">
        <v>312</v>
      </c>
      <c r="N14" s="285" t="s">
        <v>313</v>
      </c>
      <c r="O14" s="365"/>
      <c r="P14" s="365"/>
      <c r="Q14" s="365"/>
    </row>
    <row r="15" spans="1:17" x14ac:dyDescent="0.2">
      <c r="A15" s="162"/>
      <c r="B15" s="139" t="s">
        <v>95</v>
      </c>
      <c r="M15" s="284" t="s">
        <v>314</v>
      </c>
      <c r="N15" s="285" t="s">
        <v>315</v>
      </c>
      <c r="O15" s="365"/>
      <c r="P15" s="365"/>
      <c r="Q15" s="365"/>
    </row>
    <row r="16" spans="1:17" x14ac:dyDescent="0.2">
      <c r="A16" s="162">
        <v>4</v>
      </c>
      <c r="B16" s="180" t="s">
        <v>96</v>
      </c>
      <c r="C16" s="185">
        <f>Input!C140</f>
        <v>1</v>
      </c>
      <c r="D16" s="185">
        <f>Input!D140</f>
        <v>1</v>
      </c>
      <c r="E16" s="185">
        <f>IF(LEFT(Input!$B$2,6)="rebase",Input!E140,bid_factors!L316)</f>
        <v>1</v>
      </c>
      <c r="K16" s="185"/>
      <c r="M16" s="284" t="s">
        <v>316</v>
      </c>
      <c r="N16" s="285" t="s">
        <v>317</v>
      </c>
      <c r="O16" s="365"/>
      <c r="P16" s="365"/>
      <c r="Q16" s="365"/>
    </row>
    <row r="17" spans="1:17" ht="12.75" customHeight="1" x14ac:dyDescent="0.2">
      <c r="A17" s="162">
        <v>5</v>
      </c>
      <c r="B17" s="180" t="s">
        <v>97</v>
      </c>
      <c r="C17" s="185">
        <f>Input!C141</f>
        <v>1</v>
      </c>
      <c r="D17" s="185">
        <f>Input!D141</f>
        <v>1</v>
      </c>
      <c r="E17" s="185">
        <f>IF(LEFT(Input!$B$2,6)="rebase",Input!E141,bid_factors!L317)</f>
        <v>1</v>
      </c>
      <c r="K17" s="185"/>
      <c r="M17" s="284" t="s">
        <v>318</v>
      </c>
      <c r="N17" s="288" t="s">
        <v>319</v>
      </c>
      <c r="O17" s="366"/>
      <c r="P17" s="366"/>
      <c r="Q17" s="366"/>
    </row>
    <row r="18" spans="1:17" x14ac:dyDescent="0.2">
      <c r="A18" s="162"/>
    </row>
    <row r="19" spans="1:17" x14ac:dyDescent="0.2">
      <c r="A19" s="162"/>
      <c r="B19" s="139" t="s">
        <v>320</v>
      </c>
    </row>
    <row r="20" spans="1:17" x14ac:dyDescent="0.2">
      <c r="A20" s="162">
        <v>6</v>
      </c>
      <c r="B20" s="76" t="s">
        <v>321</v>
      </c>
      <c r="C20" s="234">
        <f>+bid_factors!C352</f>
        <v>10178254.714046055</v>
      </c>
      <c r="D20" s="176"/>
      <c r="E20" s="176"/>
      <c r="G20" s="76" t="s">
        <v>322</v>
      </c>
    </row>
    <row r="21" spans="1:17" x14ac:dyDescent="0.2">
      <c r="A21" s="162">
        <v>7</v>
      </c>
      <c r="B21" s="76" t="s">
        <v>323</v>
      </c>
      <c r="C21" s="234">
        <f>+bid_factors!C353</f>
        <v>15498495.791334525</v>
      </c>
      <c r="D21" s="176"/>
      <c r="E21" s="176"/>
    </row>
    <row r="22" spans="1:17" x14ac:dyDescent="0.2">
      <c r="A22" s="162"/>
    </row>
    <row r="23" spans="1:17" x14ac:dyDescent="0.2">
      <c r="A23" s="162"/>
      <c r="B23" s="139" t="s">
        <v>324</v>
      </c>
    </row>
    <row r="24" spans="1:17" x14ac:dyDescent="0.2">
      <c r="A24" s="162">
        <v>8</v>
      </c>
      <c r="B24" s="180" t="s">
        <v>96</v>
      </c>
      <c r="C24" s="289">
        <f>+C$8*C$13/C$14*C16*$C20/1000+C$9*C$13/C$14*$C20/1000</f>
        <v>323146.41531192051</v>
      </c>
      <c r="D24" s="289">
        <f t="shared" ref="D24:E25" si="0">+D$8*D$13/D$14*D16*$C20/1000+D$9*D$13/D$14*$C20/1000</f>
        <v>304370.52896883327</v>
      </c>
      <c r="E24" s="289">
        <f t="shared" si="0"/>
        <v>315240.9050034344</v>
      </c>
      <c r="F24" s="290"/>
      <c r="G24" s="291" t="s">
        <v>325</v>
      </c>
      <c r="J24" s="214"/>
      <c r="L24" s="214"/>
    </row>
    <row r="25" spans="1:17" ht="15" x14ac:dyDescent="0.35">
      <c r="A25" s="162">
        <v>9</v>
      </c>
      <c r="B25" s="180" t="s">
        <v>97</v>
      </c>
      <c r="C25" s="292">
        <f>+C$8*C$13/C$14*C17*$C21/1000+C$9*C$13/C$14*$C21/1000</f>
        <v>492057.18449796474</v>
      </c>
      <c r="D25" s="292">
        <f t="shared" si="0"/>
        <v>463467.01814406773</v>
      </c>
      <c r="E25" s="292">
        <f t="shared" si="0"/>
        <v>480019.41164921282</v>
      </c>
      <c r="F25" s="290"/>
      <c r="G25" s="291" t="s">
        <v>326</v>
      </c>
    </row>
    <row r="26" spans="1:17" x14ac:dyDescent="0.2">
      <c r="A26" s="162">
        <v>10</v>
      </c>
      <c r="B26" s="76" t="s">
        <v>327</v>
      </c>
      <c r="C26" s="214">
        <f>+C25+C24</f>
        <v>815203.59980988526</v>
      </c>
      <c r="D26" s="214">
        <f>+D25+D24</f>
        <v>767837.547112901</v>
      </c>
      <c r="E26" s="214">
        <f>+E25+E24</f>
        <v>795260.31665264722</v>
      </c>
      <c r="G26" s="76" t="s">
        <v>328</v>
      </c>
      <c r="J26" s="214"/>
      <c r="L26" s="214"/>
    </row>
    <row r="27" spans="1:17" x14ac:dyDescent="0.2">
      <c r="A27" s="162"/>
    </row>
    <row r="28" spans="1:17" x14ac:dyDescent="0.2">
      <c r="A28" s="162"/>
      <c r="B28" s="139" t="s">
        <v>329</v>
      </c>
    </row>
    <row r="29" spans="1:17" x14ac:dyDescent="0.2">
      <c r="A29" s="162">
        <v>11</v>
      </c>
      <c r="B29" s="180" t="s">
        <v>96</v>
      </c>
      <c r="C29" s="293">
        <f>ROUND(+SUM(C24:E24)/C20*1000,3)</f>
        <v>92.625</v>
      </c>
      <c r="D29" s="259"/>
      <c r="G29" s="204" t="s">
        <v>330</v>
      </c>
    </row>
    <row r="30" spans="1:17" x14ac:dyDescent="0.2">
      <c r="A30" s="162">
        <v>12</v>
      </c>
      <c r="B30" s="180" t="s">
        <v>97</v>
      </c>
      <c r="C30" s="294">
        <f>ROUND(+SUM(C25:E25)/C21*1000,3)</f>
        <v>92.625</v>
      </c>
      <c r="G30" s="204" t="s">
        <v>331</v>
      </c>
    </row>
    <row r="31" spans="1:17" x14ac:dyDescent="0.2">
      <c r="A31" s="162"/>
      <c r="B31" s="180"/>
      <c r="C31" s="257"/>
      <c r="G31" s="204"/>
    </row>
    <row r="32" spans="1:17" x14ac:dyDescent="0.2">
      <c r="A32" s="162">
        <v>13</v>
      </c>
      <c r="B32" s="76" t="s">
        <v>332</v>
      </c>
      <c r="C32" s="295">
        <f>ROUND(+SUM(C26:E26)/(C20+C21)*1000,3)</f>
        <v>92.625</v>
      </c>
      <c r="D32" s="76" t="s">
        <v>333</v>
      </c>
      <c r="G32" s="204" t="s">
        <v>334</v>
      </c>
    </row>
    <row r="33" spans="1:13" x14ac:dyDescent="0.2">
      <c r="D33" s="76" t="s">
        <v>335</v>
      </c>
      <c r="G33" s="76" t="s">
        <v>336</v>
      </c>
    </row>
    <row r="34" spans="1:13" x14ac:dyDescent="0.2">
      <c r="C34" s="259"/>
    </row>
    <row r="35" spans="1:13" x14ac:dyDescent="0.2">
      <c r="B35" s="296" t="s">
        <v>337</v>
      </c>
      <c r="D35" s="259"/>
    </row>
    <row r="36" spans="1:13" x14ac:dyDescent="0.2">
      <c r="A36" s="162">
        <v>14</v>
      </c>
      <c r="B36" s="168" t="s">
        <v>338</v>
      </c>
      <c r="C36" s="214">
        <f>(C32*(C21+C20))/1000</f>
        <v>2378309.0155608761</v>
      </c>
      <c r="D36" s="259"/>
      <c r="G36" s="204" t="s">
        <v>339</v>
      </c>
    </row>
    <row r="37" spans="1:13" ht="15" x14ac:dyDescent="0.35">
      <c r="A37" s="162">
        <v>15</v>
      </c>
      <c r="B37" s="168" t="s">
        <v>340</v>
      </c>
      <c r="C37" s="297">
        <f>SUM(C26:E26)</f>
        <v>2378301.4635754335</v>
      </c>
      <c r="D37" s="259"/>
      <c r="G37" s="204" t="s">
        <v>341</v>
      </c>
    </row>
    <row r="38" spans="1:13" x14ac:dyDescent="0.2">
      <c r="A38" s="162">
        <v>16</v>
      </c>
      <c r="B38" s="168" t="s">
        <v>342</v>
      </c>
      <c r="C38" s="219">
        <f>+C36-C37</f>
        <v>7.5519854426383972</v>
      </c>
      <c r="D38" s="259"/>
      <c r="G38" s="204" t="s">
        <v>343</v>
      </c>
    </row>
    <row r="39" spans="1:13" x14ac:dyDescent="0.2">
      <c r="B39" s="168"/>
      <c r="D39" s="259"/>
    </row>
    <row r="41" spans="1:13" x14ac:dyDescent="0.2">
      <c r="A41" s="141" t="s">
        <v>344</v>
      </c>
      <c r="B41" s="139" t="s">
        <v>345</v>
      </c>
      <c r="G41" s="140" t="s">
        <v>346</v>
      </c>
    </row>
    <row r="42" spans="1:13" x14ac:dyDescent="0.2">
      <c r="A42" s="141"/>
      <c r="B42" s="139"/>
      <c r="G42" s="140" t="s">
        <v>347</v>
      </c>
    </row>
    <row r="43" spans="1:13" x14ac:dyDescent="0.2">
      <c r="B43" s="139" t="s">
        <v>193</v>
      </c>
    </row>
    <row r="44" spans="1:13" x14ac:dyDescent="0.2">
      <c r="B44" s="140" t="s">
        <v>194</v>
      </c>
    </row>
    <row r="45" spans="1:13" x14ac:dyDescent="0.2">
      <c r="B45" s="139"/>
    </row>
    <row r="46" spans="1:13" x14ac:dyDescent="0.2">
      <c r="C46" s="136" t="str">
        <f>+bid_factors!C243</f>
        <v>RS</v>
      </c>
      <c r="D46" s="136" t="str">
        <f>+bid_factors!D243</f>
        <v>RHS</v>
      </c>
      <c r="E46" s="136" t="str">
        <f>+bid_factors!E243</f>
        <v>RLM</v>
      </c>
      <c r="F46" s="136" t="str">
        <f>+bid_factors!F243</f>
        <v>WH</v>
      </c>
      <c r="G46" s="136" t="str">
        <f>+bid_factors!G243</f>
        <v>WHS</v>
      </c>
      <c r="H46" s="136" t="str">
        <f>+bid_factors!H243</f>
        <v>HS</v>
      </c>
      <c r="I46" s="136" t="str">
        <f>+bid_factors!I243</f>
        <v>PSAL</v>
      </c>
      <c r="J46" s="136" t="str">
        <f>+bid_factors!J243</f>
        <v>BPL</v>
      </c>
    </row>
    <row r="47" spans="1:13" x14ac:dyDescent="0.2">
      <c r="C47" s="136"/>
      <c r="D47" s="136"/>
      <c r="E47" s="136"/>
      <c r="F47" s="136"/>
      <c r="G47" s="136"/>
    </row>
    <row r="48" spans="1:13" x14ac:dyDescent="0.2">
      <c r="B48" s="150" t="s">
        <v>130</v>
      </c>
      <c r="E48" s="261"/>
      <c r="F48" s="262">
        <f>+bid_factors!F245</f>
        <v>0.47099999999999997</v>
      </c>
      <c r="G48" s="262">
        <f>+bid_factors!G245</f>
        <v>0.46800000000000003</v>
      </c>
      <c r="H48" s="262">
        <f>+bid_factors!H245</f>
        <v>0.875</v>
      </c>
      <c r="I48" s="261">
        <f>+bid_factors!I245</f>
        <v>0.42299999999999999</v>
      </c>
      <c r="J48" s="261">
        <f>+bid_factors!J245</f>
        <v>0.42299999999999999</v>
      </c>
      <c r="K48" s="263"/>
      <c r="L48" s="263"/>
      <c r="M48" s="263"/>
    </row>
    <row r="49" spans="2:13" x14ac:dyDescent="0.2">
      <c r="B49" s="210" t="s">
        <v>150</v>
      </c>
      <c r="C49" s="264"/>
      <c r="D49" s="265"/>
      <c r="E49" s="262">
        <f>+bid_factors!E246</f>
        <v>2.0529999999999999</v>
      </c>
      <c r="F49" s="261"/>
      <c r="G49" s="261"/>
      <c r="H49" s="261"/>
      <c r="I49" s="137"/>
      <c r="J49" s="266" t="s">
        <v>220</v>
      </c>
      <c r="K49" s="263"/>
      <c r="L49" s="263"/>
      <c r="M49" s="263"/>
    </row>
    <row r="50" spans="2:13" x14ac:dyDescent="0.2">
      <c r="B50" s="210" t="s">
        <v>151</v>
      </c>
      <c r="C50" s="264"/>
      <c r="D50" s="265"/>
      <c r="E50" s="262">
        <f>+bid_factors!E247</f>
        <v>0.39900000000000002</v>
      </c>
      <c r="F50" s="261"/>
      <c r="G50" s="261"/>
      <c r="H50" s="267"/>
      <c r="I50" s="137"/>
      <c r="J50" s="266" t="s">
        <v>221</v>
      </c>
      <c r="K50" s="268">
        <f>+bid_factors!K247</f>
        <v>0.42299999999999999</v>
      </c>
      <c r="L50" s="263"/>
      <c r="M50" s="263"/>
    </row>
    <row r="51" spans="2:13" x14ac:dyDescent="0.2">
      <c r="E51" s="264"/>
      <c r="F51" s="265"/>
      <c r="G51" s="265"/>
      <c r="L51" s="263"/>
      <c r="M51" s="263"/>
    </row>
    <row r="52" spans="2:13" x14ac:dyDescent="0.2">
      <c r="B52" s="269" t="s">
        <v>222</v>
      </c>
      <c r="C52" s="262">
        <f>+bid_factors!C249</f>
        <v>1.1140000000000001</v>
      </c>
      <c r="D52" s="262">
        <f>+bid_factors!D249</f>
        <v>0.86399999999999999</v>
      </c>
      <c r="E52" s="264"/>
      <c r="F52" s="265"/>
      <c r="G52" s="265"/>
      <c r="H52" s="265"/>
      <c r="I52" s="265"/>
      <c r="J52" s="265"/>
      <c r="K52" s="263"/>
      <c r="L52" s="263"/>
      <c r="M52" s="263"/>
    </row>
    <row r="53" spans="2:13" x14ac:dyDescent="0.2">
      <c r="B53" s="269" t="s">
        <v>223</v>
      </c>
      <c r="C53" s="270">
        <f>+bid_factors!C250</f>
        <v>-3.0539999999999998</v>
      </c>
      <c r="D53" s="270">
        <f>+bid_factors!D250</f>
        <v>-4.2460000000000004</v>
      </c>
      <c r="E53" s="251" t="s">
        <v>224</v>
      </c>
      <c r="F53" s="265"/>
      <c r="G53" s="265"/>
      <c r="H53" s="265"/>
      <c r="I53" s="265"/>
      <c r="J53" s="265"/>
      <c r="K53" s="263"/>
      <c r="L53" s="263"/>
      <c r="M53" s="263"/>
    </row>
    <row r="54" spans="2:13" x14ac:dyDescent="0.2">
      <c r="B54" s="269" t="s">
        <v>223</v>
      </c>
      <c r="C54" s="270">
        <f>+bid_factors!C251</f>
        <v>5.5979999999999999</v>
      </c>
      <c r="D54" s="270">
        <f>+bid_factors!D251</f>
        <v>7.3230000000000004</v>
      </c>
      <c r="E54" s="251" t="s">
        <v>225</v>
      </c>
      <c r="F54" s="265"/>
      <c r="G54" s="265"/>
      <c r="H54" s="265"/>
      <c r="I54" s="265"/>
      <c r="J54" s="265"/>
      <c r="K54" s="263"/>
      <c r="L54" s="263"/>
      <c r="M54" s="263"/>
    </row>
    <row r="55" spans="2:13" x14ac:dyDescent="0.2">
      <c r="G55" s="265"/>
      <c r="H55" s="265"/>
      <c r="I55" s="265"/>
      <c r="J55" s="265"/>
      <c r="K55" s="263"/>
      <c r="L55" s="263"/>
      <c r="M55" s="263"/>
    </row>
    <row r="56" spans="2:13" x14ac:dyDescent="0.2">
      <c r="H56" s="265"/>
      <c r="I56" s="265"/>
      <c r="J56" s="265"/>
      <c r="K56" s="263"/>
      <c r="L56" s="263"/>
      <c r="M56" s="263"/>
    </row>
    <row r="57" spans="2:13" x14ac:dyDescent="0.2">
      <c r="C57" s="265"/>
      <c r="D57" s="265"/>
      <c r="E57" s="265"/>
      <c r="F57" s="265"/>
      <c r="G57" s="265"/>
      <c r="H57" s="265"/>
      <c r="I57" s="265"/>
      <c r="J57" s="265"/>
      <c r="K57" s="263"/>
      <c r="L57" s="263"/>
      <c r="M57" s="263"/>
    </row>
    <row r="58" spans="2:13" x14ac:dyDescent="0.2">
      <c r="B58" s="150" t="s">
        <v>133</v>
      </c>
      <c r="C58" s="262">
        <f>+bid_factors!C255</f>
        <v>1.167</v>
      </c>
      <c r="D58" s="262">
        <f>+bid_factors!D255</f>
        <v>0.93400000000000005</v>
      </c>
      <c r="E58" s="261"/>
      <c r="F58" s="262">
        <f>+bid_factors!F255</f>
        <v>0.53</v>
      </c>
      <c r="G58" s="262">
        <f>+bid_factors!G255</f>
        <v>0.53400000000000003</v>
      </c>
      <c r="H58" s="262">
        <f>+bid_factors!H255</f>
        <v>0.93</v>
      </c>
      <c r="I58" s="261">
        <f>+bid_factors!I255</f>
        <v>0.50700000000000001</v>
      </c>
      <c r="J58" s="261">
        <f>+bid_factors!J255</f>
        <v>0.50900000000000001</v>
      </c>
      <c r="K58" s="263"/>
      <c r="L58" s="263"/>
      <c r="M58" s="263"/>
    </row>
    <row r="59" spans="2:13" x14ac:dyDescent="0.2">
      <c r="B59" s="210" t="s">
        <v>150</v>
      </c>
      <c r="C59" s="265"/>
      <c r="D59" s="265"/>
      <c r="E59" s="262">
        <f>+bid_factors!E256</f>
        <v>2.081</v>
      </c>
      <c r="F59" s="265"/>
      <c r="G59" s="265"/>
      <c r="H59" s="265"/>
      <c r="J59" s="266" t="s">
        <v>220</v>
      </c>
      <c r="K59" s="263"/>
      <c r="L59" s="263"/>
      <c r="M59" s="263"/>
    </row>
    <row r="60" spans="2:13" x14ac:dyDescent="0.2">
      <c r="B60" s="210" t="s">
        <v>151</v>
      </c>
      <c r="C60" s="265"/>
      <c r="D60" s="265"/>
      <c r="E60" s="262">
        <f>+bid_factors!E257</f>
        <v>0.47899999999999998</v>
      </c>
      <c r="F60" s="265"/>
      <c r="G60" s="265"/>
      <c r="J60" s="266" t="s">
        <v>221</v>
      </c>
      <c r="K60" s="268">
        <f>+bid_factors!K257</f>
        <v>0.50800000000000001</v>
      </c>
      <c r="L60" s="263"/>
      <c r="M60" s="263"/>
    </row>
    <row r="61" spans="2:13" x14ac:dyDescent="0.2">
      <c r="C61" s="271"/>
      <c r="D61" s="271"/>
      <c r="E61" s="271"/>
      <c r="F61" s="271"/>
      <c r="G61" s="271"/>
      <c r="K61" s="263"/>
      <c r="L61" s="263"/>
      <c r="M61" s="263"/>
    </row>
    <row r="62" spans="2:13" x14ac:dyDescent="0.2">
      <c r="B62" s="76" t="s">
        <v>226</v>
      </c>
      <c r="C62" s="272">
        <f>+bid_factors!C259</f>
        <v>1.145</v>
      </c>
      <c r="D62" s="272">
        <f>+bid_factors!D259</f>
        <v>0.91800000000000004</v>
      </c>
      <c r="E62" s="272">
        <f>+bid_factors!E259</f>
        <v>1.1830000000000001</v>
      </c>
      <c r="F62" s="272">
        <f>+bid_factors!F259</f>
        <v>0.51500000000000001</v>
      </c>
      <c r="G62" s="272">
        <f>+bid_factors!G259</f>
        <v>0.51600000000000001</v>
      </c>
      <c r="H62" s="272">
        <f>+bid_factors!H259</f>
        <v>0.91800000000000004</v>
      </c>
      <c r="I62" s="272">
        <f>+bid_factors!I259</f>
        <v>0.48399999999999999</v>
      </c>
      <c r="J62" s="272">
        <f>+bid_factors!J259</f>
        <v>0.48599999999999999</v>
      </c>
      <c r="K62" s="263"/>
      <c r="L62" s="263"/>
      <c r="M62" s="263"/>
    </row>
    <row r="65" spans="2:11" x14ac:dyDescent="0.2">
      <c r="B65" s="139" t="s">
        <v>197</v>
      </c>
    </row>
    <row r="66" spans="2:11" x14ac:dyDescent="0.2">
      <c r="B66" s="140" t="s">
        <v>198</v>
      </c>
    </row>
    <row r="67" spans="2:11" x14ac:dyDescent="0.2">
      <c r="B67" s="137"/>
    </row>
    <row r="68" spans="2:11" x14ac:dyDescent="0.2">
      <c r="C68" s="136" t="str">
        <f>+bid_factors!C265</f>
        <v>GLP</v>
      </c>
      <c r="D68" s="136" t="str">
        <f>+bid_factors!D265</f>
        <v>GLP</v>
      </c>
      <c r="E68" s="136" t="str">
        <f>+bid_factors!E265</f>
        <v>LPL-S</v>
      </c>
      <c r="F68" s="136" t="str">
        <f>+bid_factors!F265</f>
        <v>LPL-S</v>
      </c>
      <c r="H68" s="139" t="s">
        <v>199</v>
      </c>
      <c r="I68" s="136" t="str">
        <f>+C68</f>
        <v>GLP</v>
      </c>
      <c r="J68" s="136" t="str">
        <f>+E68</f>
        <v>LPL-S</v>
      </c>
    </row>
    <row r="69" spans="2:11" ht="25.5" x14ac:dyDescent="0.2">
      <c r="C69" s="136" t="s">
        <v>227</v>
      </c>
      <c r="D69" s="273" t="s">
        <v>223</v>
      </c>
      <c r="E69" s="136" t="s">
        <v>227</v>
      </c>
      <c r="F69" s="273" t="s">
        <v>223</v>
      </c>
    </row>
    <row r="70" spans="2:11" x14ac:dyDescent="0.2">
      <c r="B70" s="150" t="s">
        <v>130</v>
      </c>
      <c r="C70" s="262">
        <f>+bid_factors!C267</f>
        <v>1.006</v>
      </c>
      <c r="D70" s="268">
        <f>+bid_factors!D267</f>
        <v>-41.734000000000002</v>
      </c>
      <c r="E70" s="267"/>
      <c r="F70" s="267"/>
      <c r="H70" s="256" t="s">
        <v>200</v>
      </c>
    </row>
    <row r="71" spans="2:11" x14ac:dyDescent="0.2">
      <c r="B71" s="210" t="s">
        <v>150</v>
      </c>
      <c r="C71" s="261"/>
      <c r="D71" s="268"/>
      <c r="E71" s="262">
        <f>+bid_factors!E268</f>
        <v>1.3069999999999999</v>
      </c>
      <c r="F71" s="268">
        <f>+bid_factors!F268</f>
        <v>-59.759</v>
      </c>
      <c r="H71" s="168" t="s">
        <v>201</v>
      </c>
      <c r="I71" s="274">
        <f>+bid_factors!I$270</f>
        <v>5.1627999999999998</v>
      </c>
      <c r="J71" s="274">
        <f>+bid_factors!J$270</f>
        <v>5.1627999999999998</v>
      </c>
      <c r="K71" s="204" t="s">
        <v>202</v>
      </c>
    </row>
    <row r="72" spans="2:11" x14ac:dyDescent="0.2">
      <c r="B72" s="210" t="s">
        <v>151</v>
      </c>
      <c r="C72" s="261"/>
      <c r="D72" s="268"/>
      <c r="E72" s="262">
        <f>+bid_factors!E269</f>
        <v>0.39900000000000002</v>
      </c>
      <c r="F72" s="268">
        <f>+bid_factors!F269</f>
        <v>0</v>
      </c>
      <c r="H72" s="168" t="s">
        <v>203</v>
      </c>
      <c r="I72" s="274">
        <f>+bid_factors!I$270</f>
        <v>5.1627999999999998</v>
      </c>
      <c r="J72" s="274">
        <f>+bid_factors!J$270</f>
        <v>5.1627999999999998</v>
      </c>
      <c r="K72" s="204" t="s">
        <v>202</v>
      </c>
    </row>
    <row r="73" spans="2:11" x14ac:dyDescent="0.2">
      <c r="C73" s="261"/>
      <c r="D73" s="268"/>
      <c r="E73" s="261"/>
      <c r="F73" s="268"/>
      <c r="H73" s="168"/>
      <c r="I73" s="274"/>
      <c r="J73" s="274"/>
      <c r="K73" s="204"/>
    </row>
    <row r="74" spans="2:11" x14ac:dyDescent="0.2">
      <c r="B74" s="150" t="s">
        <v>133</v>
      </c>
      <c r="C74" s="262">
        <f>+bid_factors!C271</f>
        <v>1.143</v>
      </c>
      <c r="D74" s="268">
        <f>+bid_factors!D271</f>
        <v>-49.122</v>
      </c>
      <c r="E74" s="262"/>
      <c r="F74" s="268"/>
      <c r="H74" s="256" t="s">
        <v>205</v>
      </c>
      <c r="I74" s="259"/>
      <c r="J74" s="259"/>
    </row>
    <row r="75" spans="2:11" x14ac:dyDescent="0.2">
      <c r="B75" s="210" t="s">
        <v>150</v>
      </c>
      <c r="C75" s="261"/>
      <c r="D75" s="267"/>
      <c r="E75" s="262">
        <f>+bid_factors!E272</f>
        <v>1.4350000000000001</v>
      </c>
      <c r="F75" s="268">
        <f>+bid_factors!F272</f>
        <v>-68.013000000000005</v>
      </c>
      <c r="H75" s="168" t="s">
        <v>206</v>
      </c>
      <c r="I75" s="274">
        <f>+bid_factors!I273</f>
        <v>7.9847000000000001</v>
      </c>
      <c r="J75" s="274">
        <f>+bid_factors!J273</f>
        <v>7.9847000000000001</v>
      </c>
      <c r="K75" s="204" t="s">
        <v>207</v>
      </c>
    </row>
    <row r="76" spans="2:11" x14ac:dyDescent="0.2">
      <c r="B76" s="210" t="s">
        <v>151</v>
      </c>
      <c r="C76" s="261"/>
      <c r="D76" s="267"/>
      <c r="E76" s="262">
        <f>+bid_factors!E273</f>
        <v>0.47799999999999998</v>
      </c>
      <c r="F76" s="268">
        <f>+bid_factors!F273</f>
        <v>0</v>
      </c>
    </row>
    <row r="77" spans="2:11" x14ac:dyDescent="0.2">
      <c r="C77" s="272"/>
      <c r="D77" s="267"/>
      <c r="E77" s="272"/>
      <c r="F77" s="267"/>
    </row>
    <row r="78" spans="2:11" x14ac:dyDescent="0.2">
      <c r="B78" s="76" t="s">
        <v>211</v>
      </c>
      <c r="C78" s="272">
        <f>+bid_factors!C275</f>
        <v>1.0920000000000001</v>
      </c>
      <c r="D78" s="267"/>
      <c r="E78" s="272">
        <f>+bid_factors!E275</f>
        <v>0.91900000000000004</v>
      </c>
      <c r="F78" s="267"/>
    </row>
    <row r="79" spans="2:11" x14ac:dyDescent="0.2">
      <c r="C79" s="272"/>
      <c r="D79" s="267"/>
      <c r="E79" s="272"/>
      <c r="F79" s="267"/>
    </row>
    <row r="80" spans="2:11" x14ac:dyDescent="0.2">
      <c r="C80" s="263"/>
      <c r="E80" s="263"/>
    </row>
    <row r="81" spans="1:13" x14ac:dyDescent="0.2">
      <c r="A81" s="298" t="s">
        <v>348</v>
      </c>
      <c r="B81" s="296" t="s">
        <v>349</v>
      </c>
      <c r="C81" s="263"/>
      <c r="E81" s="263"/>
    </row>
    <row r="82" spans="1:13" x14ac:dyDescent="0.2">
      <c r="A82" s="298"/>
      <c r="B82" s="140" t="s">
        <v>350</v>
      </c>
    </row>
    <row r="84" spans="1:13" x14ac:dyDescent="0.2">
      <c r="B84" s="139" t="s">
        <v>351</v>
      </c>
    </row>
    <row r="85" spans="1:13" x14ac:dyDescent="0.2">
      <c r="B85" s="140" t="s">
        <v>194</v>
      </c>
    </row>
    <row r="86" spans="1:13" x14ac:dyDescent="0.2">
      <c r="B86" s="139"/>
    </row>
    <row r="87" spans="1:13" x14ac:dyDescent="0.2">
      <c r="C87" s="136" t="str">
        <f>+C46</f>
        <v>RS</v>
      </c>
      <c r="D87" s="136" t="str">
        <f t="shared" ref="D87:J87" si="1">+D46</f>
        <v>RHS</v>
      </c>
      <c r="E87" s="136" t="str">
        <f t="shared" si="1"/>
        <v>RLM</v>
      </c>
      <c r="F87" s="136" t="str">
        <f t="shared" si="1"/>
        <v>WH</v>
      </c>
      <c r="G87" s="136" t="str">
        <f t="shared" si="1"/>
        <v>WHS</v>
      </c>
      <c r="H87" s="136" t="str">
        <f t="shared" si="1"/>
        <v>HS</v>
      </c>
      <c r="I87" s="136" t="str">
        <f t="shared" si="1"/>
        <v>PSAL</v>
      </c>
      <c r="J87" s="136" t="str">
        <f t="shared" si="1"/>
        <v>BPL</v>
      </c>
    </row>
    <row r="88" spans="1:13" x14ac:dyDescent="0.2">
      <c r="C88" s="298"/>
      <c r="D88" s="298"/>
      <c r="E88" s="298"/>
      <c r="F88" s="299"/>
      <c r="G88" s="299"/>
      <c r="H88" s="299"/>
      <c r="I88" s="299"/>
      <c r="J88" s="299"/>
    </row>
    <row r="89" spans="1:13" x14ac:dyDescent="0.2">
      <c r="B89" s="150" t="s">
        <v>130</v>
      </c>
      <c r="C89" s="298"/>
      <c r="D89" s="298"/>
      <c r="E89" s="298"/>
      <c r="F89" s="299">
        <f>ROUND(($C$32*F48)/10,4)</f>
        <v>4.3625999999999996</v>
      </c>
      <c r="G89" s="299">
        <f>ROUND(($C$32*G48)/10,4)</f>
        <v>4.3349000000000002</v>
      </c>
      <c r="H89" s="299">
        <f>ROUND(($C$32*H48)/10,4)</f>
        <v>8.1046999999999993</v>
      </c>
      <c r="I89" s="299">
        <f>ROUND(($C$32*K50)/10,4)</f>
        <v>3.9180000000000001</v>
      </c>
      <c r="J89" s="299">
        <f>+I89</f>
        <v>3.9180000000000001</v>
      </c>
      <c r="L89" s="263"/>
      <c r="M89" s="263"/>
    </row>
    <row r="90" spans="1:13" x14ac:dyDescent="0.2">
      <c r="B90" s="210" t="s">
        <v>150</v>
      </c>
      <c r="C90" s="298"/>
      <c r="D90" s="298"/>
      <c r="E90" s="299">
        <f>ROUND(($C$32*E49)/10,4)</f>
        <v>19.015899999999998</v>
      </c>
      <c r="F90" s="298"/>
      <c r="G90" s="299"/>
      <c r="H90" s="299"/>
      <c r="I90" s="299"/>
      <c r="J90" s="298"/>
      <c r="L90" s="263"/>
      <c r="M90" s="263"/>
    </row>
    <row r="91" spans="1:13" x14ac:dyDescent="0.2">
      <c r="B91" s="210" t="s">
        <v>151</v>
      </c>
      <c r="C91" s="298"/>
      <c r="D91" s="298"/>
      <c r="E91" s="299">
        <f>ROUND(($C$32*E50/10),4)</f>
        <v>3.6957</v>
      </c>
      <c r="F91" s="298"/>
      <c r="G91" s="298"/>
      <c r="H91" s="298"/>
      <c r="I91" s="298"/>
      <c r="J91" s="298"/>
      <c r="L91" s="263"/>
      <c r="M91" s="263"/>
    </row>
    <row r="92" spans="1:13" x14ac:dyDescent="0.2">
      <c r="B92" s="269"/>
      <c r="C92" s="298"/>
      <c r="D92" s="298"/>
      <c r="E92" s="298"/>
      <c r="F92" s="298"/>
      <c r="G92" s="298"/>
      <c r="H92" s="298"/>
      <c r="I92" s="298"/>
      <c r="J92" s="298"/>
      <c r="L92" s="263"/>
      <c r="M92" s="263"/>
    </row>
    <row r="93" spans="1:13" x14ac:dyDescent="0.2">
      <c r="B93" s="251" t="s">
        <v>224</v>
      </c>
      <c r="C93" s="299">
        <f>ROUND((+$C$32*C52+C53)/10,4)</f>
        <v>10.013</v>
      </c>
      <c r="D93" s="299">
        <f>ROUND((+$C$32*D52+D53)/10,4)</f>
        <v>7.5781999999999998</v>
      </c>
      <c r="E93" s="298"/>
      <c r="F93" s="298"/>
      <c r="G93" s="298"/>
      <c r="H93" s="298"/>
      <c r="I93" s="298"/>
      <c r="J93" s="298"/>
      <c r="L93" s="263"/>
      <c r="M93" s="263"/>
    </row>
    <row r="94" spans="1:13" x14ac:dyDescent="0.2">
      <c r="B94" s="251" t="s">
        <v>225</v>
      </c>
      <c r="C94" s="299">
        <f>ROUND((+$C$32*C52+C54)/10,4)</f>
        <v>10.8782</v>
      </c>
      <c r="D94" s="299">
        <f>ROUND((+$C$32*D52+D54)/10,4)</f>
        <v>8.7350999999999992</v>
      </c>
      <c r="E94" s="298"/>
      <c r="F94" s="298"/>
      <c r="G94" s="298"/>
      <c r="H94" s="298"/>
      <c r="I94" s="298"/>
      <c r="J94" s="298"/>
      <c r="L94" s="263"/>
      <c r="M94" s="263"/>
    </row>
    <row r="95" spans="1:13" x14ac:dyDescent="0.2">
      <c r="C95" s="299"/>
      <c r="D95" s="299"/>
      <c r="E95" s="298"/>
      <c r="F95" s="298"/>
      <c r="G95" s="298"/>
      <c r="H95" s="298"/>
      <c r="I95" s="298"/>
      <c r="J95" s="298"/>
      <c r="L95" s="263"/>
      <c r="M95" s="263"/>
    </row>
    <row r="96" spans="1:13" x14ac:dyDescent="0.2">
      <c r="B96" s="150" t="s">
        <v>133</v>
      </c>
      <c r="C96" s="299">
        <f>ROUND(($C$32*C58)/10,4)</f>
        <v>10.8093</v>
      </c>
      <c r="D96" s="299">
        <f>ROUND(($C$32*D58)/10,4)</f>
        <v>8.6511999999999993</v>
      </c>
      <c r="E96" s="298"/>
      <c r="F96" s="299">
        <f>ROUND(($C$32*F58)/10,4)</f>
        <v>4.9090999999999996</v>
      </c>
      <c r="G96" s="299">
        <f>ROUND(($C$32*G58)/10,4)</f>
        <v>4.9462000000000002</v>
      </c>
      <c r="H96" s="299">
        <f>ROUND(($C$32*H58)/10,4)</f>
        <v>8.6141000000000005</v>
      </c>
      <c r="I96" s="299">
        <f>ROUND(($C$32*K60)/10,4)</f>
        <v>4.7054</v>
      </c>
      <c r="J96" s="299">
        <f>+I96</f>
        <v>4.7054</v>
      </c>
      <c r="L96" s="263"/>
      <c r="M96" s="263"/>
    </row>
    <row r="97" spans="2:13" x14ac:dyDescent="0.2">
      <c r="B97" s="210" t="s">
        <v>150</v>
      </c>
      <c r="C97" s="298"/>
      <c r="D97" s="298"/>
      <c r="E97" s="299">
        <f>ROUND(($C$32*E59)/10,4)</f>
        <v>19.275300000000001</v>
      </c>
      <c r="F97" s="298"/>
      <c r="G97" s="298"/>
      <c r="H97" s="298"/>
      <c r="I97" s="298"/>
      <c r="J97" s="298"/>
      <c r="L97" s="263"/>
      <c r="M97" s="263"/>
    </row>
    <row r="98" spans="2:13" x14ac:dyDescent="0.2">
      <c r="B98" s="210" t="s">
        <v>151</v>
      </c>
      <c r="C98" s="298"/>
      <c r="D98" s="298"/>
      <c r="E98" s="299">
        <f>ROUND(($C$32*E60)/10,4)</f>
        <v>4.4367000000000001</v>
      </c>
      <c r="F98" s="298"/>
      <c r="G98" s="298"/>
      <c r="H98" s="298"/>
      <c r="I98" s="298"/>
      <c r="J98" s="298"/>
      <c r="L98" s="263"/>
      <c r="M98" s="263"/>
    </row>
    <row r="99" spans="2:13" x14ac:dyDescent="0.2">
      <c r="C99" s="298"/>
      <c r="D99" s="298"/>
      <c r="E99" s="299"/>
      <c r="F99" s="298"/>
      <c r="G99" s="298"/>
      <c r="H99" s="298"/>
      <c r="I99" s="298"/>
      <c r="J99" s="298"/>
      <c r="L99" s="263"/>
      <c r="M99" s="263"/>
    </row>
    <row r="102" spans="2:13" x14ac:dyDescent="0.2">
      <c r="B102" s="139" t="s">
        <v>352</v>
      </c>
    </row>
    <row r="103" spans="2:13" x14ac:dyDescent="0.2">
      <c r="B103" s="140" t="s">
        <v>198</v>
      </c>
    </row>
    <row r="104" spans="2:13" x14ac:dyDescent="0.2">
      <c r="B104" s="137"/>
    </row>
    <row r="105" spans="2:13" x14ac:dyDescent="0.2">
      <c r="C105" s="136" t="str">
        <f>+C68</f>
        <v>GLP</v>
      </c>
      <c r="D105" s="136"/>
      <c r="E105" s="136" t="str">
        <f>+E68</f>
        <v>LPL-S</v>
      </c>
      <c r="F105" s="136"/>
      <c r="H105" s="139" t="s">
        <v>199</v>
      </c>
      <c r="I105" s="136" t="str">
        <f>+C105</f>
        <v>GLP</v>
      </c>
      <c r="J105" s="136" t="str">
        <f>+E105</f>
        <v>LPL-S</v>
      </c>
    </row>
    <row r="106" spans="2:13" x14ac:dyDescent="0.2">
      <c r="F106" s="273"/>
    </row>
    <row r="107" spans="2:13" x14ac:dyDescent="0.2">
      <c r="B107" s="150" t="s">
        <v>130</v>
      </c>
      <c r="C107" s="299">
        <f>ROUND(($C$32*C70+D70)/10,4)</f>
        <v>5.1447000000000003</v>
      </c>
      <c r="D107" s="299"/>
      <c r="E107" s="299"/>
      <c r="F107" s="267"/>
      <c r="H107" s="256" t="s">
        <v>200</v>
      </c>
    </row>
    <row r="108" spans="2:13" x14ac:dyDescent="0.2">
      <c r="B108" s="210" t="s">
        <v>150</v>
      </c>
      <c r="C108" s="299"/>
      <c r="D108" s="299"/>
      <c r="E108" s="299">
        <f>ROUND(($C$32*E71+F71)/10,4)</f>
        <v>6.1302000000000003</v>
      </c>
      <c r="F108" s="268"/>
      <c r="H108" s="168" t="s">
        <v>201</v>
      </c>
      <c r="I108" s="300">
        <f>+I71</f>
        <v>5.1627999999999998</v>
      </c>
      <c r="J108" s="300">
        <f>+J71</f>
        <v>5.1627999999999998</v>
      </c>
      <c r="K108" s="204" t="s">
        <v>202</v>
      </c>
    </row>
    <row r="109" spans="2:13" x14ac:dyDescent="0.2">
      <c r="B109" s="210" t="s">
        <v>151</v>
      </c>
      <c r="C109" s="299"/>
      <c r="D109" s="299"/>
      <c r="E109" s="299">
        <f>ROUND(($C$32*E72+F72)/10,4)</f>
        <v>3.6957</v>
      </c>
      <c r="F109" s="268"/>
      <c r="H109" s="168" t="s">
        <v>203</v>
      </c>
      <c r="I109" s="300">
        <f>+I72</f>
        <v>5.1627999999999998</v>
      </c>
      <c r="J109" s="300">
        <f>+J72</f>
        <v>5.1627999999999998</v>
      </c>
      <c r="K109" s="204" t="s">
        <v>202</v>
      </c>
    </row>
    <row r="110" spans="2:13" x14ac:dyDescent="0.2">
      <c r="C110" s="299"/>
      <c r="D110" s="299"/>
      <c r="E110" s="299"/>
      <c r="F110" s="268"/>
      <c r="H110" s="168"/>
      <c r="I110" s="274"/>
      <c r="J110" s="274"/>
      <c r="K110" s="204"/>
    </row>
    <row r="111" spans="2:13" x14ac:dyDescent="0.2">
      <c r="B111" s="150" t="s">
        <v>133</v>
      </c>
      <c r="C111" s="299">
        <f>ROUND(($C$32*C74+D74)/10,4)</f>
        <v>5.6748000000000003</v>
      </c>
      <c r="D111" s="299"/>
      <c r="E111" s="299"/>
      <c r="F111" s="268"/>
      <c r="H111" s="256" t="s">
        <v>205</v>
      </c>
      <c r="I111" s="259"/>
      <c r="J111" s="259"/>
    </row>
    <row r="112" spans="2:13" x14ac:dyDescent="0.2">
      <c r="B112" s="210" t="s">
        <v>150</v>
      </c>
      <c r="C112" s="299"/>
      <c r="D112" s="299"/>
      <c r="E112" s="299">
        <f>ROUND(($C$32*E75+F75)/10,4)</f>
        <v>6.4904000000000002</v>
      </c>
      <c r="F112" s="268"/>
      <c r="H112" s="168" t="s">
        <v>206</v>
      </c>
      <c r="I112" s="300">
        <f>+I75</f>
        <v>7.9847000000000001</v>
      </c>
      <c r="J112" s="300">
        <f>+J75</f>
        <v>7.9847000000000001</v>
      </c>
      <c r="K112" s="204" t="s">
        <v>207</v>
      </c>
    </row>
    <row r="113" spans="1:12" x14ac:dyDescent="0.2">
      <c r="B113" s="210" t="s">
        <v>151</v>
      </c>
      <c r="C113" s="299"/>
      <c r="D113" s="299"/>
      <c r="E113" s="299">
        <f>ROUND(($C$32*E76+F76)/10,4)</f>
        <v>4.4275000000000002</v>
      </c>
      <c r="F113" s="268"/>
    </row>
    <row r="114" spans="1:12" x14ac:dyDescent="0.2">
      <c r="C114" s="272"/>
      <c r="D114" s="267"/>
      <c r="E114" s="272"/>
      <c r="F114" s="267"/>
    </row>
    <row r="115" spans="1:12" x14ac:dyDescent="0.2">
      <c r="C115" s="272"/>
      <c r="D115" s="267"/>
      <c r="E115" s="272"/>
      <c r="F115" s="267"/>
    </row>
    <row r="117" spans="1:12" x14ac:dyDescent="0.2">
      <c r="A117" s="298" t="s">
        <v>353</v>
      </c>
      <c r="B117" s="139" t="s">
        <v>354</v>
      </c>
      <c r="C117" s="263"/>
      <c r="E117" s="263"/>
    </row>
    <row r="118" spans="1:12" x14ac:dyDescent="0.2">
      <c r="C118" s="263"/>
      <c r="E118" s="263"/>
    </row>
    <row r="119" spans="1:12" x14ac:dyDescent="0.2">
      <c r="C119" s="136" t="s">
        <v>9</v>
      </c>
      <c r="D119" s="136" t="s">
        <v>10</v>
      </c>
      <c r="E119" s="136" t="s">
        <v>11</v>
      </c>
      <c r="F119" s="136" t="s">
        <v>12</v>
      </c>
      <c r="G119" s="136" t="s">
        <v>13</v>
      </c>
      <c r="H119" s="136" t="s">
        <v>14</v>
      </c>
      <c r="I119" s="136" t="s">
        <v>15</v>
      </c>
      <c r="J119" s="136" t="s">
        <v>16</v>
      </c>
    </row>
    <row r="120" spans="1:12" x14ac:dyDescent="0.2">
      <c r="B120" s="76" t="s">
        <v>355</v>
      </c>
    </row>
    <row r="121" spans="1:12" x14ac:dyDescent="0.2">
      <c r="B121" s="162" t="s">
        <v>48</v>
      </c>
      <c r="C121" s="219">
        <f>+C93/100*bid_factors!O53+auction_results_and_rates!C94/100*bid_factors!O54</f>
        <v>541623.41528740642</v>
      </c>
      <c r="D121" s="219">
        <f>+D93/100*bid_factors!P53+auction_results_and_rates!D94/100*bid_factors!P54</f>
        <v>2384.4733965811424</v>
      </c>
      <c r="E121" s="281">
        <f>+E90/100*bid_factors!Q50+E91/100*bid_factors!Q51</f>
        <v>10732.89785749711</v>
      </c>
      <c r="F121" s="219">
        <f>+F89/100*bid_factors!R49</f>
        <v>14.309327999999999</v>
      </c>
      <c r="G121" s="219">
        <f>+G89/100*bid_factors!S49</f>
        <v>0.30344300000000002</v>
      </c>
      <c r="H121" s="219">
        <f>+H89/100*bid_factors!T49</f>
        <v>277.5294054068325</v>
      </c>
      <c r="I121" s="219">
        <f>+I89/100*bid_factors!U49</f>
        <v>1735.3997400000001</v>
      </c>
      <c r="J121" s="219">
        <f>+J89/100*bid_factors!V49</f>
        <v>3108.26694</v>
      </c>
    </row>
    <row r="122" spans="1:12" ht="15" x14ac:dyDescent="0.35">
      <c r="B122" s="162" t="s">
        <v>49</v>
      </c>
      <c r="C122" s="220">
        <f>+C96/100*bid_factors!O45</f>
        <v>749534.68759139627</v>
      </c>
      <c r="D122" s="220">
        <f>+D96/100*bid_factors!P45</f>
        <v>8736.6341510417569</v>
      </c>
      <c r="E122" s="220">
        <f>+E97/100*bid_factors!Q46+auction_results_and_rates!E98/100*bid_factors!Q47</f>
        <v>13170.753170286183</v>
      </c>
      <c r="F122" s="220">
        <f>+F96/100*bid_factors!R45</f>
        <v>46.881904999999996</v>
      </c>
      <c r="G122" s="220">
        <f>+G96/100*bid_factors!S45</f>
        <v>0.98924000000000001</v>
      </c>
      <c r="H122" s="220">
        <f>+H96/100*bid_factors!T45</f>
        <v>1060.9481873969366</v>
      </c>
      <c r="I122" s="220">
        <f>+I96/100*bid_factors!U45</f>
        <v>5395.9174499999999</v>
      </c>
      <c r="J122" s="220">
        <f>+J96/100*bid_factors!V45</f>
        <v>10207.65949</v>
      </c>
    </row>
    <row r="123" spans="1:12" x14ac:dyDescent="0.2">
      <c r="B123" s="162" t="s">
        <v>104</v>
      </c>
      <c r="C123" s="214">
        <f>+C122+C121</f>
        <v>1291158.1028788027</v>
      </c>
      <c r="D123" s="214">
        <f t="shared" ref="D123:J123" si="2">+D122+D121</f>
        <v>11121.1075476229</v>
      </c>
      <c r="E123" s="214">
        <f t="shared" si="2"/>
        <v>23903.651027783293</v>
      </c>
      <c r="F123" s="214">
        <f t="shared" si="2"/>
        <v>61.191232999999997</v>
      </c>
      <c r="G123" s="214">
        <f t="shared" si="2"/>
        <v>1.292683</v>
      </c>
      <c r="H123" s="214">
        <f t="shared" si="2"/>
        <v>1338.4775928037691</v>
      </c>
      <c r="I123" s="214">
        <f t="shared" si="2"/>
        <v>7131.3171899999998</v>
      </c>
      <c r="J123" s="214">
        <f t="shared" si="2"/>
        <v>13315.92643</v>
      </c>
    </row>
    <row r="124" spans="1:12" x14ac:dyDescent="0.2">
      <c r="B124" s="162"/>
      <c r="C124" s="214"/>
      <c r="D124" s="214"/>
      <c r="E124" s="214"/>
      <c r="F124" s="214"/>
      <c r="G124" s="214"/>
      <c r="H124" s="214"/>
      <c r="I124" s="214"/>
      <c r="J124" s="214"/>
      <c r="K124" s="214"/>
      <c r="L124" s="214"/>
    </row>
    <row r="125" spans="1:12" x14ac:dyDescent="0.2">
      <c r="B125" s="162"/>
      <c r="C125" s="214"/>
      <c r="D125" s="214"/>
      <c r="E125" s="214"/>
      <c r="F125" s="214"/>
      <c r="G125" s="214"/>
      <c r="H125" s="214"/>
      <c r="I125" s="214"/>
      <c r="J125" s="214"/>
      <c r="K125" s="214"/>
      <c r="L125" s="214"/>
    </row>
    <row r="126" spans="1:12" x14ac:dyDescent="0.2">
      <c r="B126" s="162"/>
      <c r="C126" s="136" t="s">
        <v>17</v>
      </c>
      <c r="D126" s="136" t="s">
        <v>17</v>
      </c>
      <c r="F126" s="136" t="s">
        <v>18</v>
      </c>
      <c r="G126" s="136" t="s">
        <v>18</v>
      </c>
      <c r="H126" s="214"/>
      <c r="I126" s="214"/>
      <c r="J126" s="214"/>
      <c r="K126" s="214"/>
      <c r="L126" s="214"/>
    </row>
    <row r="127" spans="1:12" x14ac:dyDescent="0.2">
      <c r="B127" s="162"/>
      <c r="C127" s="136" t="s">
        <v>356</v>
      </c>
      <c r="D127" s="136" t="s">
        <v>357</v>
      </c>
      <c r="F127" s="136" t="s">
        <v>356</v>
      </c>
      <c r="G127" s="136" t="s">
        <v>357</v>
      </c>
      <c r="H127" s="214"/>
      <c r="I127" s="214"/>
      <c r="J127" s="214"/>
      <c r="K127" s="214"/>
      <c r="L127" s="214"/>
    </row>
    <row r="128" spans="1:12" x14ac:dyDescent="0.2">
      <c r="B128" s="162"/>
      <c r="G128" s="214"/>
      <c r="H128" s="214"/>
      <c r="I128" s="214"/>
      <c r="J128" s="214"/>
      <c r="K128" s="214"/>
      <c r="L128" s="214"/>
    </row>
    <row r="129" spans="2:12" x14ac:dyDescent="0.2">
      <c r="B129" s="162" t="s">
        <v>48</v>
      </c>
      <c r="C129" s="281">
        <f>+C107/100*bid_factors!W49</f>
        <v>122373.50055383121</v>
      </c>
      <c r="D129" s="281">
        <f>I108*bid_factors!K147*4+auction_results_and_rates!I112*bid_factors!K149*4</f>
        <v>99269.180359999998</v>
      </c>
      <c r="F129" s="281">
        <f>+E108/100*bid_factors!X50+auction_results_and_rates!E109/100*bid_factors!X51</f>
        <v>78403.768529428606</v>
      </c>
      <c r="G129" s="281">
        <f>auction_results_and_rates!J108*bid_factors!L147*4+auction_results_and_rates!J112*bid_factors!L149*4</f>
        <v>48376.759279999998</v>
      </c>
      <c r="H129" s="214"/>
      <c r="I129" s="214"/>
      <c r="J129" s="214"/>
      <c r="K129" s="214"/>
      <c r="L129" s="214"/>
    </row>
    <row r="130" spans="2:12" ht="15" x14ac:dyDescent="0.35">
      <c r="B130" s="162" t="s">
        <v>49</v>
      </c>
      <c r="C130" s="301">
        <f>+C111/100*bid_factors!W45</f>
        <v>229361.35404670925</v>
      </c>
      <c r="D130" s="301">
        <f>auction_results_and_rates!I109*bid_factors!K147*8+auction_results_and_rates!I112*bid_factors!K149*8</f>
        <v>198538.36072</v>
      </c>
      <c r="F130" s="301">
        <f>+E112/100*bid_factors!X46+auction_results_and_rates!E113/100*bid_factors!X47</f>
        <v>156736.81908267835</v>
      </c>
      <c r="G130" s="301">
        <f>auction_results_and_rates!J109*bid_factors!L147*8+auction_results_and_rates!J112*bid_factors!L149*8</f>
        <v>96753.518559999997</v>
      </c>
      <c r="H130" s="214"/>
      <c r="I130" s="214"/>
      <c r="J130" s="214"/>
      <c r="K130" s="214"/>
      <c r="L130" s="214"/>
    </row>
    <row r="131" spans="2:12" x14ac:dyDescent="0.2">
      <c r="B131" s="162" t="s">
        <v>104</v>
      </c>
      <c r="C131" s="214">
        <f>+C130+C129</f>
        <v>351734.85460054048</v>
      </c>
      <c r="D131" s="214">
        <f>+D130+D129</f>
        <v>297807.54108</v>
      </c>
      <c r="F131" s="214">
        <f>+F130+F129</f>
        <v>235140.58761210696</v>
      </c>
      <c r="G131" s="214">
        <f>+G130+G129</f>
        <v>145130.27784</v>
      </c>
      <c r="H131" s="214"/>
      <c r="I131" s="214"/>
      <c r="J131" s="214"/>
      <c r="K131" s="214"/>
      <c r="L131" s="214"/>
    </row>
    <row r="132" spans="2:12" x14ac:dyDescent="0.2">
      <c r="B132" s="162"/>
      <c r="C132" s="214"/>
      <c r="F132" s="214"/>
      <c r="G132" s="214"/>
      <c r="H132" s="214"/>
      <c r="I132" s="214"/>
      <c r="J132" s="214"/>
      <c r="K132" s="214"/>
      <c r="L132" s="214"/>
    </row>
    <row r="133" spans="2:12" x14ac:dyDescent="0.2">
      <c r="B133" s="162"/>
      <c r="C133" s="214"/>
      <c r="D133" s="214"/>
      <c r="E133" s="214"/>
      <c r="F133" s="214"/>
      <c r="G133" s="214"/>
      <c r="H133" s="214"/>
      <c r="I133" s="214"/>
      <c r="J133" s="214"/>
      <c r="K133" s="214"/>
      <c r="L133" s="214"/>
    </row>
    <row r="134" spans="2:12" x14ac:dyDescent="0.2">
      <c r="B134" s="162"/>
      <c r="C134" s="136" t="s">
        <v>356</v>
      </c>
      <c r="D134" s="136" t="s">
        <v>357</v>
      </c>
      <c r="E134" s="136" t="s">
        <v>358</v>
      </c>
      <c r="F134" s="214"/>
      <c r="G134" s="214"/>
      <c r="H134" s="214"/>
      <c r="I134" s="214"/>
      <c r="J134" s="214"/>
      <c r="K134" s="214"/>
      <c r="L134" s="214"/>
    </row>
    <row r="135" spans="2:12" x14ac:dyDescent="0.2">
      <c r="B135" s="162" t="s">
        <v>267</v>
      </c>
      <c r="C135" s="214">
        <f>SUM(C121:J121)+C129+F129</f>
        <v>760653.86448115122</v>
      </c>
      <c r="D135" s="214">
        <f>+D129+G129</f>
        <v>147645.93964</v>
      </c>
      <c r="E135" s="214">
        <f>+C135+D135</f>
        <v>908299.80412115122</v>
      </c>
      <c r="F135" s="214"/>
      <c r="G135" s="214"/>
      <c r="H135" s="214"/>
      <c r="I135" s="214"/>
      <c r="J135" s="214"/>
      <c r="K135" s="214"/>
      <c r="L135" s="214"/>
    </row>
    <row r="136" spans="2:12" ht="15" x14ac:dyDescent="0.35">
      <c r="B136" s="162" t="s">
        <v>268</v>
      </c>
      <c r="C136" s="297">
        <f>SUM(C122:J122)+C130+F130</f>
        <v>1174252.6443145087</v>
      </c>
      <c r="D136" s="297">
        <f>+D130+G130</f>
        <v>295291.87927999999</v>
      </c>
      <c r="E136" s="297">
        <f>+C136+D136</f>
        <v>1469544.5235945086</v>
      </c>
    </row>
    <row r="137" spans="2:12" x14ac:dyDescent="0.2">
      <c r="B137" s="162" t="s">
        <v>269</v>
      </c>
      <c r="C137" s="214">
        <f>+C136+C135</f>
        <v>1934906.50879566</v>
      </c>
      <c r="D137" s="214">
        <f>+D131+G131</f>
        <v>442937.81891999999</v>
      </c>
      <c r="E137" s="302">
        <f>+C137+D137</f>
        <v>2377844.32771566</v>
      </c>
    </row>
    <row r="138" spans="2:12" x14ac:dyDescent="0.2">
      <c r="B138" s="162"/>
      <c r="C138" s="263"/>
      <c r="E138" s="263"/>
    </row>
    <row r="139" spans="2:12" x14ac:dyDescent="0.2">
      <c r="C139" s="136"/>
      <c r="D139" s="136"/>
      <c r="E139" s="136"/>
      <c r="F139" s="136"/>
      <c r="G139" s="136"/>
      <c r="H139" s="136"/>
      <c r="I139" s="136"/>
      <c r="J139" s="136"/>
      <c r="K139" s="136"/>
      <c r="L139" s="136"/>
    </row>
    <row r="140" spans="2:12" x14ac:dyDescent="0.2">
      <c r="B140" s="76" t="s">
        <v>270</v>
      </c>
    </row>
    <row r="141" spans="2:12" x14ac:dyDescent="0.2">
      <c r="B141" s="162" t="s">
        <v>48</v>
      </c>
      <c r="C141" s="214">
        <f>+C24+D24+E24</f>
        <v>942757.84928418824</v>
      </c>
    </row>
    <row r="142" spans="2:12" ht="15" x14ac:dyDescent="0.35">
      <c r="B142" s="162" t="s">
        <v>49</v>
      </c>
      <c r="C142" s="297">
        <f>+C25+D25+E25</f>
        <v>1435543.6142912451</v>
      </c>
      <c r="E142" s="303"/>
      <c r="F142" s="304"/>
      <c r="G142" s="304"/>
      <c r="H142" s="305"/>
    </row>
    <row r="143" spans="2:12" x14ac:dyDescent="0.2">
      <c r="B143" s="162" t="s">
        <v>104</v>
      </c>
      <c r="C143" s="214">
        <f>+C142+C141</f>
        <v>2378301.4635754335</v>
      </c>
      <c r="E143" s="306" t="s">
        <v>359</v>
      </c>
      <c r="F143" s="307"/>
      <c r="G143" s="307"/>
      <c r="H143" s="308"/>
    </row>
    <row r="144" spans="2:12" x14ac:dyDescent="0.2">
      <c r="C144" s="263"/>
      <c r="E144" s="306" t="s">
        <v>360</v>
      </c>
      <c r="F144" s="309" t="s">
        <v>361</v>
      </c>
      <c r="G144" s="307"/>
      <c r="H144" s="308"/>
    </row>
    <row r="145" spans="1:10" x14ac:dyDescent="0.2">
      <c r="B145" s="135" t="s">
        <v>362</v>
      </c>
      <c r="C145" s="163"/>
      <c r="D145" s="163"/>
      <c r="E145" s="310" t="s">
        <v>363</v>
      </c>
      <c r="F145" s="307"/>
      <c r="G145" s="307"/>
      <c r="H145" s="308"/>
    </row>
    <row r="146" spans="1:10" x14ac:dyDescent="0.2">
      <c r="B146" s="162" t="s">
        <v>48</v>
      </c>
      <c r="C146" s="214">
        <f>+C141-E135</f>
        <v>34458.045163037023</v>
      </c>
      <c r="D146" s="311"/>
      <c r="E146" s="312">
        <f>ROUND(1+(C146/C135),5)</f>
        <v>1.0452999999999999</v>
      </c>
      <c r="F146" s="307"/>
      <c r="G146" s="307"/>
      <c r="H146" s="308"/>
    </row>
    <row r="147" spans="1:10" ht="15" x14ac:dyDescent="0.35">
      <c r="B147" s="162" t="s">
        <v>49</v>
      </c>
      <c r="C147" s="297">
        <f>+C142-E136</f>
        <v>-34000.909303263528</v>
      </c>
      <c r="D147" s="311"/>
      <c r="E147" s="312">
        <f>ROUND(1+(C147/C136),5)</f>
        <v>0.97104000000000001</v>
      </c>
      <c r="F147" s="307"/>
      <c r="G147" s="307"/>
      <c r="H147" s="308"/>
    </row>
    <row r="148" spans="1:10" x14ac:dyDescent="0.2">
      <c r="B148" s="162" t="s">
        <v>104</v>
      </c>
      <c r="C148" s="214">
        <f>+C143-E137</f>
        <v>457.1358597734943</v>
      </c>
      <c r="D148" s="311"/>
      <c r="E148" s="313"/>
      <c r="F148" s="200"/>
      <c r="G148" s="200"/>
      <c r="H148" s="314"/>
    </row>
    <row r="150" spans="1:10" x14ac:dyDescent="0.2">
      <c r="C150" s="76" t="s">
        <v>364</v>
      </c>
    </row>
    <row r="151" spans="1:10" x14ac:dyDescent="0.2">
      <c r="C151" s="76" t="s">
        <v>365</v>
      </c>
    </row>
    <row r="153" spans="1:10" x14ac:dyDescent="0.2">
      <c r="A153" s="298" t="s">
        <v>366</v>
      </c>
      <c r="B153" s="296" t="s">
        <v>367</v>
      </c>
      <c r="C153" s="263"/>
      <c r="E153" s="263"/>
    </row>
    <row r="154" spans="1:10" x14ac:dyDescent="0.2">
      <c r="B154" s="140" t="s">
        <v>350</v>
      </c>
    </row>
    <row r="156" spans="1:10" x14ac:dyDescent="0.2">
      <c r="B156" s="139" t="s">
        <v>351</v>
      </c>
    </row>
    <row r="157" spans="1:10" x14ac:dyDescent="0.2">
      <c r="B157" s="140" t="s">
        <v>368</v>
      </c>
    </row>
    <row r="158" spans="1:10" x14ac:dyDescent="0.2">
      <c r="B158" s="139"/>
    </row>
    <row r="159" spans="1:10" x14ac:dyDescent="0.2">
      <c r="C159" s="136" t="str">
        <f>+C119</f>
        <v>RS</v>
      </c>
      <c r="D159" s="136" t="str">
        <f t="shared" ref="D159:J159" si="3">+D119</f>
        <v>RHS</v>
      </c>
      <c r="E159" s="136" t="str">
        <f t="shared" si="3"/>
        <v>RLM</v>
      </c>
      <c r="F159" s="136" t="str">
        <f t="shared" si="3"/>
        <v>WH</v>
      </c>
      <c r="G159" s="136" t="str">
        <f t="shared" si="3"/>
        <v>WHS</v>
      </c>
      <c r="H159" s="136" t="str">
        <f t="shared" si="3"/>
        <v>HS</v>
      </c>
      <c r="I159" s="136" t="str">
        <f t="shared" si="3"/>
        <v>PSAL</v>
      </c>
      <c r="J159" s="136" t="str">
        <f t="shared" si="3"/>
        <v>BPL</v>
      </c>
    </row>
    <row r="160" spans="1:10" x14ac:dyDescent="0.2">
      <c r="C160" s="298"/>
      <c r="D160" s="298"/>
      <c r="E160" s="298"/>
      <c r="F160" s="299"/>
      <c r="G160" s="299"/>
      <c r="H160" s="299"/>
      <c r="I160" s="299"/>
      <c r="J160" s="299"/>
    </row>
    <row r="161" spans="2:10" x14ac:dyDescent="0.2">
      <c r="B161" s="150" t="s">
        <v>130</v>
      </c>
      <c r="C161" s="298"/>
      <c r="D161" s="298"/>
      <c r="E161" s="298"/>
      <c r="F161" s="299">
        <f>ROUND(+F89*$E$146,4)</f>
        <v>4.5602</v>
      </c>
      <c r="G161" s="299">
        <f>ROUND(+G89*$E$146,4)</f>
        <v>4.5312999999999999</v>
      </c>
      <c r="H161" s="299">
        <f>ROUND(+H89*$E$146,4)</f>
        <v>8.4718</v>
      </c>
      <c r="I161" s="299">
        <f>ROUND(+I89*$E$146,4)</f>
        <v>4.0955000000000004</v>
      </c>
      <c r="J161" s="299">
        <f>ROUND(+J89*$E$146,4)</f>
        <v>4.0955000000000004</v>
      </c>
    </row>
    <row r="162" spans="2:10" x14ac:dyDescent="0.2">
      <c r="B162" s="210" t="s">
        <v>150</v>
      </c>
      <c r="C162" s="298"/>
      <c r="D162" s="298"/>
      <c r="E162" s="299">
        <f>ROUND(+E90*$E$146,4)</f>
        <v>19.877300000000002</v>
      </c>
      <c r="G162" s="299"/>
      <c r="H162" s="299"/>
      <c r="I162" s="299"/>
      <c r="J162" s="298"/>
    </row>
    <row r="163" spans="2:10" x14ac:dyDescent="0.2">
      <c r="B163" s="210" t="s">
        <v>151</v>
      </c>
      <c r="C163" s="298"/>
      <c r="D163" s="298"/>
      <c r="E163" s="299">
        <f>ROUND(+E91*$E$146,4)</f>
        <v>3.8631000000000002</v>
      </c>
      <c r="F163" s="298"/>
      <c r="G163" s="298"/>
      <c r="H163" s="298"/>
      <c r="I163" s="298"/>
      <c r="J163" s="298"/>
    </row>
    <row r="164" spans="2:10" x14ac:dyDescent="0.2">
      <c r="B164" s="269"/>
      <c r="C164" s="298"/>
      <c r="D164" s="298"/>
      <c r="E164" s="298"/>
      <c r="F164" s="298"/>
      <c r="G164" s="298"/>
      <c r="H164" s="298"/>
      <c r="I164" s="298"/>
      <c r="J164" s="298"/>
    </row>
    <row r="165" spans="2:10" x14ac:dyDescent="0.2">
      <c r="B165" s="251" t="s">
        <v>224</v>
      </c>
      <c r="C165" s="299">
        <f>ROUND(+C93*$E$146,4)</f>
        <v>10.4666</v>
      </c>
      <c r="D165" s="299">
        <f>ROUND(+D93*$E$146,4)</f>
        <v>7.9215</v>
      </c>
      <c r="E165" s="298"/>
      <c r="F165" s="298"/>
      <c r="G165" s="298"/>
      <c r="H165" s="298"/>
      <c r="I165" s="298"/>
      <c r="J165" s="298"/>
    </row>
    <row r="166" spans="2:10" x14ac:dyDescent="0.2">
      <c r="B166" s="251" t="s">
        <v>225</v>
      </c>
      <c r="C166" s="299">
        <f>ROUND(+C94*$E$146,4)</f>
        <v>11.371</v>
      </c>
      <c r="D166" s="299">
        <f>ROUND(+D94*$E$146,4)</f>
        <v>9.1308000000000007</v>
      </c>
      <c r="E166" s="298"/>
      <c r="F166" s="298"/>
      <c r="G166" s="298"/>
      <c r="H166" s="298"/>
      <c r="I166" s="298"/>
      <c r="J166" s="298"/>
    </row>
    <row r="167" spans="2:10" x14ac:dyDescent="0.2">
      <c r="C167" s="299"/>
      <c r="D167" s="299"/>
      <c r="E167" s="298"/>
      <c r="F167" s="298"/>
      <c r="G167" s="298"/>
      <c r="H167" s="298"/>
      <c r="I167" s="298"/>
      <c r="J167" s="298"/>
    </row>
    <row r="168" spans="2:10" x14ac:dyDescent="0.2">
      <c r="B168" s="150" t="s">
        <v>133</v>
      </c>
      <c r="C168" s="299">
        <f>ROUND(+C96*$E$147,4)</f>
        <v>10.4963</v>
      </c>
      <c r="D168" s="299">
        <f>ROUND(+D96*$E$147,4)</f>
        <v>8.4007000000000005</v>
      </c>
      <c r="E168" s="298"/>
      <c r="F168" s="299">
        <f>ROUND(+F96*$E$147,4)</f>
        <v>4.7668999999999997</v>
      </c>
      <c r="G168" s="299">
        <f>ROUND(+G96*$E$147,4)</f>
        <v>4.8029999999999999</v>
      </c>
      <c r="H168" s="299">
        <f>ROUND(+H96*$E$147,4)</f>
        <v>8.3645999999999994</v>
      </c>
      <c r="I168" s="299">
        <f>ROUND(+I96*$E$147,4)</f>
        <v>4.5690999999999997</v>
      </c>
      <c r="J168" s="299">
        <f>ROUND(+J96*$E$147,4)</f>
        <v>4.5690999999999997</v>
      </c>
    </row>
    <row r="169" spans="2:10" x14ac:dyDescent="0.2">
      <c r="B169" s="210" t="s">
        <v>150</v>
      </c>
      <c r="C169" s="298"/>
      <c r="D169" s="298"/>
      <c r="E169" s="299">
        <f>ROUND(+E97*$E$147,4)</f>
        <v>18.717099999999999</v>
      </c>
      <c r="F169" s="298"/>
      <c r="G169" s="298"/>
      <c r="H169" s="298"/>
      <c r="I169" s="298"/>
      <c r="J169" s="298"/>
    </row>
    <row r="170" spans="2:10" x14ac:dyDescent="0.2">
      <c r="B170" s="210" t="s">
        <v>151</v>
      </c>
      <c r="C170" s="298"/>
      <c r="D170" s="298"/>
      <c r="E170" s="299">
        <f>ROUND(+E98*$E$147,4)</f>
        <v>4.3082000000000003</v>
      </c>
      <c r="F170" s="298"/>
      <c r="G170" s="298"/>
      <c r="H170" s="298"/>
      <c r="I170" s="298"/>
      <c r="J170" s="298"/>
    </row>
    <row r="171" spans="2:10" x14ac:dyDescent="0.2">
      <c r="C171" s="298"/>
      <c r="D171" s="298"/>
      <c r="E171" s="299"/>
      <c r="F171" s="298"/>
      <c r="G171" s="298"/>
      <c r="H171" s="298"/>
      <c r="I171" s="298"/>
      <c r="J171" s="298"/>
    </row>
    <row r="174" spans="2:10" x14ac:dyDescent="0.2">
      <c r="B174" s="139" t="s">
        <v>352</v>
      </c>
    </row>
    <row r="175" spans="2:10" x14ac:dyDescent="0.2">
      <c r="B175" s="140" t="s">
        <v>369</v>
      </c>
    </row>
    <row r="176" spans="2:10" x14ac:dyDescent="0.2">
      <c r="B176" s="137"/>
    </row>
    <row r="177" spans="1:12" x14ac:dyDescent="0.2">
      <c r="C177" s="136" t="str">
        <f>+C105</f>
        <v>GLP</v>
      </c>
      <c r="D177" s="136"/>
      <c r="E177" s="136" t="str">
        <f>+E105</f>
        <v>LPL-S</v>
      </c>
      <c r="F177" s="136"/>
      <c r="H177" s="139" t="s">
        <v>199</v>
      </c>
      <c r="I177" s="136" t="str">
        <f>+C177</f>
        <v>GLP</v>
      </c>
      <c r="J177" s="136" t="str">
        <f>+E177</f>
        <v>LPL-S</v>
      </c>
    </row>
    <row r="178" spans="1:12" x14ac:dyDescent="0.2">
      <c r="F178" s="273"/>
    </row>
    <row r="179" spans="1:12" x14ac:dyDescent="0.2">
      <c r="B179" s="150" t="s">
        <v>130</v>
      </c>
      <c r="C179" s="299">
        <f>ROUND(+C107*$E$146,4)</f>
        <v>5.3777999999999997</v>
      </c>
      <c r="D179" s="299"/>
      <c r="E179" s="299"/>
      <c r="F179" s="267"/>
      <c r="H179" s="256" t="s">
        <v>200</v>
      </c>
    </row>
    <row r="180" spans="1:12" x14ac:dyDescent="0.2">
      <c r="B180" s="210" t="s">
        <v>150</v>
      </c>
      <c r="C180" s="299"/>
      <c r="D180" s="299"/>
      <c r="E180" s="299">
        <f>ROUND(+E108*$E$146,4)</f>
        <v>6.4078999999999997</v>
      </c>
      <c r="F180" s="268"/>
      <c r="H180" s="168" t="s">
        <v>201</v>
      </c>
      <c r="I180" s="315">
        <f>+I108</f>
        <v>5.1627999999999998</v>
      </c>
      <c r="J180" s="315">
        <f>+J108</f>
        <v>5.1627999999999998</v>
      </c>
    </row>
    <row r="181" spans="1:12" x14ac:dyDescent="0.2">
      <c r="B181" s="210" t="s">
        <v>151</v>
      </c>
      <c r="C181" s="299"/>
      <c r="D181" s="299"/>
      <c r="E181" s="299">
        <f>ROUND(+E109*$E$146,4)</f>
        <v>3.8631000000000002</v>
      </c>
      <c r="F181" s="268"/>
      <c r="H181" s="168" t="s">
        <v>203</v>
      </c>
      <c r="I181" s="315">
        <f>+I109</f>
        <v>5.1627999999999998</v>
      </c>
      <c r="J181" s="315">
        <f>+J109</f>
        <v>5.1627999999999998</v>
      </c>
    </row>
    <row r="182" spans="1:12" x14ac:dyDescent="0.2">
      <c r="C182" s="299"/>
      <c r="D182" s="299"/>
      <c r="E182" s="299"/>
      <c r="F182" s="268"/>
      <c r="H182" s="168"/>
      <c r="I182" s="274"/>
      <c r="J182" s="274"/>
    </row>
    <row r="183" spans="1:12" x14ac:dyDescent="0.2">
      <c r="B183" s="150" t="s">
        <v>133</v>
      </c>
      <c r="C183" s="299">
        <f>ROUND(+C111*$E$147,4)</f>
        <v>5.5105000000000004</v>
      </c>
      <c r="D183" s="299"/>
      <c r="E183" s="299"/>
      <c r="F183" s="268"/>
      <c r="H183" s="256" t="s">
        <v>205</v>
      </c>
      <c r="I183" s="259"/>
      <c r="J183" s="259"/>
    </row>
    <row r="184" spans="1:12" x14ac:dyDescent="0.2">
      <c r="B184" s="210" t="s">
        <v>150</v>
      </c>
      <c r="C184" s="299"/>
      <c r="D184" s="299"/>
      <c r="E184" s="299">
        <f>ROUND(+E112*$E$147,4)</f>
        <v>6.3023999999999996</v>
      </c>
      <c r="F184" s="268"/>
      <c r="H184" s="168" t="s">
        <v>206</v>
      </c>
      <c r="I184" s="315">
        <f>+I112</f>
        <v>7.9847000000000001</v>
      </c>
      <c r="J184" s="315">
        <f>+J112</f>
        <v>7.9847000000000001</v>
      </c>
    </row>
    <row r="185" spans="1:12" x14ac:dyDescent="0.2">
      <c r="B185" s="210" t="s">
        <v>151</v>
      </c>
      <c r="C185" s="299"/>
      <c r="D185" s="299"/>
      <c r="E185" s="299">
        <f>ROUND(+E113*$E$147,4)</f>
        <v>4.2992999999999997</v>
      </c>
      <c r="F185" s="268"/>
    </row>
    <row r="189" spans="1:12" x14ac:dyDescent="0.2">
      <c r="A189" s="298" t="s">
        <v>370</v>
      </c>
      <c r="B189" s="139" t="s">
        <v>371</v>
      </c>
      <c r="C189" s="263"/>
      <c r="E189" s="263"/>
    </row>
    <row r="190" spans="1:12" x14ac:dyDescent="0.2">
      <c r="C190" s="263"/>
      <c r="E190" s="263"/>
    </row>
    <row r="191" spans="1:12" x14ac:dyDescent="0.2">
      <c r="C191" s="136" t="s">
        <v>9</v>
      </c>
      <c r="D191" s="136" t="s">
        <v>10</v>
      </c>
      <c r="E191" s="136" t="s">
        <v>11</v>
      </c>
      <c r="F191" s="136" t="s">
        <v>12</v>
      </c>
      <c r="G191" s="136" t="s">
        <v>13</v>
      </c>
      <c r="H191" s="136" t="s">
        <v>14</v>
      </c>
      <c r="I191" s="136" t="s">
        <v>15</v>
      </c>
      <c r="J191" s="136" t="s">
        <v>16</v>
      </c>
      <c r="K191" s="136" t="s">
        <v>17</v>
      </c>
      <c r="L191" s="136" t="s">
        <v>18</v>
      </c>
    </row>
    <row r="192" spans="1:12" x14ac:dyDescent="0.2">
      <c r="B192" s="76" t="s">
        <v>266</v>
      </c>
    </row>
    <row r="193" spans="2:12" x14ac:dyDescent="0.2">
      <c r="B193" s="162" t="s">
        <v>48</v>
      </c>
      <c r="C193" s="219">
        <f>+C165/100*bid_factors!O53+auction_results_and_rates!C166/100*bid_factors!O54</f>
        <v>566159.65797816881</v>
      </c>
      <c r="D193" s="219">
        <f>+D165/100*bid_factors!P53+auction_results_and_rates!D166/100*bid_factors!P54</f>
        <v>2492.4914602539825</v>
      </c>
      <c r="E193" s="281">
        <f>+E162/100*bid_factors!Q50+E163/100*bid_factors!Q51</f>
        <v>11219.081017179051</v>
      </c>
      <c r="F193" s="219">
        <f>+F161/100*bid_factors!R49</f>
        <v>14.957456000000001</v>
      </c>
      <c r="G193" s="219">
        <f>+G161/100*bid_factors!S49</f>
        <v>0.317191</v>
      </c>
      <c r="H193" s="219">
        <f>+H161/100*bid_factors!T49</f>
        <v>290.10001810376741</v>
      </c>
      <c r="I193" s="219">
        <f>+I161/100*bid_factors!U49</f>
        <v>1814.0198150000003</v>
      </c>
      <c r="J193" s="219">
        <f>+J161/100*bid_factors!V49</f>
        <v>3249.0830150000006</v>
      </c>
      <c r="K193" s="281">
        <f>+C179/100*bid_factors!W49+I180*bid_factors!K147*4+auction_results_and_rates!I184*bid_factors!K149*4</f>
        <v>227187.2730142643</v>
      </c>
      <c r="L193" s="281">
        <f>+E180/100*bid_factors!X50+auction_results_and_rates!E181/100*bid_factors!X51+auction_results_and_rates!J180*bid_factors!L147*4+auction_results_and_rates!J184*bid_factors!L149*4</f>
        <v>130332.11578989806</v>
      </c>
    </row>
    <row r="194" spans="2:12" ht="15" x14ac:dyDescent="0.35">
      <c r="B194" s="162" t="s">
        <v>49</v>
      </c>
      <c r="C194" s="220">
        <f>+C168/100*bid_factors!O45</f>
        <v>727830.75142382691</v>
      </c>
      <c r="D194" s="220">
        <f>+D168/100*bid_factors!P45</f>
        <v>8483.6603607194957</v>
      </c>
      <c r="E194" s="220">
        <f>+E169/100*bid_factors!Q46+auction_results_and_rates!E170/100*bid_factors!Q47</f>
        <v>12789.32579018574</v>
      </c>
      <c r="F194" s="220">
        <f>+F168/100*bid_factors!R45</f>
        <v>45.523894999999996</v>
      </c>
      <c r="G194" s="220">
        <f>+G168/100*bid_factors!S45</f>
        <v>0.9605999999999999</v>
      </c>
      <c r="H194" s="220">
        <f>+H168/100*bid_factors!T45</f>
        <v>1030.2187353641605</v>
      </c>
      <c r="I194" s="220">
        <f>+I168/100*bid_factors!U45</f>
        <v>5239.615424999999</v>
      </c>
      <c r="J194" s="220">
        <f>+J168/100*bid_factors!V45</f>
        <v>9911.9770849999986</v>
      </c>
      <c r="K194" s="301">
        <f>+C183/100*bid_factors!W45+auction_results_and_rates!I181*bid_factors!K147*8+auction_results_and_rates!I184*bid_factors!K149*8</f>
        <v>421259.11589628668</v>
      </c>
      <c r="L194" s="301">
        <f>+E184/100*bid_factors!X46+auction_results_and_rates!E185/100*bid_factors!X47+auction_results_and_rates!J181*bid_factors!L147*8+auction_results_and_rates!J184*bid_factors!L149*8</f>
        <v>248950.99531398126</v>
      </c>
    </row>
    <row r="195" spans="2:12" x14ac:dyDescent="0.2">
      <c r="B195" s="162" t="s">
        <v>104</v>
      </c>
      <c r="C195" s="214">
        <f t="shared" ref="C195:L195" si="4">+C194+C193</f>
        <v>1293990.4094019956</v>
      </c>
      <c r="D195" s="214">
        <f t="shared" si="4"/>
        <v>10976.151820973479</v>
      </c>
      <c r="E195" s="214">
        <f t="shared" si="4"/>
        <v>24008.40680736479</v>
      </c>
      <c r="F195" s="214">
        <f t="shared" si="4"/>
        <v>60.481350999999997</v>
      </c>
      <c r="G195" s="214">
        <f t="shared" si="4"/>
        <v>1.2777909999999999</v>
      </c>
      <c r="H195" s="214">
        <f t="shared" si="4"/>
        <v>1320.3187534679278</v>
      </c>
      <c r="I195" s="214">
        <f t="shared" si="4"/>
        <v>7053.6352399999996</v>
      </c>
      <c r="J195" s="214">
        <f t="shared" si="4"/>
        <v>13161.060099999999</v>
      </c>
      <c r="K195" s="214">
        <f t="shared" si="4"/>
        <v>648446.38891055097</v>
      </c>
      <c r="L195" s="214">
        <f t="shared" si="4"/>
        <v>379283.11110387929</v>
      </c>
    </row>
    <row r="196" spans="2:12" x14ac:dyDescent="0.2">
      <c r="B196" s="162"/>
      <c r="C196" s="214"/>
      <c r="D196" s="214"/>
      <c r="E196" s="214"/>
      <c r="F196" s="214"/>
      <c r="G196" s="214"/>
      <c r="H196" s="214"/>
      <c r="I196" s="214"/>
      <c r="J196" s="214"/>
      <c r="K196" s="214"/>
      <c r="L196" s="214"/>
    </row>
    <row r="197" spans="2:12" x14ac:dyDescent="0.2">
      <c r="B197" s="162" t="s">
        <v>267</v>
      </c>
      <c r="C197" s="214">
        <f>SUM(C193:L193)</f>
        <v>942759.09675486793</v>
      </c>
      <c r="D197" s="214"/>
      <c r="E197" s="214"/>
      <c r="F197" s="214"/>
      <c r="G197" s="214"/>
      <c r="H197" s="214"/>
      <c r="I197" s="214"/>
      <c r="J197" s="214"/>
      <c r="K197" s="214"/>
      <c r="L197" s="214"/>
    </row>
    <row r="198" spans="2:12" ht="15" x14ac:dyDescent="0.35">
      <c r="B198" s="162" t="s">
        <v>268</v>
      </c>
      <c r="C198" s="297">
        <f>SUM(C194:L194)</f>
        <v>1435542.1445253643</v>
      </c>
      <c r="E198" s="263"/>
    </row>
    <row r="199" spans="2:12" x14ac:dyDescent="0.2">
      <c r="B199" s="162" t="s">
        <v>269</v>
      </c>
      <c r="C199" s="214">
        <f>+C198+C197</f>
        <v>2378301.2412802321</v>
      </c>
      <c r="E199" s="263"/>
    </row>
    <row r="200" spans="2:12" x14ac:dyDescent="0.2">
      <c r="B200" s="162"/>
      <c r="C200" s="263"/>
      <c r="E200" s="263"/>
    </row>
    <row r="201" spans="2:12" x14ac:dyDescent="0.2">
      <c r="C201" s="136"/>
      <c r="D201" s="136"/>
      <c r="E201" s="136"/>
      <c r="F201" s="136"/>
      <c r="G201" s="136"/>
      <c r="H201" s="136"/>
      <c r="I201" s="136"/>
      <c r="J201" s="136"/>
      <c r="K201" s="136"/>
      <c r="L201" s="136"/>
    </row>
    <row r="202" spans="2:12" x14ac:dyDescent="0.2">
      <c r="B202" s="76" t="s">
        <v>270</v>
      </c>
    </row>
    <row r="203" spans="2:12" x14ac:dyDescent="0.2">
      <c r="B203" s="162" t="s">
        <v>48</v>
      </c>
      <c r="C203" s="214">
        <f>+C24+D24+E24</f>
        <v>942757.84928418824</v>
      </c>
    </row>
    <row r="204" spans="2:12" ht="15" x14ac:dyDescent="0.35">
      <c r="B204" s="162" t="s">
        <v>49</v>
      </c>
      <c r="C204" s="297">
        <f>+C25+D25+E25</f>
        <v>1435543.6142912451</v>
      </c>
    </row>
    <row r="205" spans="2:12" x14ac:dyDescent="0.2">
      <c r="B205" s="162" t="s">
        <v>104</v>
      </c>
      <c r="C205" s="214">
        <f>+C204+C203</f>
        <v>2378301.4635754335</v>
      </c>
      <c r="D205" s="214"/>
      <c r="G205" s="162"/>
    </row>
    <row r="206" spans="2:12" x14ac:dyDescent="0.2">
      <c r="C206" s="263"/>
      <c r="E206" s="263"/>
      <c r="G206" s="162"/>
    </row>
    <row r="207" spans="2:12" x14ac:dyDescent="0.2">
      <c r="B207" s="135" t="s">
        <v>362</v>
      </c>
      <c r="C207" s="214"/>
      <c r="E207" s="246" t="s">
        <v>372</v>
      </c>
      <c r="G207" s="246"/>
    </row>
    <row r="208" spans="2:12" x14ac:dyDescent="0.2">
      <c r="B208" s="162" t="s">
        <v>48</v>
      </c>
      <c r="C208" s="214">
        <f>+C197-C203</f>
        <v>1.247470679692924</v>
      </c>
      <c r="E208" s="311">
        <f>+C208/C197</f>
        <v>1.3232125619226836E-6</v>
      </c>
    </row>
    <row r="209" spans="2:5" ht="15" x14ac:dyDescent="0.35">
      <c r="B209" s="162" t="s">
        <v>49</v>
      </c>
      <c r="C209" s="297">
        <f>+C198-C204</f>
        <v>-1.4697658808436245</v>
      </c>
      <c r="E209" s="316">
        <f>+C209/C198</f>
        <v>-1.0238402867159123E-6</v>
      </c>
    </row>
    <row r="210" spans="2:5" x14ac:dyDescent="0.2">
      <c r="B210" s="162" t="s">
        <v>104</v>
      </c>
      <c r="C210" s="214">
        <f>+C199-C205</f>
        <v>-0.22229520138353109</v>
      </c>
      <c r="E210" s="311">
        <f>+C210/C199</f>
        <v>-9.3468059270687804E-8</v>
      </c>
    </row>
  </sheetData>
  <mergeCells count="3">
    <mergeCell ref="O6:O17"/>
    <mergeCell ref="P6:P17"/>
    <mergeCell ref="Q6:Q17"/>
  </mergeCells>
  <pageMargins left="0.75" right="0.75" top="1" bottom="1" header="0.5" footer="0.5"/>
  <pageSetup scale="66" fitToHeight="0" orientation="landscape" r:id="rId1"/>
  <headerFooter alignWithMargins="0">
    <oddHeader>&amp;CPublic Service Electric and Gas Company Specific Addendum
Attachment 3</oddHeader>
    <oddFooter>&amp;CPage &amp;P of &amp;N</oddFooter>
  </headerFooter>
  <rowBreaks count="7" manualBreakCount="7">
    <brk id="40" max="11" man="1"/>
    <brk id="79" max="11" man="1"/>
    <brk id="115" max="11" man="1"/>
    <brk id="151" max="11" man="1"/>
    <brk id="187" max="11" man="1"/>
    <brk id="212" max="11" man="1"/>
    <brk id="250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Input</vt:lpstr>
      <vt:lpstr>bid_factors</vt:lpstr>
      <vt:lpstr>auction_results_and_rates</vt:lpstr>
      <vt:lpstr>auction_results_and_rates!Print_Area</vt:lpstr>
      <vt:lpstr>bid_factors!Print_Area</vt:lpstr>
      <vt:lpstr>Input!Print_Area</vt:lpstr>
      <vt:lpstr>auction_results_and_rates!Print_Titles</vt:lpstr>
    </vt:vector>
  </TitlesOfParts>
  <Company>PSEG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Dave Zarra</dc:creator>
  <cp:lastModifiedBy>Mike Merizio</cp:lastModifiedBy>
  <cp:lastPrinted>2017-11-28T17:48:35Z</cp:lastPrinted>
  <dcterms:created xsi:type="dcterms:W3CDTF">2017-11-10T15:35:28Z</dcterms:created>
  <dcterms:modified xsi:type="dcterms:W3CDTF">2017-11-29T20:27:55Z</dcterms:modified>
</cp:coreProperties>
</file>