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Corp\Rates\MGO\BGS PT Yr 15\Jan 2017 Update\"/>
    </mc:Choice>
  </mc:AlternateContent>
  <bookViews>
    <workbookView xWindow="0" yWindow="0" windowWidth="23040" windowHeight="10932"/>
  </bookViews>
  <sheets>
    <sheet name="BGS PTY13 Cost Alloc" sheetId="11" r:id="rId1"/>
    <sheet name="BGS PTY14 Cost Alloc" sheetId="13" r:id="rId2"/>
    <sheet name="BGS PTY15 Cost Alloc" sheetId="10" r:id="rId3"/>
    <sheet name="Composite Cost Allocation" sheetId="14" r:id="rId4"/>
    <sheet name="TABLE A" sheetId="19" r:id="rId5"/>
  </sheets>
  <definedNames>
    <definedName name="_xlnm.Print_Area" localSheetId="0">'BGS PTY13 Cost Alloc'!$A$1:$L$328</definedName>
    <definedName name="_xlnm.Print_Area" localSheetId="1">'BGS PTY14 Cost Alloc'!$A$1:$L$331</definedName>
    <definedName name="_xlnm.Print_Area" localSheetId="2">'BGS PTY15 Cost Alloc'!$A$1:$L$329</definedName>
    <definedName name="_xlnm.Print_Area" localSheetId="3">'Composite Cost Allocation'!$A$1:$P$185</definedName>
    <definedName name="_xlnm.Print_Area" localSheetId="4">'TABLE A'!$A$1:$G$61</definedName>
  </definedNames>
  <calcPr calcId="152511"/>
</workbook>
</file>

<file path=xl/calcChain.xml><?xml version="1.0" encoding="utf-8"?>
<calcChain xmlns="http://schemas.openxmlformats.org/spreadsheetml/2006/main">
  <c r="A12" i="19" l="1"/>
  <c r="A13" i="19" s="1"/>
  <c r="A14" i="19" s="1"/>
  <c r="A15" i="19" s="1"/>
  <c r="A16" i="19" s="1"/>
  <c r="A17" i="19" s="1"/>
  <c r="A18" i="19" s="1"/>
  <c r="A19" i="19" s="1"/>
  <c r="A20" i="19" s="1"/>
  <c r="A11" i="19"/>
  <c r="E38" i="19" l="1"/>
  <c r="D38" i="19"/>
  <c r="C38" i="19"/>
  <c r="D43" i="19"/>
  <c r="D42" i="19"/>
  <c r="D34" i="19"/>
  <c r="C43" i="19"/>
  <c r="C42" i="19"/>
  <c r="C34" i="19"/>
  <c r="C14" i="19"/>
  <c r="C16" i="19" s="1"/>
  <c r="C10" i="19"/>
  <c r="F196" i="10" l="1"/>
  <c r="X95" i="10" l="1"/>
  <c r="Q15" i="10" l="1"/>
  <c r="C39" i="19" l="1"/>
  <c r="E39" i="19" s="1"/>
  <c r="D39" i="19" l="1"/>
  <c r="D180" i="10" l="1"/>
  <c r="E174" i="10"/>
  <c r="X87" i="10" l="1"/>
  <c r="E95" i="10"/>
  <c r="H97" i="10" s="1"/>
  <c r="R15" i="10"/>
  <c r="Q16" i="10"/>
  <c r="R16" i="10"/>
  <c r="Q17" i="10"/>
  <c r="R17" i="10"/>
  <c r="I60" i="10"/>
  <c r="I60" i="11" s="1"/>
  <c r="I61" i="10"/>
  <c r="I61" i="13" s="1"/>
  <c r="I62" i="10"/>
  <c r="I62" i="13" s="1"/>
  <c r="I63" i="10"/>
  <c r="I63" i="13" s="1"/>
  <c r="I64" i="10"/>
  <c r="I64" i="11" s="1"/>
  <c r="I65" i="10"/>
  <c r="I66" i="10"/>
  <c r="I67" i="10"/>
  <c r="I67" i="13" s="1"/>
  <c r="I68" i="10"/>
  <c r="I68" i="11" s="1"/>
  <c r="I69" i="10"/>
  <c r="I69" i="13" s="1"/>
  <c r="I70" i="10"/>
  <c r="I70" i="13" s="1"/>
  <c r="I71" i="10"/>
  <c r="I71" i="11" s="1"/>
  <c r="W72" i="10"/>
  <c r="E110" i="14"/>
  <c r="E42" i="13"/>
  <c r="Q42" i="13" s="1"/>
  <c r="R95" i="10"/>
  <c r="F65" i="10"/>
  <c r="F65" i="11" s="1"/>
  <c r="F66" i="10"/>
  <c r="F66" i="11" s="1"/>
  <c r="F67" i="10"/>
  <c r="F67" i="13" s="1"/>
  <c r="F68" i="10"/>
  <c r="F68" i="11" s="1"/>
  <c r="S93" i="10"/>
  <c r="S94" i="10"/>
  <c r="Q95" i="10"/>
  <c r="F60" i="10"/>
  <c r="F60" i="13" s="1"/>
  <c r="F61" i="10"/>
  <c r="F61" i="11" s="1"/>
  <c r="F62" i="10"/>
  <c r="F62" i="11" s="1"/>
  <c r="F63" i="10"/>
  <c r="F63" i="11" s="1"/>
  <c r="F64" i="10"/>
  <c r="F64" i="11" s="1"/>
  <c r="F69" i="10"/>
  <c r="F69" i="11" s="1"/>
  <c r="F70" i="10"/>
  <c r="F70" i="11" s="1"/>
  <c r="F71" i="10"/>
  <c r="F71" i="11" s="1"/>
  <c r="E94" i="11"/>
  <c r="E95" i="11" s="1"/>
  <c r="E94" i="13"/>
  <c r="E95" i="13" s="1"/>
  <c r="F87" i="13"/>
  <c r="D87" i="13"/>
  <c r="F87" i="11"/>
  <c r="D87" i="11"/>
  <c r="E180" i="11"/>
  <c r="C311" i="11" s="1"/>
  <c r="AD72" i="10"/>
  <c r="E179" i="11"/>
  <c r="C310" i="11" s="1"/>
  <c r="T30" i="10"/>
  <c r="T30" i="11" s="1"/>
  <c r="Q30" i="10"/>
  <c r="Q30" i="13" s="1"/>
  <c r="X72" i="10"/>
  <c r="H36" i="13"/>
  <c r="T36" i="13" s="1"/>
  <c r="AG63" i="11"/>
  <c r="E179" i="13"/>
  <c r="C313" i="13"/>
  <c r="I90" i="11"/>
  <c r="I89" i="11"/>
  <c r="I88" i="11"/>
  <c r="H90" i="11"/>
  <c r="H89" i="11"/>
  <c r="H88" i="11"/>
  <c r="I87" i="11"/>
  <c r="H87" i="11"/>
  <c r="I86" i="11"/>
  <c r="I85" i="11"/>
  <c r="H86" i="11"/>
  <c r="H85" i="11"/>
  <c r="I83" i="11"/>
  <c r="I82" i="11"/>
  <c r="I81" i="11"/>
  <c r="I80" i="11"/>
  <c r="H83" i="11"/>
  <c r="H82" i="11"/>
  <c r="H81" i="11"/>
  <c r="H80" i="11"/>
  <c r="Y65" i="10"/>
  <c r="Y66" i="10"/>
  <c r="Y67" i="10"/>
  <c r="Y68" i="10"/>
  <c r="Y60" i="10"/>
  <c r="Y61" i="10"/>
  <c r="Y62" i="10"/>
  <c r="Y63" i="10"/>
  <c r="Y64" i="10"/>
  <c r="Y69" i="10"/>
  <c r="Y70" i="10"/>
  <c r="Y71" i="10"/>
  <c r="H85" i="10"/>
  <c r="H86" i="10" s="1"/>
  <c r="H87" i="10" s="1"/>
  <c r="H80" i="10"/>
  <c r="H81" i="10"/>
  <c r="H82" i="10"/>
  <c r="H83" i="10"/>
  <c r="G95" i="10"/>
  <c r="H88" i="10"/>
  <c r="H89" i="10"/>
  <c r="H90" i="10"/>
  <c r="F95" i="10"/>
  <c r="H95" i="10"/>
  <c r="I95" i="10"/>
  <c r="I164" i="14"/>
  <c r="H164" i="14"/>
  <c r="G164" i="14"/>
  <c r="F164" i="14"/>
  <c r="E164" i="14"/>
  <c r="AF72" i="10"/>
  <c r="AH71" i="11"/>
  <c r="AH70" i="11"/>
  <c r="AE71" i="11"/>
  <c r="AE70" i="11"/>
  <c r="W55" i="11"/>
  <c r="V71" i="11"/>
  <c r="V70" i="11"/>
  <c r="V69" i="11"/>
  <c r="V68" i="11"/>
  <c r="V67" i="11"/>
  <c r="V66" i="11"/>
  <c r="V65" i="11"/>
  <c r="V64" i="11"/>
  <c r="V63" i="11"/>
  <c r="V62" i="11"/>
  <c r="V61" i="11"/>
  <c r="V60" i="11"/>
  <c r="C320" i="11"/>
  <c r="C319" i="11"/>
  <c r="C318" i="11"/>
  <c r="B102" i="11"/>
  <c r="B165" i="11"/>
  <c r="B57" i="11"/>
  <c r="H30" i="11"/>
  <c r="E30" i="11"/>
  <c r="E10" i="11"/>
  <c r="B3" i="11"/>
  <c r="E191" i="11"/>
  <c r="C315" i="11" s="1"/>
  <c r="C314" i="11"/>
  <c r="C313" i="11"/>
  <c r="E298" i="11"/>
  <c r="F306" i="11" s="1"/>
  <c r="E19" i="11"/>
  <c r="Q19" i="11" s="1"/>
  <c r="D83" i="11"/>
  <c r="E15" i="11"/>
  <c r="Q15" i="11" s="1"/>
  <c r="E16" i="11"/>
  <c r="Q16" i="11" s="1"/>
  <c r="E17" i="11"/>
  <c r="Q17" i="11" s="1"/>
  <c r="E18" i="11"/>
  <c r="Q18" i="11" s="1"/>
  <c r="D79" i="11"/>
  <c r="D80" i="11"/>
  <c r="D81" i="11"/>
  <c r="D82" i="11"/>
  <c r="F83" i="11"/>
  <c r="F79" i="11"/>
  <c r="F80" i="11"/>
  <c r="F81" i="11"/>
  <c r="F82" i="11"/>
  <c r="E26" i="11"/>
  <c r="Q26" i="11" s="1"/>
  <c r="D90" i="11"/>
  <c r="E24" i="11"/>
  <c r="Q24" i="11" s="1"/>
  <c r="E25" i="11"/>
  <c r="Q25" i="11" s="1"/>
  <c r="D88" i="11"/>
  <c r="D89" i="11"/>
  <c r="F90" i="11"/>
  <c r="F88" i="11"/>
  <c r="F89" i="11"/>
  <c r="E198" i="11"/>
  <c r="W64" i="11"/>
  <c r="W60" i="11"/>
  <c r="W61" i="11"/>
  <c r="W62" i="11"/>
  <c r="X62" i="11"/>
  <c r="W63" i="11"/>
  <c r="W69" i="11"/>
  <c r="W70" i="11"/>
  <c r="W71" i="11"/>
  <c r="E23" i="11"/>
  <c r="Q23" i="11" s="1"/>
  <c r="E20" i="11"/>
  <c r="Q20" i="11" s="1"/>
  <c r="E21" i="11"/>
  <c r="Q21" i="11" s="1"/>
  <c r="E22" i="11"/>
  <c r="Q22" i="11" s="1"/>
  <c r="D84" i="11"/>
  <c r="D85" i="11"/>
  <c r="D86" i="11"/>
  <c r="F84" i="11"/>
  <c r="F85" i="11"/>
  <c r="F86" i="11"/>
  <c r="F19" i="11"/>
  <c r="R19" i="11" s="1"/>
  <c r="F15" i="11"/>
  <c r="R15" i="11" s="1"/>
  <c r="F16" i="11"/>
  <c r="R16" i="11" s="1"/>
  <c r="F17" i="11"/>
  <c r="R17" i="11" s="1"/>
  <c r="F18" i="11"/>
  <c r="R18" i="11" s="1"/>
  <c r="F94" i="11"/>
  <c r="F95" i="11" s="1"/>
  <c r="F26" i="11"/>
  <c r="R26" i="11" s="1"/>
  <c r="F24" i="11"/>
  <c r="R24" i="11" s="1"/>
  <c r="F25" i="11"/>
  <c r="R25" i="11" s="1"/>
  <c r="F198" i="11"/>
  <c r="G19" i="11"/>
  <c r="S19" i="11" s="1"/>
  <c r="G15" i="11"/>
  <c r="S15" i="11" s="1"/>
  <c r="G16" i="11"/>
  <c r="S16" i="11" s="1"/>
  <c r="G17" i="11"/>
  <c r="S17" i="11" s="1"/>
  <c r="G18" i="11"/>
  <c r="S18" i="11" s="1"/>
  <c r="G94" i="11"/>
  <c r="G95" i="11" s="1"/>
  <c r="G26" i="11"/>
  <c r="S26" i="11" s="1"/>
  <c r="G24" i="11"/>
  <c r="S24" i="11" s="1"/>
  <c r="G25" i="11"/>
  <c r="S25" i="11" s="1"/>
  <c r="G198" i="11"/>
  <c r="H19" i="11"/>
  <c r="T19" i="11" s="1"/>
  <c r="H15" i="11"/>
  <c r="T15" i="11" s="1"/>
  <c r="H16" i="11"/>
  <c r="T16" i="11" s="1"/>
  <c r="H17" i="11"/>
  <c r="T17" i="11" s="1"/>
  <c r="H18" i="11"/>
  <c r="T18" i="11" s="1"/>
  <c r="H26" i="11"/>
  <c r="T26" i="11" s="1"/>
  <c r="H24" i="11"/>
  <c r="T24" i="11" s="1"/>
  <c r="H25" i="11"/>
  <c r="T25" i="11" s="1"/>
  <c r="H94" i="11"/>
  <c r="H95" i="11" s="1"/>
  <c r="H198" i="11"/>
  <c r="I19" i="11"/>
  <c r="U19" i="11" s="1"/>
  <c r="I15" i="11"/>
  <c r="U15" i="11" s="1"/>
  <c r="I16" i="11"/>
  <c r="U16" i="11" s="1"/>
  <c r="I17" i="11"/>
  <c r="U17" i="11" s="1"/>
  <c r="I18" i="11"/>
  <c r="U18" i="11" s="1"/>
  <c r="I94" i="11"/>
  <c r="I95" i="11" s="1"/>
  <c r="I26" i="11"/>
  <c r="U26" i="11" s="1"/>
  <c r="I24" i="11"/>
  <c r="U24" i="11" s="1"/>
  <c r="I25" i="11"/>
  <c r="U25" i="11" s="1"/>
  <c r="I198" i="11"/>
  <c r="E297" i="11"/>
  <c r="F305" i="11" s="1"/>
  <c r="W68" i="11"/>
  <c r="W65" i="11"/>
  <c r="W66" i="11"/>
  <c r="W67" i="11"/>
  <c r="F23" i="11"/>
  <c r="F20" i="11"/>
  <c r="R20" i="11" s="1"/>
  <c r="F21" i="11"/>
  <c r="R21" i="11" s="1"/>
  <c r="F22" i="11"/>
  <c r="R22" i="11" s="1"/>
  <c r="R23" i="11"/>
  <c r="G23" i="11"/>
  <c r="S23" i="11" s="1"/>
  <c r="G20" i="11"/>
  <c r="S20" i="11" s="1"/>
  <c r="G21" i="11"/>
  <c r="S21" i="11" s="1"/>
  <c r="G22" i="11"/>
  <c r="S22" i="11" s="1"/>
  <c r="H23" i="11"/>
  <c r="H20" i="11"/>
  <c r="T20" i="11" s="1"/>
  <c r="H21" i="11"/>
  <c r="T21" i="11" s="1"/>
  <c r="H22" i="11"/>
  <c r="T22" i="11" s="1"/>
  <c r="T23" i="11"/>
  <c r="I23" i="11"/>
  <c r="I20" i="11"/>
  <c r="U20" i="11" s="1"/>
  <c r="I21" i="11"/>
  <c r="U21" i="11" s="1"/>
  <c r="I22" i="11"/>
  <c r="U22" i="11" s="1"/>
  <c r="U23" i="11"/>
  <c r="I291" i="11"/>
  <c r="H291" i="11"/>
  <c r="G291" i="11"/>
  <c r="F291" i="11"/>
  <c r="E291" i="11"/>
  <c r="B284" i="11"/>
  <c r="B283" i="11"/>
  <c r="I261" i="11"/>
  <c r="H261" i="11"/>
  <c r="G261" i="11"/>
  <c r="F261" i="11"/>
  <c r="E261" i="11"/>
  <c r="B237" i="11"/>
  <c r="B236" i="11"/>
  <c r="I215" i="11"/>
  <c r="H215" i="11"/>
  <c r="G215" i="11"/>
  <c r="F215" i="11"/>
  <c r="E215" i="11"/>
  <c r="B207" i="11"/>
  <c r="B206" i="11"/>
  <c r="I196" i="11"/>
  <c r="H196" i="11"/>
  <c r="G196" i="11"/>
  <c r="F196" i="11"/>
  <c r="E196" i="11"/>
  <c r="AX186" i="11"/>
  <c r="C184" i="11"/>
  <c r="H175" i="11"/>
  <c r="I166" i="11"/>
  <c r="H166" i="11"/>
  <c r="G166" i="11"/>
  <c r="F166" i="11"/>
  <c r="E166" i="11"/>
  <c r="E150" i="11"/>
  <c r="W162" i="11"/>
  <c r="AY150" i="11"/>
  <c r="AX150" i="11"/>
  <c r="AW150" i="11"/>
  <c r="AV150" i="11"/>
  <c r="AU150" i="11"/>
  <c r="H150" i="11"/>
  <c r="Z150" i="11"/>
  <c r="I150" i="11"/>
  <c r="G150" i="11"/>
  <c r="F150" i="11"/>
  <c r="B144" i="11"/>
  <c r="B143" i="11"/>
  <c r="I128" i="11"/>
  <c r="H128" i="11"/>
  <c r="G128" i="11"/>
  <c r="F128" i="11"/>
  <c r="E128" i="11"/>
  <c r="I110" i="11"/>
  <c r="H110" i="11"/>
  <c r="G110" i="11"/>
  <c r="F110" i="11"/>
  <c r="E110" i="11"/>
  <c r="B104" i="11"/>
  <c r="B103" i="11"/>
  <c r="X95" i="11"/>
  <c r="Y95" i="11"/>
  <c r="Z95" i="11"/>
  <c r="AA95" i="11"/>
  <c r="Y94" i="11"/>
  <c r="Z94" i="11"/>
  <c r="I92" i="11"/>
  <c r="H92" i="11"/>
  <c r="G92" i="11"/>
  <c r="F92" i="11"/>
  <c r="E92" i="11"/>
  <c r="X86" i="11"/>
  <c r="Y86" i="11"/>
  <c r="Z86" i="11"/>
  <c r="X85" i="11"/>
  <c r="Y85" i="11"/>
  <c r="Z85" i="11"/>
  <c r="X84" i="11"/>
  <c r="Y84" i="11"/>
  <c r="Z84" i="11"/>
  <c r="X83" i="11"/>
  <c r="Y83" i="11"/>
  <c r="Z83" i="11"/>
  <c r="X82" i="11"/>
  <c r="Y82" i="11"/>
  <c r="Z82" i="11"/>
  <c r="X81" i="11"/>
  <c r="Y81" i="11"/>
  <c r="Z81" i="11"/>
  <c r="X80" i="11"/>
  <c r="Y80" i="11"/>
  <c r="Z80" i="11"/>
  <c r="X79" i="11"/>
  <c r="Y79" i="11"/>
  <c r="Z79" i="11"/>
  <c r="T13" i="11"/>
  <c r="T79" i="11"/>
  <c r="Q13" i="11"/>
  <c r="Q79" i="11"/>
  <c r="X78" i="11"/>
  <c r="Y78" i="11"/>
  <c r="Z78" i="11"/>
  <c r="AB65" i="11"/>
  <c r="AB66" i="11"/>
  <c r="AB67" i="11"/>
  <c r="AB68" i="11"/>
  <c r="X77" i="11"/>
  <c r="Y77" i="11"/>
  <c r="Z77" i="11"/>
  <c r="X76" i="11"/>
  <c r="Y76" i="11"/>
  <c r="Z76" i="11"/>
  <c r="X75" i="11"/>
  <c r="Y75" i="11"/>
  <c r="Z75" i="11"/>
  <c r="AD60" i="11"/>
  <c r="AD61" i="11"/>
  <c r="AD62" i="11"/>
  <c r="AD63" i="11"/>
  <c r="AD64" i="11"/>
  <c r="AD65" i="11"/>
  <c r="AD66" i="11"/>
  <c r="AD67" i="11"/>
  <c r="AD68" i="11"/>
  <c r="AD69" i="11"/>
  <c r="AD70" i="11"/>
  <c r="AD71" i="11"/>
  <c r="AB60" i="11"/>
  <c r="AB61" i="11"/>
  <c r="AB62" i="11"/>
  <c r="AB63" i="11"/>
  <c r="AB64" i="11"/>
  <c r="AB69" i="11"/>
  <c r="AB70" i="11"/>
  <c r="AB71" i="11"/>
  <c r="Z60" i="11"/>
  <c r="Z61" i="11"/>
  <c r="Z62" i="11"/>
  <c r="Z63" i="11"/>
  <c r="Z64" i="11"/>
  <c r="Z65" i="11"/>
  <c r="Z66" i="11"/>
  <c r="Z67" i="11"/>
  <c r="Z68" i="11"/>
  <c r="Z69" i="11"/>
  <c r="Z70" i="11"/>
  <c r="Z71" i="11"/>
  <c r="X60" i="11"/>
  <c r="X61" i="11"/>
  <c r="X63" i="11"/>
  <c r="X64" i="11"/>
  <c r="X65" i="11"/>
  <c r="X66" i="11"/>
  <c r="X67" i="11"/>
  <c r="X68" i="11"/>
  <c r="X69" i="11"/>
  <c r="X70" i="11"/>
  <c r="X71" i="11"/>
  <c r="T69" i="11"/>
  <c r="Q69" i="11"/>
  <c r="U13" i="11"/>
  <c r="U58" i="11"/>
  <c r="T58" i="11"/>
  <c r="S13" i="11"/>
  <c r="R13" i="11"/>
  <c r="Q58" i="11"/>
  <c r="I58" i="11"/>
  <c r="G58" i="11"/>
  <c r="F58" i="11"/>
  <c r="E58" i="11"/>
  <c r="B53" i="11"/>
  <c r="B52" i="11"/>
  <c r="U31" i="11"/>
  <c r="T31" i="11"/>
  <c r="Q31" i="11"/>
  <c r="I31" i="11"/>
  <c r="H31" i="11"/>
  <c r="G31" i="11"/>
  <c r="F31" i="11"/>
  <c r="E31" i="11"/>
  <c r="AE72" i="11"/>
  <c r="AH72" i="11"/>
  <c r="H38" i="11"/>
  <c r="T38" i="11" s="1"/>
  <c r="AH71" i="13"/>
  <c r="AH70" i="13"/>
  <c r="AE71" i="13"/>
  <c r="AE70" i="13"/>
  <c r="W55" i="13"/>
  <c r="V71" i="13"/>
  <c r="V70" i="13"/>
  <c r="V69" i="13"/>
  <c r="V68" i="13"/>
  <c r="V67" i="13"/>
  <c r="V66" i="13"/>
  <c r="V65" i="13"/>
  <c r="V64" i="13"/>
  <c r="V63" i="13"/>
  <c r="V62" i="13"/>
  <c r="V61" i="13"/>
  <c r="V60" i="13"/>
  <c r="C323" i="13"/>
  <c r="C322" i="13"/>
  <c r="C321" i="13"/>
  <c r="D84" i="13"/>
  <c r="D85" i="13"/>
  <c r="D86" i="13"/>
  <c r="F84" i="13"/>
  <c r="F85" i="13"/>
  <c r="F86" i="13"/>
  <c r="E23" i="13"/>
  <c r="Q23" i="13" s="1"/>
  <c r="E20" i="13"/>
  <c r="Q20" i="13" s="1"/>
  <c r="E21" i="13"/>
  <c r="Q21" i="13" s="1"/>
  <c r="E22" i="13"/>
  <c r="Q22" i="13" s="1"/>
  <c r="E194" i="13"/>
  <c r="C318" i="13" s="1"/>
  <c r="E201" i="13"/>
  <c r="F23" i="13"/>
  <c r="R23" i="13" s="1"/>
  <c r="F20" i="13"/>
  <c r="R20" i="13" s="1"/>
  <c r="F21" i="13"/>
  <c r="R21" i="13" s="1"/>
  <c r="F22" i="13"/>
  <c r="R22" i="13" s="1"/>
  <c r="F94" i="13"/>
  <c r="F95" i="13" s="1"/>
  <c r="F201" i="13"/>
  <c r="G23" i="13"/>
  <c r="S23" i="13" s="1"/>
  <c r="H23" i="13"/>
  <c r="T23" i="13" s="1"/>
  <c r="H20" i="13"/>
  <c r="T20" i="13" s="1"/>
  <c r="H21" i="13"/>
  <c r="T21" i="13" s="1"/>
  <c r="H22" i="13"/>
  <c r="T22" i="13" s="1"/>
  <c r="H94" i="13"/>
  <c r="H95" i="13" s="1"/>
  <c r="I23" i="13"/>
  <c r="U23" i="13" s="1"/>
  <c r="I20" i="13"/>
  <c r="U20" i="13" s="1"/>
  <c r="I21" i="13"/>
  <c r="U21" i="13" s="1"/>
  <c r="I22" i="13"/>
  <c r="U22" i="13" s="1"/>
  <c r="I94" i="13"/>
  <c r="I95" i="13" s="1"/>
  <c r="H85" i="13"/>
  <c r="H86" i="13" s="1"/>
  <c r="H87" i="13" s="1"/>
  <c r="I85" i="13"/>
  <c r="I86" i="13" s="1"/>
  <c r="I87" i="13" s="1"/>
  <c r="I201" i="13"/>
  <c r="D83" i="13"/>
  <c r="D79" i="13"/>
  <c r="D80" i="13"/>
  <c r="D81" i="13"/>
  <c r="D82" i="13"/>
  <c r="F83" i="13"/>
  <c r="F79" i="13"/>
  <c r="F80" i="13"/>
  <c r="F81" i="13"/>
  <c r="F82" i="13"/>
  <c r="D90" i="13"/>
  <c r="D88" i="13"/>
  <c r="D89" i="13"/>
  <c r="F90" i="13"/>
  <c r="F88" i="13"/>
  <c r="F89" i="13"/>
  <c r="E19" i="13"/>
  <c r="Q19" i="13" s="1"/>
  <c r="E15" i="13"/>
  <c r="Q15" i="13" s="1"/>
  <c r="E16" i="13"/>
  <c r="Q16" i="13" s="1"/>
  <c r="E17" i="13"/>
  <c r="Q17" i="13" s="1"/>
  <c r="E18" i="13"/>
  <c r="Q18" i="13" s="1"/>
  <c r="E26" i="13"/>
  <c r="Q26" i="13" s="1"/>
  <c r="E24" i="13"/>
  <c r="Q24" i="13" s="1"/>
  <c r="E25" i="13"/>
  <c r="Q25" i="13" s="1"/>
  <c r="E180" i="13"/>
  <c r="C314" i="13" s="1"/>
  <c r="F19" i="13"/>
  <c r="R19" i="13" s="1"/>
  <c r="F15" i="13"/>
  <c r="R15" i="13" s="1"/>
  <c r="F16" i="13"/>
  <c r="R16" i="13" s="1"/>
  <c r="F17" i="13"/>
  <c r="R17" i="13" s="1"/>
  <c r="F18" i="13"/>
  <c r="R18" i="13" s="1"/>
  <c r="F26" i="13"/>
  <c r="R26" i="13" s="1"/>
  <c r="F24" i="13"/>
  <c r="R24" i="13" s="1"/>
  <c r="F25" i="13"/>
  <c r="R25" i="13" s="1"/>
  <c r="G19" i="13"/>
  <c r="S19" i="13" s="1"/>
  <c r="H19" i="13"/>
  <c r="H15" i="13"/>
  <c r="H16" i="13"/>
  <c r="H17" i="13"/>
  <c r="H18" i="13"/>
  <c r="H26" i="13"/>
  <c r="T26" i="13" s="1"/>
  <c r="H24" i="13"/>
  <c r="T24" i="13" s="1"/>
  <c r="H25" i="13"/>
  <c r="T25" i="13" s="1"/>
  <c r="T19" i="13"/>
  <c r="T15" i="13"/>
  <c r="T16" i="13"/>
  <c r="T17" i="13"/>
  <c r="T18" i="13"/>
  <c r="I19" i="13"/>
  <c r="U19" i="13" s="1"/>
  <c r="I15" i="13"/>
  <c r="U15" i="13" s="1"/>
  <c r="I16" i="13"/>
  <c r="U16" i="13" s="1"/>
  <c r="I17" i="13"/>
  <c r="U17" i="13" s="1"/>
  <c r="I18" i="13"/>
  <c r="U18" i="13" s="1"/>
  <c r="I26" i="13"/>
  <c r="U26" i="13" s="1"/>
  <c r="I24" i="13"/>
  <c r="U24" i="13" s="1"/>
  <c r="I25" i="13"/>
  <c r="U25" i="13" s="1"/>
  <c r="H80" i="13"/>
  <c r="H81" i="13"/>
  <c r="H82" i="13"/>
  <c r="H83" i="13"/>
  <c r="I80" i="13"/>
  <c r="I81" i="13"/>
  <c r="I82" i="13"/>
  <c r="I83" i="13"/>
  <c r="B102" i="13"/>
  <c r="B165" i="13"/>
  <c r="B57" i="13"/>
  <c r="H30" i="13"/>
  <c r="E30" i="13"/>
  <c r="E10" i="13"/>
  <c r="I90" i="13"/>
  <c r="H90" i="13"/>
  <c r="I89" i="13"/>
  <c r="H89" i="13"/>
  <c r="I88" i="13"/>
  <c r="H88" i="13"/>
  <c r="B3" i="13"/>
  <c r="H92" i="13"/>
  <c r="W68" i="13"/>
  <c r="W65" i="13"/>
  <c r="W66" i="13"/>
  <c r="W67" i="13"/>
  <c r="W64" i="13"/>
  <c r="W60" i="13"/>
  <c r="W61" i="13"/>
  <c r="W62" i="13"/>
  <c r="W63" i="13"/>
  <c r="W71" i="13"/>
  <c r="W69" i="13"/>
  <c r="X84" i="13"/>
  <c r="Y84" i="13"/>
  <c r="Z84" i="13"/>
  <c r="W70" i="13"/>
  <c r="H201" i="13"/>
  <c r="E301" i="13"/>
  <c r="F309" i="13" s="1"/>
  <c r="E300" i="13"/>
  <c r="F308" i="13" s="1"/>
  <c r="B287" i="13"/>
  <c r="B286" i="13"/>
  <c r="G15" i="13"/>
  <c r="S15" i="13" s="1"/>
  <c r="G16" i="13"/>
  <c r="S16" i="13" s="1"/>
  <c r="G17" i="13"/>
  <c r="S17" i="13" s="1"/>
  <c r="G18" i="13"/>
  <c r="S18" i="13" s="1"/>
  <c r="G94" i="13"/>
  <c r="G95" i="13" s="1"/>
  <c r="G26" i="13"/>
  <c r="S26" i="13" s="1"/>
  <c r="G24" i="13"/>
  <c r="S24" i="13" s="1"/>
  <c r="G25" i="13"/>
  <c r="S25" i="13" s="1"/>
  <c r="G201" i="13"/>
  <c r="G20" i="13"/>
  <c r="S20" i="13" s="1"/>
  <c r="G21" i="13"/>
  <c r="S21" i="13" s="1"/>
  <c r="G22" i="13"/>
  <c r="S22" i="13" s="1"/>
  <c r="I294" i="13"/>
  <c r="H294" i="13"/>
  <c r="G294" i="13"/>
  <c r="F294" i="13"/>
  <c r="E294" i="13"/>
  <c r="Z86" i="13"/>
  <c r="Z85" i="13"/>
  <c r="Z83" i="13"/>
  <c r="Z82" i="13"/>
  <c r="Z81" i="13"/>
  <c r="Z80" i="13"/>
  <c r="Z79" i="13"/>
  <c r="Z78" i="13"/>
  <c r="Z77" i="13"/>
  <c r="Z76" i="13"/>
  <c r="Z75" i="13"/>
  <c r="Y86" i="13"/>
  <c r="Y85" i="13"/>
  <c r="Y83" i="13"/>
  <c r="Y82" i="13"/>
  <c r="Y81" i="13"/>
  <c r="Y80" i="13"/>
  <c r="Y79" i="13"/>
  <c r="Y78" i="13"/>
  <c r="Y77" i="13"/>
  <c r="Y76" i="13"/>
  <c r="Y75" i="13"/>
  <c r="X75" i="13"/>
  <c r="X86" i="13"/>
  <c r="X85" i="13"/>
  <c r="Y94" i="13"/>
  <c r="AA94" i="13" s="1"/>
  <c r="Z94" i="13"/>
  <c r="X95" i="13"/>
  <c r="Y95" i="13"/>
  <c r="AA95" i="13" s="1"/>
  <c r="Z95" i="13"/>
  <c r="X83" i="13"/>
  <c r="X82" i="13"/>
  <c r="X81" i="13"/>
  <c r="X80" i="13"/>
  <c r="X79" i="13"/>
  <c r="X78" i="13"/>
  <c r="X77" i="13"/>
  <c r="X76" i="13"/>
  <c r="AD71" i="13"/>
  <c r="AD70" i="13"/>
  <c r="AD69" i="13"/>
  <c r="AD68" i="13"/>
  <c r="AD67" i="13"/>
  <c r="AD66" i="13"/>
  <c r="AD65" i="13"/>
  <c r="AD64" i="13"/>
  <c r="AD63" i="13"/>
  <c r="AD62" i="13"/>
  <c r="AD61" i="13"/>
  <c r="AD60" i="13"/>
  <c r="AE72" i="13"/>
  <c r="AB71" i="13"/>
  <c r="AB70" i="13"/>
  <c r="AB69" i="13"/>
  <c r="AB68" i="13"/>
  <c r="AB67" i="13"/>
  <c r="AB66" i="13"/>
  <c r="AB65" i="13"/>
  <c r="AB64" i="13"/>
  <c r="AB63" i="13"/>
  <c r="AB62" i="13"/>
  <c r="AB61" i="13"/>
  <c r="AB60" i="13"/>
  <c r="Z71" i="13"/>
  <c r="Z70" i="13"/>
  <c r="Z69" i="13"/>
  <c r="Z68" i="13"/>
  <c r="Z67" i="13"/>
  <c r="Z66" i="13"/>
  <c r="Z65" i="13"/>
  <c r="Z64" i="13"/>
  <c r="Z63" i="13"/>
  <c r="Z62" i="13"/>
  <c r="Z61" i="13"/>
  <c r="Z60" i="13"/>
  <c r="X60" i="13"/>
  <c r="X61" i="13"/>
  <c r="X62" i="13"/>
  <c r="X63" i="13"/>
  <c r="X64" i="13"/>
  <c r="X65" i="13"/>
  <c r="X66" i="13"/>
  <c r="X67" i="13"/>
  <c r="Y67" i="13" s="1"/>
  <c r="X68" i="13"/>
  <c r="X69" i="13"/>
  <c r="X70" i="13"/>
  <c r="X71" i="13"/>
  <c r="I199" i="13"/>
  <c r="H199" i="13"/>
  <c r="G199" i="13"/>
  <c r="F199" i="13"/>
  <c r="E199" i="13"/>
  <c r="I264" i="13"/>
  <c r="H264" i="13"/>
  <c r="G264" i="13"/>
  <c r="F264" i="13"/>
  <c r="E264" i="13"/>
  <c r="H218" i="13"/>
  <c r="H128" i="13"/>
  <c r="H110" i="13"/>
  <c r="H150" i="13"/>
  <c r="Z150" i="13"/>
  <c r="H166" i="13"/>
  <c r="E150" i="13"/>
  <c r="Z162" i="13"/>
  <c r="T162" i="13"/>
  <c r="Q13" i="13"/>
  <c r="Q79" i="13" s="1"/>
  <c r="AX189" i="13"/>
  <c r="C187" i="13"/>
  <c r="B240" i="13"/>
  <c r="B239" i="13"/>
  <c r="AV150" i="13"/>
  <c r="AW150" i="13"/>
  <c r="AX150" i="13"/>
  <c r="AY150" i="13"/>
  <c r="AU150" i="13"/>
  <c r="C317" i="13"/>
  <c r="C316" i="13"/>
  <c r="I218" i="13"/>
  <c r="G218" i="13"/>
  <c r="F218" i="13"/>
  <c r="E218" i="13"/>
  <c r="B210" i="13"/>
  <c r="B209" i="13"/>
  <c r="H175" i="13"/>
  <c r="I166" i="13"/>
  <c r="G166" i="13"/>
  <c r="F166" i="13"/>
  <c r="E166" i="13"/>
  <c r="I150" i="13"/>
  <c r="G150" i="13"/>
  <c r="F150" i="13"/>
  <c r="B144" i="13"/>
  <c r="B143" i="13"/>
  <c r="I128" i="13"/>
  <c r="G128" i="13"/>
  <c r="F128" i="13"/>
  <c r="E128" i="13"/>
  <c r="I110" i="13"/>
  <c r="G110" i="13"/>
  <c r="F110" i="13"/>
  <c r="E110" i="13"/>
  <c r="B104" i="13"/>
  <c r="B103" i="13"/>
  <c r="I92" i="13"/>
  <c r="G92" i="13"/>
  <c r="F92" i="13"/>
  <c r="E92" i="13"/>
  <c r="U13" i="13"/>
  <c r="U58" i="13" s="1"/>
  <c r="U31" i="13"/>
  <c r="T13" i="13"/>
  <c r="S13" i="13"/>
  <c r="S58" i="13"/>
  <c r="R13" i="13"/>
  <c r="R58" i="13" s="1"/>
  <c r="I58" i="13"/>
  <c r="G58" i="13"/>
  <c r="F58" i="13"/>
  <c r="E58" i="13"/>
  <c r="B53" i="13"/>
  <c r="B52" i="13"/>
  <c r="S31" i="13"/>
  <c r="I31" i="13"/>
  <c r="H31" i="13"/>
  <c r="G31" i="13"/>
  <c r="F31" i="13"/>
  <c r="E31" i="13"/>
  <c r="AH72" i="13"/>
  <c r="Y94" i="10"/>
  <c r="Z94" i="10"/>
  <c r="W75" i="10"/>
  <c r="V75" i="10" s="1"/>
  <c r="W76" i="10"/>
  <c r="V76" i="10" s="1"/>
  <c r="W77" i="10"/>
  <c r="V77" i="10"/>
  <c r="W78" i="10"/>
  <c r="V78" i="10" s="1"/>
  <c r="W79" i="10"/>
  <c r="V79" i="10"/>
  <c r="W80" i="10"/>
  <c r="V80" i="10" s="1"/>
  <c r="W81" i="10"/>
  <c r="V81" i="10" s="1"/>
  <c r="W82" i="10"/>
  <c r="V82" i="10" s="1"/>
  <c r="W83" i="10"/>
  <c r="V83" i="10" s="1"/>
  <c r="W84" i="10"/>
  <c r="V84" i="10" s="1"/>
  <c r="W85" i="10"/>
  <c r="V85" i="10" s="1"/>
  <c r="W86" i="10"/>
  <c r="V86" i="10" s="1"/>
  <c r="Y95" i="10"/>
  <c r="Z95" i="10"/>
  <c r="Z87" i="10"/>
  <c r="Y87" i="10"/>
  <c r="H92" i="10"/>
  <c r="Q23" i="10"/>
  <c r="D87" i="10"/>
  <c r="E87" i="10" s="1"/>
  <c r="Q20" i="10"/>
  <c r="Q21" i="10"/>
  <c r="Q22" i="10"/>
  <c r="E84" i="10"/>
  <c r="D85" i="10"/>
  <c r="E85" i="10" s="1"/>
  <c r="D86" i="10"/>
  <c r="E86" i="10" s="1"/>
  <c r="I85" i="10"/>
  <c r="I86" i="10" s="1"/>
  <c r="I87" i="10" s="1"/>
  <c r="Q167" i="10"/>
  <c r="W167" i="10" s="1"/>
  <c r="Q19" i="10"/>
  <c r="D83" i="10"/>
  <c r="E83" i="10" s="1"/>
  <c r="Q18" i="10"/>
  <c r="E79" i="10"/>
  <c r="D80" i="10"/>
  <c r="E80" i="10" s="1"/>
  <c r="D81" i="10"/>
  <c r="E81" i="10" s="1"/>
  <c r="D82" i="10"/>
  <c r="E82" i="10" s="1"/>
  <c r="I80" i="10"/>
  <c r="I81" i="10"/>
  <c r="I82" i="10"/>
  <c r="I83" i="10"/>
  <c r="Q26" i="10"/>
  <c r="D90" i="10"/>
  <c r="E90" i="10" s="1"/>
  <c r="I90" i="10"/>
  <c r="Q24" i="10"/>
  <c r="Q25" i="10"/>
  <c r="D88" i="10"/>
  <c r="E88" i="10" s="1"/>
  <c r="D89" i="10"/>
  <c r="E89" i="10" s="1"/>
  <c r="I88" i="10"/>
  <c r="I89" i="10"/>
  <c r="Q172" i="10"/>
  <c r="W172" i="10" s="1"/>
  <c r="R23" i="10"/>
  <c r="R20" i="10"/>
  <c r="R21" i="10"/>
  <c r="R22" i="10"/>
  <c r="R19" i="10"/>
  <c r="R18" i="10"/>
  <c r="R26" i="10"/>
  <c r="R24" i="10"/>
  <c r="R25" i="10"/>
  <c r="S23" i="10"/>
  <c r="S20" i="10"/>
  <c r="S21" i="10"/>
  <c r="S22" i="10"/>
  <c r="S19" i="10"/>
  <c r="S15" i="10"/>
  <c r="S16" i="10"/>
  <c r="S17" i="10"/>
  <c r="S18" i="10"/>
  <c r="S26" i="10"/>
  <c r="S24" i="10"/>
  <c r="S25" i="10"/>
  <c r="T23" i="10"/>
  <c r="T20" i="10"/>
  <c r="T21" i="10"/>
  <c r="T22" i="10"/>
  <c r="T19" i="10"/>
  <c r="T15" i="10"/>
  <c r="T16" i="10"/>
  <c r="T17" i="10"/>
  <c r="T18" i="10"/>
  <c r="T26" i="10"/>
  <c r="T24" i="10"/>
  <c r="T25" i="10"/>
  <c r="U23" i="10"/>
  <c r="U20" i="10"/>
  <c r="U21" i="10"/>
  <c r="U22" i="10"/>
  <c r="U19" i="10"/>
  <c r="U15" i="10"/>
  <c r="U16" i="10"/>
  <c r="U17" i="10"/>
  <c r="U18" i="10"/>
  <c r="U26" i="10"/>
  <c r="U24" i="10"/>
  <c r="U25" i="10"/>
  <c r="B288" i="10"/>
  <c r="B287" i="10"/>
  <c r="I201" i="10"/>
  <c r="H201" i="10"/>
  <c r="G201" i="10"/>
  <c r="F201" i="10"/>
  <c r="E201" i="10"/>
  <c r="I266" i="10"/>
  <c r="H266" i="10"/>
  <c r="G266" i="10"/>
  <c r="F266" i="10"/>
  <c r="E266" i="10"/>
  <c r="H220" i="10"/>
  <c r="Q63" i="10"/>
  <c r="Q67" i="10"/>
  <c r="H128" i="10"/>
  <c r="H110" i="10"/>
  <c r="H150" i="10"/>
  <c r="AC150" i="10" s="1"/>
  <c r="H166" i="10"/>
  <c r="Z72" i="10"/>
  <c r="E150" i="10"/>
  <c r="Z162" i="10" s="1"/>
  <c r="T162" i="10"/>
  <c r="Q13" i="10"/>
  <c r="Q79" i="10" s="1"/>
  <c r="C312" i="10"/>
  <c r="AX189" i="10"/>
  <c r="C187" i="10"/>
  <c r="B242" i="10"/>
  <c r="B241" i="10"/>
  <c r="T150" i="10"/>
  <c r="C311" i="10"/>
  <c r="AV150" i="10"/>
  <c r="AW150" i="10"/>
  <c r="AX150" i="10"/>
  <c r="AY150" i="10"/>
  <c r="AU150" i="10"/>
  <c r="C316" i="10"/>
  <c r="C315" i="10"/>
  <c r="C314" i="10"/>
  <c r="I220" i="10"/>
  <c r="G220" i="10"/>
  <c r="F220" i="10"/>
  <c r="E220" i="10"/>
  <c r="B212" i="10"/>
  <c r="B211" i="10"/>
  <c r="H175" i="10"/>
  <c r="I166" i="10"/>
  <c r="G166" i="10"/>
  <c r="F166" i="10"/>
  <c r="E166" i="10"/>
  <c r="I150" i="10"/>
  <c r="G150" i="10"/>
  <c r="F150" i="10"/>
  <c r="B144" i="10"/>
  <c r="B143" i="10"/>
  <c r="I128" i="10"/>
  <c r="G128" i="10"/>
  <c r="F128" i="10"/>
  <c r="E128" i="10"/>
  <c r="I110" i="10"/>
  <c r="G110" i="10"/>
  <c r="F110" i="10"/>
  <c r="E110" i="10"/>
  <c r="B104" i="10"/>
  <c r="B103" i="10"/>
  <c r="I92" i="10"/>
  <c r="G92" i="10"/>
  <c r="F92" i="10"/>
  <c r="E92" i="10"/>
  <c r="U13" i="10"/>
  <c r="U58" i="10" s="1"/>
  <c r="T13" i="10"/>
  <c r="T79" i="10" s="1"/>
  <c r="S13" i="10"/>
  <c r="S31" i="10" s="1"/>
  <c r="R13" i="10"/>
  <c r="R58" i="10" s="1"/>
  <c r="AB72" i="10"/>
  <c r="I58" i="10"/>
  <c r="G58" i="10"/>
  <c r="F58" i="10"/>
  <c r="E58" i="10"/>
  <c r="B53" i="10"/>
  <c r="B52" i="10"/>
  <c r="I31" i="10"/>
  <c r="H31" i="10"/>
  <c r="G31" i="10"/>
  <c r="F31" i="10"/>
  <c r="E31" i="10"/>
  <c r="B3" i="14"/>
  <c r="F131" i="14"/>
  <c r="G131" i="14"/>
  <c r="H131" i="14"/>
  <c r="I131" i="14"/>
  <c r="E131" i="14"/>
  <c r="B157" i="14"/>
  <c r="B156" i="14"/>
  <c r="B53" i="14"/>
  <c r="B52" i="14"/>
  <c r="B51" i="14"/>
  <c r="B50" i="14"/>
  <c r="B49" i="14"/>
  <c r="B48" i="14"/>
  <c r="B47" i="14"/>
  <c r="T79" i="13"/>
  <c r="T31" i="13"/>
  <c r="T150" i="13"/>
  <c r="AC162" i="10"/>
  <c r="T58" i="13"/>
  <c r="T69" i="13"/>
  <c r="Q150" i="13"/>
  <c r="AC150" i="13"/>
  <c r="Q69" i="13"/>
  <c r="AC162" i="13"/>
  <c r="W162" i="13"/>
  <c r="Q162" i="13"/>
  <c r="AC150" i="11"/>
  <c r="W150" i="11"/>
  <c r="Q150" i="11"/>
  <c r="T150" i="11"/>
  <c r="AA94" i="11"/>
  <c r="W150" i="13"/>
  <c r="R58" i="11"/>
  <c r="R31" i="11"/>
  <c r="R31" i="13"/>
  <c r="U31" i="10"/>
  <c r="AC162" i="11"/>
  <c r="Q162" i="11"/>
  <c r="Z162" i="11"/>
  <c r="T162" i="11"/>
  <c r="S58" i="11"/>
  <c r="S31" i="11"/>
  <c r="AA65" i="13" l="1"/>
  <c r="F60" i="11"/>
  <c r="R60" i="11" s="1"/>
  <c r="AG61" i="13"/>
  <c r="H65" i="10"/>
  <c r="T42" i="10"/>
  <c r="AG62" i="13"/>
  <c r="H34" i="13"/>
  <c r="T34" i="13" s="1"/>
  <c r="T35" i="10"/>
  <c r="E44" i="13"/>
  <c r="Q44" i="13" s="1"/>
  <c r="AA70" i="11"/>
  <c r="AA62" i="13"/>
  <c r="E34" i="11"/>
  <c r="Q34" i="11" s="1"/>
  <c r="Q31" i="13"/>
  <c r="Q58" i="13"/>
  <c r="E97" i="13"/>
  <c r="Q58" i="10"/>
  <c r="AA95" i="10"/>
  <c r="F70" i="13"/>
  <c r="F66" i="13"/>
  <c r="S95" i="10"/>
  <c r="AG62" i="11"/>
  <c r="AA94" i="10"/>
  <c r="AB82" i="10" s="1"/>
  <c r="AC82" i="10" s="1"/>
  <c r="F65" i="13"/>
  <c r="F61" i="13"/>
  <c r="Q31" i="10"/>
  <c r="G97" i="10"/>
  <c r="I70" i="11"/>
  <c r="AB86" i="10"/>
  <c r="AC86" i="10" s="1"/>
  <c r="F69" i="13"/>
  <c r="W150" i="10"/>
  <c r="G60" i="10"/>
  <c r="G60" i="11" s="1"/>
  <c r="AC60" i="13"/>
  <c r="AC60" i="11"/>
  <c r="I97" i="10"/>
  <c r="Q69" i="10"/>
  <c r="R31" i="10"/>
  <c r="Z150" i="10"/>
  <c r="T31" i="10"/>
  <c r="Q150" i="10"/>
  <c r="F68" i="13"/>
  <c r="I69" i="11"/>
  <c r="G65" i="10"/>
  <c r="AC65" i="11"/>
  <c r="AC65" i="13"/>
  <c r="G61" i="10"/>
  <c r="G61" i="11" s="1"/>
  <c r="AC61" i="11"/>
  <c r="AC61" i="13"/>
  <c r="G71" i="10"/>
  <c r="G71" i="11" s="1"/>
  <c r="AC71" i="11"/>
  <c r="AC71" i="13"/>
  <c r="G68" i="10"/>
  <c r="G68" i="13" s="1"/>
  <c r="AC68" i="11"/>
  <c r="AC68" i="13"/>
  <c r="G64" i="10"/>
  <c r="G64" i="11" s="1"/>
  <c r="AC64" i="11"/>
  <c r="AC64" i="13"/>
  <c r="Y67" i="11"/>
  <c r="Y64" i="11"/>
  <c r="I63" i="11"/>
  <c r="G70" i="10"/>
  <c r="G70" i="13" s="1"/>
  <c r="AC70" i="11"/>
  <c r="AC70" i="13"/>
  <c r="G67" i="10"/>
  <c r="G67" i="11" s="1"/>
  <c r="AC67" i="11"/>
  <c r="AC67" i="13"/>
  <c r="G63" i="10"/>
  <c r="G63" i="13" s="1"/>
  <c r="AC63" i="11"/>
  <c r="AC63" i="13"/>
  <c r="Y64" i="13"/>
  <c r="W79" i="13"/>
  <c r="V79" i="13" s="1"/>
  <c r="AB79" i="13" s="1"/>
  <c r="AC79" i="13" s="1"/>
  <c r="G69" i="10"/>
  <c r="G69" i="11" s="1"/>
  <c r="AC69" i="11"/>
  <c r="AC69" i="13"/>
  <c r="G66" i="10"/>
  <c r="G66" i="13" s="1"/>
  <c r="AC66" i="11"/>
  <c r="AC66" i="13"/>
  <c r="G62" i="10"/>
  <c r="G62" i="11" s="1"/>
  <c r="AC62" i="11"/>
  <c r="AC62" i="13"/>
  <c r="Y65" i="11"/>
  <c r="Y62" i="13"/>
  <c r="Y71" i="13"/>
  <c r="Y60" i="11"/>
  <c r="W86" i="13"/>
  <c r="V86" i="13" s="1"/>
  <c r="AB86" i="13" s="1"/>
  <c r="AC86" i="13" s="1"/>
  <c r="Y60" i="13"/>
  <c r="W78" i="11"/>
  <c r="V78" i="11" s="1"/>
  <c r="AB78" i="11" s="1"/>
  <c r="AC78" i="11" s="1"/>
  <c r="W81" i="11"/>
  <c r="V81" i="11" s="1"/>
  <c r="AB81" i="11" s="1"/>
  <c r="AC81" i="11" s="1"/>
  <c r="W82" i="11"/>
  <c r="V82" i="11" s="1"/>
  <c r="AB82" i="11" s="1"/>
  <c r="AC82" i="11" s="1"/>
  <c r="W86" i="11"/>
  <c r="V86" i="11" s="1"/>
  <c r="AB86" i="11" s="1"/>
  <c r="AC86" i="11" s="1"/>
  <c r="Y62" i="11"/>
  <c r="Y70" i="13"/>
  <c r="W77" i="13"/>
  <c r="V77" i="13" s="1"/>
  <c r="AB77" i="13" s="1"/>
  <c r="AC77" i="13" s="1"/>
  <c r="W75" i="13"/>
  <c r="V75" i="13" s="1"/>
  <c r="AB75" i="13" s="1"/>
  <c r="AC75" i="13" s="1"/>
  <c r="Y63" i="13"/>
  <c r="Y68" i="13"/>
  <c r="W79" i="11"/>
  <c r="V79" i="11" s="1"/>
  <c r="AB79" i="11" s="1"/>
  <c r="AC79" i="11" s="1"/>
  <c r="Q167" i="13"/>
  <c r="W167" i="13" s="1"/>
  <c r="Y71" i="11"/>
  <c r="AD77" i="11"/>
  <c r="W85" i="11"/>
  <c r="V85" i="11" s="1"/>
  <c r="AB85" i="11" s="1"/>
  <c r="AC85" i="11" s="1"/>
  <c r="Y66" i="11"/>
  <c r="F97" i="10"/>
  <c r="T69" i="10"/>
  <c r="W78" i="13"/>
  <c r="V78" i="13" s="1"/>
  <c r="AB78" i="13" s="1"/>
  <c r="AC78" i="13" s="1"/>
  <c r="W84" i="11"/>
  <c r="V84" i="11" s="1"/>
  <c r="AB84" i="11" s="1"/>
  <c r="AC84" i="11" s="1"/>
  <c r="Y69" i="11"/>
  <c r="I64" i="13"/>
  <c r="S58" i="10"/>
  <c r="E97" i="10"/>
  <c r="Q63" i="13"/>
  <c r="Q162" i="10"/>
  <c r="T58" i="10"/>
  <c r="AY152" i="10"/>
  <c r="Y65" i="13"/>
  <c r="AB72" i="13"/>
  <c r="AD77" i="13"/>
  <c r="AD72" i="11"/>
  <c r="Y68" i="11"/>
  <c r="Y72" i="10"/>
  <c r="I68" i="13"/>
  <c r="AY152" i="13" s="1"/>
  <c r="I71" i="13"/>
  <c r="I67" i="11"/>
  <c r="AY152" i="11" s="1"/>
  <c r="I60" i="13"/>
  <c r="W82" i="13"/>
  <c r="V82" i="13" s="1"/>
  <c r="AB82" i="13" s="1"/>
  <c r="AC82" i="13" s="1"/>
  <c r="Y61" i="11"/>
  <c r="F62" i="13"/>
  <c r="W162" i="10"/>
  <c r="Z72" i="13"/>
  <c r="T30" i="13"/>
  <c r="I117" i="10"/>
  <c r="I135" i="10" s="1"/>
  <c r="Q30" i="11"/>
  <c r="R64" i="10"/>
  <c r="U60" i="10"/>
  <c r="W83" i="13"/>
  <c r="V83" i="13" s="1"/>
  <c r="AB83" i="13" s="1"/>
  <c r="AC83" i="13" s="1"/>
  <c r="W84" i="13"/>
  <c r="V84" i="13" s="1"/>
  <c r="AB84" i="13" s="1"/>
  <c r="AC84" i="13" s="1"/>
  <c r="Y70" i="11"/>
  <c r="AB72" i="11"/>
  <c r="W80" i="11"/>
  <c r="V80" i="11" s="1"/>
  <c r="AB80" i="11" s="1"/>
  <c r="AC80" i="11" s="1"/>
  <c r="Q172" i="13"/>
  <c r="W172" i="13" s="1"/>
  <c r="W76" i="13"/>
  <c r="V76" i="13" s="1"/>
  <c r="AB76" i="13" s="1"/>
  <c r="AC76" i="13" s="1"/>
  <c r="W80" i="13"/>
  <c r="V80" i="13" s="1"/>
  <c r="AB80" i="13" s="1"/>
  <c r="AC80" i="13" s="1"/>
  <c r="W85" i="13"/>
  <c r="V85" i="13" s="1"/>
  <c r="AB85" i="13" s="1"/>
  <c r="AC85" i="13" s="1"/>
  <c r="W81" i="13"/>
  <c r="V81" i="13" s="1"/>
  <c r="AB81" i="13" s="1"/>
  <c r="AC81" i="13" s="1"/>
  <c r="X72" i="11"/>
  <c r="Z72" i="11"/>
  <c r="W76" i="11"/>
  <c r="V76" i="11" s="1"/>
  <c r="AB76" i="11" s="1"/>
  <c r="AC76" i="11" s="1"/>
  <c r="W77" i="11"/>
  <c r="V77" i="11" s="1"/>
  <c r="AB77" i="11" s="1"/>
  <c r="AC77" i="11" s="1"/>
  <c r="W83" i="11"/>
  <c r="V83" i="11" s="1"/>
  <c r="AB83" i="11" s="1"/>
  <c r="AC83" i="11" s="1"/>
  <c r="Y63" i="11"/>
  <c r="E248" i="10"/>
  <c r="Q63" i="11"/>
  <c r="W72" i="11"/>
  <c r="AD72" i="13"/>
  <c r="Q172" i="11"/>
  <c r="W172" i="11" s="1"/>
  <c r="E246" i="13"/>
  <c r="X72" i="13"/>
  <c r="Y69" i="13"/>
  <c r="Q67" i="13"/>
  <c r="E243" i="11"/>
  <c r="E116" i="14"/>
  <c r="F113" i="10"/>
  <c r="F131" i="10" s="1"/>
  <c r="I113" i="10"/>
  <c r="I131" i="10" s="1"/>
  <c r="AC72" i="10"/>
  <c r="G71" i="13"/>
  <c r="I168" i="11"/>
  <c r="I112" i="10"/>
  <c r="I130" i="10" s="1"/>
  <c r="W75" i="11"/>
  <c r="V75" i="11" s="1"/>
  <c r="AB75" i="11" s="1"/>
  <c r="AC75" i="11" s="1"/>
  <c r="W87" i="10"/>
  <c r="V87" i="10"/>
  <c r="I66" i="13"/>
  <c r="I118" i="10"/>
  <c r="I136" i="10" s="1"/>
  <c r="I66" i="11"/>
  <c r="I62" i="11"/>
  <c r="I110" i="14"/>
  <c r="U64" i="10"/>
  <c r="I65" i="13"/>
  <c r="I65" i="11"/>
  <c r="I61" i="11"/>
  <c r="I72" i="10"/>
  <c r="I114" i="10"/>
  <c r="I132" i="10" s="1"/>
  <c r="I116" i="10"/>
  <c r="I134" i="10" s="1"/>
  <c r="I156" i="10" s="1"/>
  <c r="G67" i="13"/>
  <c r="T95" i="10"/>
  <c r="F112" i="10"/>
  <c r="F130" i="10" s="1"/>
  <c r="F152" i="10" s="1"/>
  <c r="F72" i="10"/>
  <c r="F114" i="10"/>
  <c r="F132" i="10" s="1"/>
  <c r="AV152" i="10"/>
  <c r="F71" i="13"/>
  <c r="F67" i="11"/>
  <c r="F112" i="11" s="1"/>
  <c r="F130" i="11" s="1"/>
  <c r="F152" i="11" s="1"/>
  <c r="F118" i="11"/>
  <c r="F136" i="11" s="1"/>
  <c r="F118" i="10"/>
  <c r="F136" i="10" s="1"/>
  <c r="F116" i="10"/>
  <c r="R60" i="10"/>
  <c r="F64" i="13"/>
  <c r="F63" i="13"/>
  <c r="F117" i="10"/>
  <c r="F135" i="10" s="1"/>
  <c r="Q167" i="11"/>
  <c r="W167" i="11" s="1"/>
  <c r="Y66" i="13"/>
  <c r="Y61" i="13"/>
  <c r="Q67" i="11"/>
  <c r="W72" i="13"/>
  <c r="H68" i="10"/>
  <c r="T38" i="10"/>
  <c r="H38" i="13"/>
  <c r="T38" i="13" s="1"/>
  <c r="H63" i="10"/>
  <c r="H63" i="13" s="1"/>
  <c r="AG67" i="11"/>
  <c r="H36" i="11"/>
  <c r="T36" i="11" s="1"/>
  <c r="T36" i="10"/>
  <c r="AG63" i="13"/>
  <c r="Q42" i="10"/>
  <c r="AA65" i="11"/>
  <c r="E42" i="11"/>
  <c r="Q42" i="11" s="1"/>
  <c r="Q34" i="10"/>
  <c r="G65" i="11" l="1"/>
  <c r="E254" i="10"/>
  <c r="H65" i="11"/>
  <c r="E65" i="10"/>
  <c r="J65" i="10" s="1"/>
  <c r="Q44" i="10"/>
  <c r="E34" i="13"/>
  <c r="Q34" i="13" s="1"/>
  <c r="H42" i="11"/>
  <c r="T42" i="11" s="1"/>
  <c r="I116" i="13"/>
  <c r="I134" i="13" s="1"/>
  <c r="I156" i="13" s="1"/>
  <c r="E44" i="11"/>
  <c r="Q44" i="11" s="1"/>
  <c r="AG65" i="11"/>
  <c r="T34" i="10"/>
  <c r="AG61" i="11"/>
  <c r="H42" i="13"/>
  <c r="T42" i="13" s="1"/>
  <c r="H35" i="11"/>
  <c r="T35" i="11" s="1"/>
  <c r="H34" i="11"/>
  <c r="T34" i="11" s="1"/>
  <c r="H35" i="13"/>
  <c r="T35" i="13" s="1"/>
  <c r="H61" i="10"/>
  <c r="H61" i="13" s="1"/>
  <c r="I168" i="13"/>
  <c r="H65" i="13"/>
  <c r="F116" i="11"/>
  <c r="F134" i="11" s="1"/>
  <c r="F156" i="11" s="1"/>
  <c r="F117" i="11"/>
  <c r="F135" i="11" s="1"/>
  <c r="G60" i="13"/>
  <c r="H62" i="10"/>
  <c r="H62" i="11" s="1"/>
  <c r="AG65" i="13"/>
  <c r="E62" i="10"/>
  <c r="AA62" i="11"/>
  <c r="E70" i="10"/>
  <c r="M70" i="10" s="1"/>
  <c r="AA70" i="13"/>
  <c r="F112" i="13"/>
  <c r="F130" i="13" s="1"/>
  <c r="F152" i="13" s="1"/>
  <c r="G63" i="11"/>
  <c r="G62" i="13"/>
  <c r="AB83" i="10"/>
  <c r="AC83" i="10" s="1"/>
  <c r="AB75" i="10"/>
  <c r="AC75" i="10" s="1"/>
  <c r="AB76" i="10"/>
  <c r="AC76" i="10" s="1"/>
  <c r="AB77" i="10"/>
  <c r="AC77" i="10" s="1"/>
  <c r="F113" i="13"/>
  <c r="F131" i="13" s="1"/>
  <c r="AB78" i="10"/>
  <c r="AC78" i="10" s="1"/>
  <c r="AB79" i="10"/>
  <c r="AC79" i="10" s="1"/>
  <c r="AB80" i="10"/>
  <c r="AC80" i="10" s="1"/>
  <c r="AV152" i="13"/>
  <c r="AB84" i="10"/>
  <c r="AC84" i="10" s="1"/>
  <c r="AB81" i="10"/>
  <c r="AC81" i="10" s="1"/>
  <c r="AB85" i="10"/>
  <c r="AC85" i="10" s="1"/>
  <c r="G110" i="14"/>
  <c r="G65" i="13"/>
  <c r="G113" i="13" s="1"/>
  <c r="G131" i="13" s="1"/>
  <c r="R64" i="13"/>
  <c r="F295" i="13"/>
  <c r="F114" i="13"/>
  <c r="F132" i="13" s="1"/>
  <c r="G112" i="10"/>
  <c r="G130" i="10" s="1"/>
  <c r="G152" i="10" s="1"/>
  <c r="G64" i="13"/>
  <c r="S64" i="10"/>
  <c r="AW152" i="10"/>
  <c r="G70" i="11"/>
  <c r="G114" i="10"/>
  <c r="G132" i="10" s="1"/>
  <c r="G66" i="11"/>
  <c r="G72" i="10"/>
  <c r="G118" i="10"/>
  <c r="G136" i="10" s="1"/>
  <c r="G116" i="10"/>
  <c r="G134" i="10" s="1"/>
  <c r="G156" i="10" s="1"/>
  <c r="G113" i="10"/>
  <c r="G131" i="10" s="1"/>
  <c r="G117" i="10"/>
  <c r="G135" i="10" s="1"/>
  <c r="G61" i="13"/>
  <c r="G69" i="13"/>
  <c r="S60" i="10"/>
  <c r="G68" i="11"/>
  <c r="AW152" i="11" s="1"/>
  <c r="H168" i="13"/>
  <c r="F113" i="11"/>
  <c r="F131" i="11" s="1"/>
  <c r="AW152" i="13"/>
  <c r="I118" i="11"/>
  <c r="I136" i="11" s="1"/>
  <c r="I117" i="13"/>
  <c r="I135" i="13" s="1"/>
  <c r="I113" i="11"/>
  <c r="I131" i="11" s="1"/>
  <c r="Y72" i="11"/>
  <c r="U60" i="13"/>
  <c r="H168" i="11"/>
  <c r="AG68" i="11"/>
  <c r="I112" i="11"/>
  <c r="I130" i="11" s="1"/>
  <c r="I118" i="13"/>
  <c r="I136" i="13" s="1"/>
  <c r="F118" i="13"/>
  <c r="F136" i="13" s="1"/>
  <c r="E252" i="13"/>
  <c r="I116" i="14"/>
  <c r="I117" i="11"/>
  <c r="I135" i="11" s="1"/>
  <c r="I116" i="11"/>
  <c r="I134" i="11" s="1"/>
  <c r="I156" i="11" s="1"/>
  <c r="I114" i="11"/>
  <c r="I132" i="11" s="1"/>
  <c r="E249" i="11"/>
  <c r="AG67" i="13"/>
  <c r="AV165" i="10"/>
  <c r="AY160" i="10"/>
  <c r="AY156" i="10"/>
  <c r="AY168" i="10" s="1"/>
  <c r="I72" i="11"/>
  <c r="U60" i="11"/>
  <c r="I248" i="10"/>
  <c r="I258" i="10" s="1"/>
  <c r="I246" i="13"/>
  <c r="I256" i="13" s="1"/>
  <c r="I243" i="11"/>
  <c r="I253" i="11" s="1"/>
  <c r="I120" i="14"/>
  <c r="U64" i="11"/>
  <c r="I292" i="11"/>
  <c r="I120" i="10"/>
  <c r="I295" i="13"/>
  <c r="I114" i="13"/>
  <c r="I132" i="13" s="1"/>
  <c r="I113" i="13"/>
  <c r="I131" i="13" s="1"/>
  <c r="I112" i="13"/>
  <c r="U64" i="13"/>
  <c r="I72" i="13"/>
  <c r="I152" i="10"/>
  <c r="I138" i="10"/>
  <c r="AV156" i="10"/>
  <c r="AV152" i="11"/>
  <c r="AV165" i="11" s="1"/>
  <c r="F292" i="11"/>
  <c r="AV160" i="10"/>
  <c r="F114" i="11"/>
  <c r="F132" i="11" s="1"/>
  <c r="F72" i="11"/>
  <c r="AV160" i="11" s="1"/>
  <c r="R66" i="10"/>
  <c r="R65" i="10"/>
  <c r="R64" i="11"/>
  <c r="F120" i="10"/>
  <c r="F134" i="10"/>
  <c r="F72" i="13"/>
  <c r="R60" i="13"/>
  <c r="F293" i="11"/>
  <c r="F116" i="13"/>
  <c r="F117" i="13"/>
  <c r="F135" i="13" s="1"/>
  <c r="Y72" i="13"/>
  <c r="H67" i="10"/>
  <c r="H67" i="11" s="1"/>
  <c r="AG68" i="13"/>
  <c r="H63" i="11"/>
  <c r="AG69" i="13"/>
  <c r="AG69" i="11"/>
  <c r="H69" i="10"/>
  <c r="T41" i="10"/>
  <c r="H41" i="13"/>
  <c r="T41" i="13" s="1"/>
  <c r="H41" i="11"/>
  <c r="T41" i="11" s="1"/>
  <c r="H71" i="10"/>
  <c r="AG71" i="11"/>
  <c r="AG71" i="13"/>
  <c r="H43" i="11"/>
  <c r="T43" i="11" s="1"/>
  <c r="H43" i="13"/>
  <c r="T43" i="13" s="1"/>
  <c r="T43" i="10"/>
  <c r="H33" i="11"/>
  <c r="T33" i="10"/>
  <c r="H33" i="13"/>
  <c r="H40" i="11"/>
  <c r="T40" i="11" s="1"/>
  <c r="H40" i="13"/>
  <c r="T40" i="13" s="1"/>
  <c r="T40" i="10"/>
  <c r="H44" i="13"/>
  <c r="T44" i="13" s="1"/>
  <c r="T44" i="10"/>
  <c r="H44" i="11"/>
  <c r="T44" i="11" s="1"/>
  <c r="H37" i="13"/>
  <c r="T37" i="13" s="1"/>
  <c r="T37" i="10"/>
  <c r="H37" i="11"/>
  <c r="T37" i="11" s="1"/>
  <c r="AG66" i="13"/>
  <c r="H66" i="10"/>
  <c r="AG66" i="11"/>
  <c r="H68" i="13"/>
  <c r="H68" i="11"/>
  <c r="AG70" i="11"/>
  <c r="H70" i="10"/>
  <c r="AG70" i="13"/>
  <c r="AG60" i="11"/>
  <c r="H60" i="10"/>
  <c r="AG60" i="13"/>
  <c r="AG72" i="10"/>
  <c r="AG64" i="13"/>
  <c r="H64" i="10"/>
  <c r="AG64" i="11"/>
  <c r="T39" i="10"/>
  <c r="H39" i="13"/>
  <c r="T39" i="13" s="1"/>
  <c r="H39" i="11"/>
  <c r="T39" i="11" s="1"/>
  <c r="AA69" i="11"/>
  <c r="AA69" i="13"/>
  <c r="E69" i="10"/>
  <c r="E66" i="10"/>
  <c r="AA66" i="13"/>
  <c r="AA66" i="11"/>
  <c r="AA61" i="13"/>
  <c r="AA61" i="11"/>
  <c r="E61" i="10"/>
  <c r="E67" i="10"/>
  <c r="AA67" i="11"/>
  <c r="AA67" i="13"/>
  <c r="Q41" i="10"/>
  <c r="E41" i="13"/>
  <c r="Q41" i="13" s="1"/>
  <c r="E41" i="11"/>
  <c r="Q41" i="11" s="1"/>
  <c r="Q39" i="10"/>
  <c r="E39" i="11"/>
  <c r="Q39" i="11" s="1"/>
  <c r="E39" i="13"/>
  <c r="Q39" i="13" s="1"/>
  <c r="Q36" i="10"/>
  <c r="E36" i="13"/>
  <c r="Q36" i="13" s="1"/>
  <c r="E36" i="11"/>
  <c r="Q36" i="11" s="1"/>
  <c r="E33" i="11"/>
  <c r="E33" i="13"/>
  <c r="Q33" i="10"/>
  <c r="AA68" i="13"/>
  <c r="E68" i="10"/>
  <c r="AA68" i="11"/>
  <c r="E43" i="13"/>
  <c r="Q43" i="13" s="1"/>
  <c r="Q43" i="10"/>
  <c r="E43" i="11"/>
  <c r="Q43" i="11" s="1"/>
  <c r="Q38" i="10"/>
  <c r="E38" i="13"/>
  <c r="E38" i="11"/>
  <c r="E37" i="13"/>
  <c r="Q37" i="13" s="1"/>
  <c r="E37" i="11"/>
  <c r="Q37" i="11" s="1"/>
  <c r="Q37" i="10"/>
  <c r="AA60" i="13"/>
  <c r="AA60" i="11"/>
  <c r="E60" i="10"/>
  <c r="AA72" i="10"/>
  <c r="E35" i="11"/>
  <c r="Q35" i="11" s="1"/>
  <c r="Q35" i="10"/>
  <c r="E35" i="13"/>
  <c r="Q35" i="13" s="1"/>
  <c r="E71" i="10"/>
  <c r="AA71" i="11"/>
  <c r="AA71" i="13"/>
  <c r="AA64" i="11"/>
  <c r="AA64" i="13"/>
  <c r="E64" i="10"/>
  <c r="E40" i="11"/>
  <c r="Q40" i="11" s="1"/>
  <c r="E40" i="13"/>
  <c r="Q40" i="13" s="1"/>
  <c r="Q40" i="10"/>
  <c r="E63" i="10"/>
  <c r="AA63" i="13"/>
  <c r="AA63" i="11"/>
  <c r="AW160" i="10" l="1"/>
  <c r="G117" i="13"/>
  <c r="G135" i="13" s="1"/>
  <c r="H62" i="13"/>
  <c r="E65" i="11"/>
  <c r="M65" i="10"/>
  <c r="E65" i="13"/>
  <c r="J65" i="13" s="1"/>
  <c r="G117" i="11"/>
  <c r="G135" i="11" s="1"/>
  <c r="F97" i="13"/>
  <c r="H61" i="11"/>
  <c r="J62" i="10"/>
  <c r="F168" i="11"/>
  <c r="F168" i="13"/>
  <c r="E168" i="13"/>
  <c r="E168" i="11"/>
  <c r="F138" i="11"/>
  <c r="S60" i="11"/>
  <c r="G116" i="11"/>
  <c r="G134" i="11" s="1"/>
  <c r="G156" i="11" s="1"/>
  <c r="AV165" i="13"/>
  <c r="G160" i="10"/>
  <c r="E70" i="13"/>
  <c r="M70" i="13" s="1"/>
  <c r="E70" i="11"/>
  <c r="M70" i="11" s="1"/>
  <c r="M62" i="10"/>
  <c r="E62" i="13"/>
  <c r="M62" i="13" s="1"/>
  <c r="E62" i="11"/>
  <c r="G97" i="13"/>
  <c r="AB87" i="10"/>
  <c r="G116" i="13"/>
  <c r="G134" i="13" s="1"/>
  <c r="G156" i="13" s="1"/>
  <c r="AW165" i="10"/>
  <c r="G248" i="10"/>
  <c r="G258" i="10" s="1"/>
  <c r="G243" i="11"/>
  <c r="G253" i="11" s="1"/>
  <c r="G118" i="11"/>
  <c r="G136" i="11" s="1"/>
  <c r="G120" i="14"/>
  <c r="G246" i="13"/>
  <c r="G256" i="13" s="1"/>
  <c r="AC87" i="10"/>
  <c r="G292" i="11"/>
  <c r="S64" i="13"/>
  <c r="G114" i="13"/>
  <c r="G132" i="13" s="1"/>
  <c r="H67" i="13"/>
  <c r="G112" i="13"/>
  <c r="G130" i="13" s="1"/>
  <c r="G152" i="13" s="1"/>
  <c r="G295" i="13"/>
  <c r="G72" i="11"/>
  <c r="G293" i="11" s="1"/>
  <c r="G112" i="11"/>
  <c r="G130" i="11" s="1"/>
  <c r="G152" i="11" s="1"/>
  <c r="G114" i="11"/>
  <c r="G132" i="11" s="1"/>
  <c r="G116" i="14"/>
  <c r="G113" i="11"/>
  <c r="G131" i="11" s="1"/>
  <c r="T61" i="10"/>
  <c r="Q157" i="10" s="1"/>
  <c r="AW156" i="10"/>
  <c r="AW168" i="10" s="1"/>
  <c r="G118" i="13"/>
  <c r="G136" i="13" s="1"/>
  <c r="AX152" i="10"/>
  <c r="T65" i="10"/>
  <c r="Q153" i="10" s="1"/>
  <c r="G120" i="10"/>
  <c r="G72" i="13"/>
  <c r="G296" i="13" s="1"/>
  <c r="S60" i="13"/>
  <c r="I120" i="11"/>
  <c r="G138" i="10"/>
  <c r="S64" i="11"/>
  <c r="J168" i="10"/>
  <c r="AC72" i="11"/>
  <c r="AC72" i="13"/>
  <c r="G168" i="13"/>
  <c r="AG72" i="13"/>
  <c r="F120" i="11"/>
  <c r="AX152" i="13"/>
  <c r="G168" i="11"/>
  <c r="I293" i="11"/>
  <c r="AY156" i="11"/>
  <c r="AY168" i="11" s="1"/>
  <c r="AY160" i="11"/>
  <c r="I160" i="10"/>
  <c r="AY165" i="10"/>
  <c r="I130" i="13"/>
  <c r="I120" i="13"/>
  <c r="I296" i="13"/>
  <c r="AY156" i="13"/>
  <c r="AY168" i="13" s="1"/>
  <c r="AY160" i="13"/>
  <c r="AV156" i="11"/>
  <c r="AV168" i="11" s="1"/>
  <c r="F113" i="14"/>
  <c r="R65" i="11"/>
  <c r="R65" i="13"/>
  <c r="E189" i="10"/>
  <c r="E190" i="10" s="1"/>
  <c r="F160" i="11"/>
  <c r="AV172" i="11" s="1"/>
  <c r="F114" i="14"/>
  <c r="R66" i="11"/>
  <c r="R66" i="13"/>
  <c r="AV160" i="13"/>
  <c r="F296" i="13"/>
  <c r="AV156" i="13"/>
  <c r="F120" i="13"/>
  <c r="F134" i="13"/>
  <c r="F156" i="10"/>
  <c r="F138" i="10"/>
  <c r="E111" i="14"/>
  <c r="H69" i="11"/>
  <c r="H69" i="13"/>
  <c r="H71" i="11"/>
  <c r="H71" i="13"/>
  <c r="H64" i="13"/>
  <c r="H64" i="11"/>
  <c r="H72" i="10"/>
  <c r="H60" i="11"/>
  <c r="T60" i="10"/>
  <c r="T72" i="10"/>
  <c r="H60" i="13"/>
  <c r="H118" i="10"/>
  <c r="H136" i="10" s="1"/>
  <c r="H116" i="10"/>
  <c r="H134" i="10" s="1"/>
  <c r="T71" i="10"/>
  <c r="H117" i="10"/>
  <c r="H135" i="10" s="1"/>
  <c r="AG72" i="11"/>
  <c r="AX152" i="11"/>
  <c r="T33" i="11"/>
  <c r="H70" i="13"/>
  <c r="H70" i="11"/>
  <c r="J70" i="10"/>
  <c r="H66" i="11"/>
  <c r="T65" i="11" s="1"/>
  <c r="H66" i="13"/>
  <c r="H112" i="10"/>
  <c r="H111" i="14"/>
  <c r="H113" i="10"/>
  <c r="H131" i="10" s="1"/>
  <c r="T64" i="10"/>
  <c r="AX153" i="10"/>
  <c r="H114" i="10"/>
  <c r="H132" i="10" s="1"/>
  <c r="T75" i="10"/>
  <c r="T76" i="10"/>
  <c r="AX157" i="10"/>
  <c r="T33" i="13"/>
  <c r="M69" i="10"/>
  <c r="E69" i="11"/>
  <c r="E69" i="13"/>
  <c r="J69" i="10"/>
  <c r="E61" i="11"/>
  <c r="J61" i="10"/>
  <c r="M61" i="10"/>
  <c r="E61" i="13"/>
  <c r="R165" i="10"/>
  <c r="E66" i="13"/>
  <c r="E66" i="11"/>
  <c r="J66" i="10"/>
  <c r="M66" i="10"/>
  <c r="E60" i="11"/>
  <c r="Q60" i="10"/>
  <c r="E116" i="10"/>
  <c r="E134" i="10" s="1"/>
  <c r="E117" i="10"/>
  <c r="E135" i="10" s="1"/>
  <c r="Q71" i="10"/>
  <c r="Q72" i="10"/>
  <c r="E72" i="10"/>
  <c r="E118" i="10"/>
  <c r="E136" i="10" s="1"/>
  <c r="E60" i="13"/>
  <c r="J60" i="10"/>
  <c r="M60" i="10"/>
  <c r="R170" i="10"/>
  <c r="AA72" i="11"/>
  <c r="Q33" i="11"/>
  <c r="E63" i="13"/>
  <c r="J63" i="10"/>
  <c r="M63" i="10"/>
  <c r="E63" i="11"/>
  <c r="M64" i="10"/>
  <c r="E64" i="11"/>
  <c r="J64" i="10"/>
  <c r="E64" i="13"/>
  <c r="AA72" i="13"/>
  <c r="Q38" i="11"/>
  <c r="R166" i="10"/>
  <c r="R171" i="10"/>
  <c r="E71" i="13"/>
  <c r="E71" i="11"/>
  <c r="M71" i="10"/>
  <c r="J71" i="10"/>
  <c r="Q38" i="13"/>
  <c r="E68" i="11"/>
  <c r="E68" i="13"/>
  <c r="M68" i="10"/>
  <c r="J68" i="10"/>
  <c r="Q33" i="13"/>
  <c r="AU152" i="10"/>
  <c r="E67" i="11"/>
  <c r="E67" i="13"/>
  <c r="Q64" i="10"/>
  <c r="J67" i="10"/>
  <c r="E112" i="10"/>
  <c r="Q76" i="10"/>
  <c r="M67" i="10"/>
  <c r="E113" i="10"/>
  <c r="E131" i="10" s="1"/>
  <c r="Q75" i="10"/>
  <c r="E114" i="10"/>
  <c r="E132" i="10" s="1"/>
  <c r="I152" i="11"/>
  <c r="I138" i="11"/>
  <c r="AW172" i="10" l="1"/>
  <c r="AW173" i="10" s="1"/>
  <c r="J70" i="13"/>
  <c r="M65" i="13"/>
  <c r="M65" i="11"/>
  <c r="J65" i="11"/>
  <c r="E117" i="14"/>
  <c r="E253" i="13" s="1"/>
  <c r="H180" i="10"/>
  <c r="F208" i="10" s="1"/>
  <c r="F228" i="10" s="1"/>
  <c r="C11" i="19"/>
  <c r="C13" i="19" s="1"/>
  <c r="C17" i="19" s="1"/>
  <c r="J168" i="13"/>
  <c r="H180" i="13" s="1"/>
  <c r="F206" i="13" s="1"/>
  <c r="G121" i="14"/>
  <c r="G122" i="14" s="1"/>
  <c r="J168" i="11"/>
  <c r="H179" i="11" s="1"/>
  <c r="G201" i="11" s="1"/>
  <c r="G217" i="11" s="1"/>
  <c r="G263" i="11" s="1"/>
  <c r="G249" i="11"/>
  <c r="G254" i="11" s="1"/>
  <c r="G255" i="11" s="1"/>
  <c r="J70" i="11"/>
  <c r="J62" i="13"/>
  <c r="J62" i="11"/>
  <c r="M62" i="11"/>
  <c r="AW156" i="13"/>
  <c r="AW168" i="13" s="1"/>
  <c r="I97" i="13"/>
  <c r="H97" i="13"/>
  <c r="G138" i="11"/>
  <c r="G120" i="13"/>
  <c r="AW156" i="11"/>
  <c r="AW168" i="11" s="1"/>
  <c r="T62" i="10"/>
  <c r="Q158" i="10" s="1"/>
  <c r="G138" i="13"/>
  <c r="AW160" i="11"/>
  <c r="G254" i="10"/>
  <c r="G259" i="10" s="1"/>
  <c r="G260" i="10" s="1"/>
  <c r="G120" i="11"/>
  <c r="G252" i="13"/>
  <c r="G257" i="13" s="1"/>
  <c r="G258" i="13" s="1"/>
  <c r="AW160" i="13"/>
  <c r="T66" i="10"/>
  <c r="Q154" i="10" s="1"/>
  <c r="H179" i="10"/>
  <c r="E206" i="10" s="1"/>
  <c r="E186" i="11"/>
  <c r="E187" i="11" s="1"/>
  <c r="E244" i="11"/>
  <c r="E247" i="13"/>
  <c r="E112" i="14"/>
  <c r="E249" i="10"/>
  <c r="AV173" i="11"/>
  <c r="AX157" i="11"/>
  <c r="T61" i="13"/>
  <c r="Q157" i="13" s="1"/>
  <c r="G208" i="10"/>
  <c r="G228" i="10" s="1"/>
  <c r="H209" i="10"/>
  <c r="I152" i="13"/>
  <c r="I138" i="13"/>
  <c r="AY172" i="10"/>
  <c r="AY173" i="10" s="1"/>
  <c r="F246" i="11"/>
  <c r="F120" i="14"/>
  <c r="F251" i="10"/>
  <c r="F249" i="13"/>
  <c r="F116" i="14"/>
  <c r="F247" i="11"/>
  <c r="F252" i="10"/>
  <c r="F250" i="13"/>
  <c r="E189" i="13"/>
  <c r="E190" i="13" s="1"/>
  <c r="F160" i="10"/>
  <c r="AV168" i="10"/>
  <c r="F138" i="13"/>
  <c r="F156" i="13"/>
  <c r="AV168" i="13" s="1"/>
  <c r="G160" i="13"/>
  <c r="AW165" i="13"/>
  <c r="Q171" i="10"/>
  <c r="T73" i="10"/>
  <c r="T158" i="10" s="1"/>
  <c r="H120" i="10"/>
  <c r="H130" i="10"/>
  <c r="AX154" i="10"/>
  <c r="U61" i="10"/>
  <c r="T76" i="13"/>
  <c r="AX153" i="13"/>
  <c r="H112" i="13"/>
  <c r="H113" i="13"/>
  <c r="H131" i="13" s="1"/>
  <c r="H114" i="13"/>
  <c r="H132" i="13" s="1"/>
  <c r="H295" i="13"/>
  <c r="T75" i="13"/>
  <c r="T64" i="13"/>
  <c r="T72" i="11"/>
  <c r="H72" i="11"/>
  <c r="T71" i="11"/>
  <c r="T60" i="11"/>
  <c r="H118" i="11"/>
  <c r="H136" i="11" s="1"/>
  <c r="H117" i="11"/>
  <c r="H135" i="11" s="1"/>
  <c r="H116" i="11"/>
  <c r="H134" i="11" s="1"/>
  <c r="AX157" i="13"/>
  <c r="T77" i="10"/>
  <c r="T154" i="10" s="1"/>
  <c r="H112" i="11"/>
  <c r="T64" i="11"/>
  <c r="T66" i="11" s="1"/>
  <c r="Q154" i="11" s="1"/>
  <c r="H114" i="11"/>
  <c r="H132" i="11" s="1"/>
  <c r="H292" i="11"/>
  <c r="T76" i="11"/>
  <c r="AX153" i="11"/>
  <c r="AX154" i="11" s="1"/>
  <c r="T75" i="11"/>
  <c r="H113" i="11"/>
  <c r="H131" i="11" s="1"/>
  <c r="T61" i="11"/>
  <c r="H116" i="13"/>
  <c r="H134" i="13" s="1"/>
  <c r="T60" i="13"/>
  <c r="H118" i="13"/>
  <c r="H136" i="13" s="1"/>
  <c r="T71" i="13"/>
  <c r="T72" i="13"/>
  <c r="H72" i="13"/>
  <c r="H117" i="13"/>
  <c r="H135" i="13" s="1"/>
  <c r="U65" i="10"/>
  <c r="Q153" i="11"/>
  <c r="H156" i="10"/>
  <c r="AC159" i="10"/>
  <c r="T153" i="10"/>
  <c r="W153" i="10" s="1"/>
  <c r="H153" i="10" s="1"/>
  <c r="T86" i="10"/>
  <c r="T87" i="10" s="1"/>
  <c r="U76" i="10"/>
  <c r="T65" i="13"/>
  <c r="H247" i="13"/>
  <c r="H249" i="10"/>
  <c r="H117" i="14"/>
  <c r="H112" i="14"/>
  <c r="H244" i="11"/>
  <c r="T82" i="10"/>
  <c r="T83" i="10" s="1"/>
  <c r="U72" i="10"/>
  <c r="T157" i="10"/>
  <c r="W157" i="10" s="1"/>
  <c r="H157" i="10" s="1"/>
  <c r="AX156" i="10"/>
  <c r="AX160" i="10"/>
  <c r="R167" i="10"/>
  <c r="J66" i="11"/>
  <c r="M66" i="11"/>
  <c r="M69" i="13"/>
  <c r="J69" i="13"/>
  <c r="M61" i="11"/>
  <c r="J61" i="11"/>
  <c r="M61" i="13"/>
  <c r="J61" i="13"/>
  <c r="M66" i="13"/>
  <c r="J66" i="13"/>
  <c r="J69" i="11"/>
  <c r="M69" i="11"/>
  <c r="J131" i="10"/>
  <c r="E120" i="10"/>
  <c r="E130" i="10"/>
  <c r="M67" i="11"/>
  <c r="E292" i="11"/>
  <c r="AU152" i="11"/>
  <c r="J67" i="11"/>
  <c r="Q76" i="11"/>
  <c r="Q64" i="11"/>
  <c r="E113" i="11"/>
  <c r="E131" i="11" s="1"/>
  <c r="E114" i="11"/>
  <c r="E132" i="11" s="1"/>
  <c r="Q75" i="11"/>
  <c r="E112" i="11"/>
  <c r="R171" i="13"/>
  <c r="M68" i="13"/>
  <c r="J68" i="13"/>
  <c r="M71" i="11"/>
  <c r="J71" i="11"/>
  <c r="J63" i="13"/>
  <c r="M63" i="13"/>
  <c r="R172" i="10"/>
  <c r="M72" i="10"/>
  <c r="Q170" i="10"/>
  <c r="Q61" i="10"/>
  <c r="Q82" i="10" s="1"/>
  <c r="Q83" i="10" s="1"/>
  <c r="AU160" i="10"/>
  <c r="J72" i="10"/>
  <c r="AU156" i="10"/>
  <c r="J135" i="10"/>
  <c r="Q165" i="10"/>
  <c r="Q65" i="10"/>
  <c r="Q86" i="10" s="1"/>
  <c r="Q87" i="10" s="1"/>
  <c r="R170" i="13"/>
  <c r="M68" i="11"/>
  <c r="J68" i="11"/>
  <c r="M71" i="13"/>
  <c r="J71" i="13"/>
  <c r="Q166" i="10"/>
  <c r="R165" i="11"/>
  <c r="J64" i="13"/>
  <c r="M64" i="13"/>
  <c r="J63" i="11"/>
  <c r="M63" i="11"/>
  <c r="R72" i="10"/>
  <c r="T170" i="10"/>
  <c r="J134" i="10"/>
  <c r="E156" i="10"/>
  <c r="AC173" i="10"/>
  <c r="J132" i="10"/>
  <c r="R76" i="10"/>
  <c r="T165" i="10"/>
  <c r="R165" i="13"/>
  <c r="R166" i="11"/>
  <c r="R170" i="11"/>
  <c r="E72" i="13"/>
  <c r="E118" i="13"/>
  <c r="E136" i="13" s="1"/>
  <c r="E116" i="13"/>
  <c r="E134" i="13" s="1"/>
  <c r="Q71" i="13"/>
  <c r="J60" i="13"/>
  <c r="Q60" i="13"/>
  <c r="E117" i="13"/>
  <c r="E135" i="13" s="1"/>
  <c r="Q72" i="13"/>
  <c r="M60" i="13"/>
  <c r="J136" i="10"/>
  <c r="Q77" i="10"/>
  <c r="T166" i="10" s="1"/>
  <c r="J67" i="13"/>
  <c r="M67" i="13"/>
  <c r="AU152" i="13"/>
  <c r="E113" i="13"/>
  <c r="E131" i="13" s="1"/>
  <c r="Q64" i="13"/>
  <c r="E112" i="13"/>
  <c r="E295" i="13"/>
  <c r="Q76" i="13"/>
  <c r="Q75" i="13"/>
  <c r="E114" i="13"/>
  <c r="E132" i="13" s="1"/>
  <c r="R166" i="13"/>
  <c r="Q62" i="10"/>
  <c r="Q66" i="10"/>
  <c r="J64" i="11"/>
  <c r="M64" i="11"/>
  <c r="R171" i="11"/>
  <c r="Q73" i="10"/>
  <c r="T171" i="10" s="1"/>
  <c r="Q71" i="11"/>
  <c r="M60" i="11"/>
  <c r="Q60" i="11"/>
  <c r="E72" i="11"/>
  <c r="J60" i="11"/>
  <c r="Q72" i="11"/>
  <c r="E118" i="11"/>
  <c r="E136" i="11" s="1"/>
  <c r="E116" i="11"/>
  <c r="E134" i="11" s="1"/>
  <c r="E117" i="11"/>
  <c r="E135" i="11" s="1"/>
  <c r="AW165" i="11"/>
  <c r="G160" i="11"/>
  <c r="I160" i="11"/>
  <c r="AY165" i="11"/>
  <c r="G206" i="13" l="1"/>
  <c r="G226" i="13" s="1"/>
  <c r="G272" i="13" s="1"/>
  <c r="H179" i="13"/>
  <c r="G204" i="13" s="1"/>
  <c r="G220" i="13" s="1"/>
  <c r="G266" i="13" s="1"/>
  <c r="G277" i="13" s="1"/>
  <c r="E209" i="10"/>
  <c r="I208" i="10"/>
  <c r="I228" i="10" s="1"/>
  <c r="E208" i="10"/>
  <c r="E228" i="10" s="1"/>
  <c r="E274" i="10" s="1"/>
  <c r="G274" i="10"/>
  <c r="G280" i="10" s="1"/>
  <c r="E250" i="11"/>
  <c r="E255" i="10"/>
  <c r="E245" i="11"/>
  <c r="E253" i="11" s="1"/>
  <c r="G32" i="14"/>
  <c r="G11" i="14"/>
  <c r="G22" i="14" s="1"/>
  <c r="E207" i="13"/>
  <c r="I206" i="13"/>
  <c r="I226" i="13" s="1"/>
  <c r="H207" i="13"/>
  <c r="J295" i="13"/>
  <c r="F300" i="13" s="1"/>
  <c r="G300" i="13" s="1"/>
  <c r="E202" i="11"/>
  <c r="I201" i="11"/>
  <c r="I217" i="11" s="1"/>
  <c r="I263" i="11" s="1"/>
  <c r="F201" i="11"/>
  <c r="F217" i="11" s="1"/>
  <c r="F220" i="11" s="1"/>
  <c r="F221" i="11" s="1"/>
  <c r="F267" i="11" s="1"/>
  <c r="H202" i="11"/>
  <c r="E201" i="11"/>
  <c r="H180" i="11"/>
  <c r="I203" i="11" s="1"/>
  <c r="I223" i="11" s="1"/>
  <c r="I204" i="13"/>
  <c r="I220" i="13" s="1"/>
  <c r="I266" i="13" s="1"/>
  <c r="F204" i="13"/>
  <c r="F220" i="13" s="1"/>
  <c r="F223" i="13" s="1"/>
  <c r="F224" i="13" s="1"/>
  <c r="F270" i="13" s="1"/>
  <c r="W158" i="10"/>
  <c r="H158" i="10" s="1"/>
  <c r="H230" i="10" s="1"/>
  <c r="H207" i="10"/>
  <c r="H223" i="10" s="1"/>
  <c r="F206" i="10"/>
  <c r="F222" i="10" s="1"/>
  <c r="F225" i="10" s="1"/>
  <c r="F226" i="10" s="1"/>
  <c r="F272" i="10" s="1"/>
  <c r="F68" i="14" s="1"/>
  <c r="H181" i="10"/>
  <c r="E207" i="10"/>
  <c r="G206" i="10"/>
  <c r="G222" i="10" s="1"/>
  <c r="G268" i="10" s="1"/>
  <c r="G279" i="10" s="1"/>
  <c r="W154" i="10"/>
  <c r="H154" i="10" s="1"/>
  <c r="H224" i="10" s="1"/>
  <c r="I206" i="10"/>
  <c r="I222" i="10" s="1"/>
  <c r="I268" i="10" s="1"/>
  <c r="I279" i="10" s="1"/>
  <c r="Q77" i="11"/>
  <c r="T166" i="11" s="1"/>
  <c r="H120" i="14"/>
  <c r="E250" i="10"/>
  <c r="E258" i="10" s="1"/>
  <c r="Q166" i="11"/>
  <c r="T62" i="13"/>
  <c r="Q158" i="13" s="1"/>
  <c r="Q171" i="13"/>
  <c r="E120" i="14"/>
  <c r="E248" i="13"/>
  <c r="E256" i="13" s="1"/>
  <c r="E118" i="14"/>
  <c r="T62" i="11"/>
  <c r="Q158" i="11" s="1"/>
  <c r="T77" i="11"/>
  <c r="T154" i="11" s="1"/>
  <c r="W154" i="11" s="1"/>
  <c r="H154" i="11" s="1"/>
  <c r="I160" i="13"/>
  <c r="AY165" i="13"/>
  <c r="AW172" i="13"/>
  <c r="AW173" i="13" s="1"/>
  <c r="F253" i="11"/>
  <c r="F258" i="10"/>
  <c r="F121" i="14"/>
  <c r="F122" i="14" s="1"/>
  <c r="F249" i="11"/>
  <c r="F254" i="10"/>
  <c r="F259" i="10" s="1"/>
  <c r="F252" i="13"/>
  <c r="F257" i="13" s="1"/>
  <c r="F256" i="13"/>
  <c r="Q166" i="13"/>
  <c r="F226" i="13"/>
  <c r="F160" i="13"/>
  <c r="AV172" i="10"/>
  <c r="AV173" i="10" s="1"/>
  <c r="C122" i="10"/>
  <c r="J292" i="11"/>
  <c r="F297" i="11" s="1"/>
  <c r="G297" i="11" s="1"/>
  <c r="T73" i="13"/>
  <c r="T158" i="13" s="1"/>
  <c r="H229" i="10"/>
  <c r="Z157" i="10"/>
  <c r="AX169" i="10"/>
  <c r="Z153" i="10"/>
  <c r="AX166" i="10"/>
  <c r="H156" i="13"/>
  <c r="AC159" i="13"/>
  <c r="AX158" i="10"/>
  <c r="AX168" i="10"/>
  <c r="H248" i="13"/>
  <c r="H256" i="13" s="1"/>
  <c r="H250" i="10"/>
  <c r="H258" i="10" s="1"/>
  <c r="H245" i="11"/>
  <c r="H253" i="11" s="1"/>
  <c r="U65" i="11"/>
  <c r="H296" i="13"/>
  <c r="AX160" i="13"/>
  <c r="AX156" i="13"/>
  <c r="Q157" i="11"/>
  <c r="U61" i="11"/>
  <c r="U76" i="11"/>
  <c r="T86" i="11"/>
  <c r="T87" i="11" s="1"/>
  <c r="T153" i="11"/>
  <c r="W153" i="11" s="1"/>
  <c r="H153" i="11" s="1"/>
  <c r="H120" i="11"/>
  <c r="H130" i="11"/>
  <c r="AC159" i="11"/>
  <c r="H156" i="11"/>
  <c r="T73" i="11"/>
  <c r="T158" i="11" s="1"/>
  <c r="T77" i="13"/>
  <c r="T154" i="13" s="1"/>
  <c r="H130" i="13"/>
  <c r="H120" i="13"/>
  <c r="U61" i="13"/>
  <c r="H250" i="11"/>
  <c r="H253" i="13"/>
  <c r="H255" i="10"/>
  <c r="U65" i="13"/>
  <c r="Q153" i="13"/>
  <c r="T82" i="11"/>
  <c r="T83" i="11" s="1"/>
  <c r="U72" i="11"/>
  <c r="T157" i="11"/>
  <c r="U76" i="13"/>
  <c r="T86" i="13"/>
  <c r="T87" i="13" s="1"/>
  <c r="T153" i="13"/>
  <c r="T66" i="13"/>
  <c r="Q154" i="13" s="1"/>
  <c r="H118" i="14"/>
  <c r="T157" i="13"/>
  <c r="W157" i="13" s="1"/>
  <c r="H157" i="13" s="1"/>
  <c r="T82" i="13"/>
  <c r="T83" i="13" s="1"/>
  <c r="U72" i="13"/>
  <c r="AX156" i="11"/>
  <c r="AX158" i="11" s="1"/>
  <c r="H293" i="11"/>
  <c r="AX160" i="11"/>
  <c r="AX154" i="13"/>
  <c r="H138" i="10"/>
  <c r="AC155" i="10"/>
  <c r="H152" i="10"/>
  <c r="Q77" i="13"/>
  <c r="T166" i="13" s="1"/>
  <c r="Q66" i="13"/>
  <c r="J135" i="13"/>
  <c r="T170" i="11"/>
  <c r="R72" i="11"/>
  <c r="M72" i="11"/>
  <c r="Q170" i="11"/>
  <c r="Q61" i="11"/>
  <c r="Q82" i="11" s="1"/>
  <c r="Q83" i="11" s="1"/>
  <c r="Q171" i="11"/>
  <c r="J136" i="13"/>
  <c r="AC173" i="13"/>
  <c r="E156" i="13"/>
  <c r="J134" i="13"/>
  <c r="Z172" i="10"/>
  <c r="Q168" i="10"/>
  <c r="AU168" i="10"/>
  <c r="J131" i="11"/>
  <c r="E152" i="10"/>
  <c r="J130" i="10"/>
  <c r="E138" i="10"/>
  <c r="AC168" i="10"/>
  <c r="AC175" i="10" s="1"/>
  <c r="J135" i="11"/>
  <c r="Q73" i="11"/>
  <c r="T171" i="11" s="1"/>
  <c r="Q62" i="11"/>
  <c r="T165" i="13"/>
  <c r="R76" i="13"/>
  <c r="J131" i="13"/>
  <c r="U166" i="10"/>
  <c r="X166" i="10" s="1"/>
  <c r="E154" i="10" s="1"/>
  <c r="W166" i="10"/>
  <c r="M72" i="13"/>
  <c r="Q61" i="13"/>
  <c r="Q82" i="13" s="1"/>
  <c r="Q83" i="13" s="1"/>
  <c r="Q170" i="13"/>
  <c r="E130" i="11"/>
  <c r="E120" i="11"/>
  <c r="AC173" i="11"/>
  <c r="J134" i="11"/>
  <c r="E156" i="11"/>
  <c r="AU160" i="11"/>
  <c r="E293" i="11"/>
  <c r="AU156" i="11"/>
  <c r="J72" i="11"/>
  <c r="U171" i="10"/>
  <c r="X171" i="10" s="1"/>
  <c r="E158" i="10" s="1"/>
  <c r="W171" i="10"/>
  <c r="AU156" i="13"/>
  <c r="E296" i="13"/>
  <c r="AU160" i="13"/>
  <c r="J72" i="13"/>
  <c r="E206" i="13"/>
  <c r="Q66" i="11"/>
  <c r="U165" i="10"/>
  <c r="X165" i="10" s="1"/>
  <c r="E153" i="10" s="1"/>
  <c r="W165" i="10"/>
  <c r="U170" i="10"/>
  <c r="X170" i="10" s="1"/>
  <c r="E157" i="10" s="1"/>
  <c r="W170" i="10"/>
  <c r="Q173" i="10"/>
  <c r="J136" i="11"/>
  <c r="J132" i="13"/>
  <c r="E120" i="13"/>
  <c r="E130" i="13"/>
  <c r="Q65" i="13"/>
  <c r="Q86" i="13" s="1"/>
  <c r="Q87" i="13" s="1"/>
  <c r="Q165" i="13"/>
  <c r="R72" i="13"/>
  <c r="T170" i="13"/>
  <c r="Q73" i="13"/>
  <c r="T171" i="13" s="1"/>
  <c r="Q62" i="13"/>
  <c r="J132" i="11"/>
  <c r="R76" i="11"/>
  <c r="T165" i="11"/>
  <c r="Q165" i="11"/>
  <c r="Q65" i="11"/>
  <c r="Q86" i="11" s="1"/>
  <c r="Q87" i="11" s="1"/>
  <c r="AY172" i="11"/>
  <c r="AY173" i="11" s="1"/>
  <c r="AW172" i="11"/>
  <c r="AW173" i="11" s="1"/>
  <c r="G274" i="11"/>
  <c r="H205" i="13" l="1"/>
  <c r="E205" i="13"/>
  <c r="H181" i="13"/>
  <c r="I203" i="13" s="1"/>
  <c r="I230" i="13" s="1"/>
  <c r="E204" i="13"/>
  <c r="G70" i="14"/>
  <c r="G76" i="14" s="1"/>
  <c r="AX167" i="10"/>
  <c r="E205" i="10"/>
  <c r="I32" i="14"/>
  <c r="I43" i="14" s="1"/>
  <c r="I11" i="14"/>
  <c r="I22" i="14" s="1"/>
  <c r="F36" i="14"/>
  <c r="F15" i="14"/>
  <c r="I274" i="11"/>
  <c r="I64" i="14"/>
  <c r="I75" i="14" s="1"/>
  <c r="G203" i="11"/>
  <c r="G223" i="11" s="1"/>
  <c r="G269" i="11" s="1"/>
  <c r="G17" i="14" s="1"/>
  <c r="G23" i="14" s="1"/>
  <c r="G24" i="14" s="1"/>
  <c r="F203" i="11"/>
  <c r="F223" i="11" s="1"/>
  <c r="F269" i="11" s="1"/>
  <c r="E203" i="11"/>
  <c r="E223" i="11" s="1"/>
  <c r="E269" i="11" s="1"/>
  <c r="H181" i="11"/>
  <c r="G200" i="11" s="1"/>
  <c r="G227" i="11" s="1"/>
  <c r="E204" i="11"/>
  <c r="H204" i="11"/>
  <c r="H205" i="10"/>
  <c r="F205" i="10"/>
  <c r="F232" i="10" s="1"/>
  <c r="AX170" i="10"/>
  <c r="AX174" i="10" s="1"/>
  <c r="G38" i="14"/>
  <c r="G44" i="14" s="1"/>
  <c r="Z158" i="10"/>
  <c r="Z159" i="10" s="1"/>
  <c r="Z154" i="10"/>
  <c r="Z155" i="10" s="1"/>
  <c r="F266" i="11"/>
  <c r="F271" i="10"/>
  <c r="F67" i="14" s="1"/>
  <c r="F75" i="14" s="1"/>
  <c r="I205" i="10"/>
  <c r="I232" i="10" s="1"/>
  <c r="G205" i="10"/>
  <c r="G232" i="10" s="1"/>
  <c r="G278" i="13"/>
  <c r="G279" i="13" s="1"/>
  <c r="G283" i="13" s="1"/>
  <c r="G64" i="14"/>
  <c r="G75" i="14" s="1"/>
  <c r="J120" i="14"/>
  <c r="W166" i="11"/>
  <c r="U166" i="11"/>
  <c r="X166" i="11" s="1"/>
  <c r="E154" i="11" s="1"/>
  <c r="E219" i="11" s="1"/>
  <c r="E265" i="11" s="1"/>
  <c r="W166" i="13"/>
  <c r="W158" i="13"/>
  <c r="H158" i="13" s="1"/>
  <c r="H228" i="13" s="1"/>
  <c r="C122" i="13"/>
  <c r="W157" i="11"/>
  <c r="H157" i="11" s="1"/>
  <c r="AX169" i="11" s="1"/>
  <c r="E121" i="14"/>
  <c r="E122" i="14" s="1"/>
  <c r="J296" i="13"/>
  <c r="F301" i="13" s="1"/>
  <c r="G301" i="13" s="1"/>
  <c r="G302" i="13" s="1"/>
  <c r="E254" i="13"/>
  <c r="E257" i="13" s="1"/>
  <c r="E258" i="13" s="1"/>
  <c r="E256" i="10"/>
  <c r="E259" i="10" s="1"/>
  <c r="E260" i="10" s="1"/>
  <c r="F260" i="10"/>
  <c r="E251" i="11"/>
  <c r="E254" i="11" s="1"/>
  <c r="E255" i="11" s="1"/>
  <c r="F258" i="13"/>
  <c r="F274" i="10"/>
  <c r="F280" i="10" s="1"/>
  <c r="W158" i="11"/>
  <c r="H158" i="11" s="1"/>
  <c r="Z158" i="11" s="1"/>
  <c r="F269" i="13"/>
  <c r="I277" i="13"/>
  <c r="AY172" i="13"/>
  <c r="AY173" i="13" s="1"/>
  <c r="F272" i="13"/>
  <c r="F254" i="11"/>
  <c r="F255" i="11" s="1"/>
  <c r="AV172" i="13"/>
  <c r="AV173" i="13" s="1"/>
  <c r="G281" i="10"/>
  <c r="G284" i="10" s="1"/>
  <c r="W154" i="13"/>
  <c r="H154" i="13" s="1"/>
  <c r="Z154" i="13" s="1"/>
  <c r="J293" i="11"/>
  <c r="F298" i="11" s="1"/>
  <c r="G298" i="11" s="1"/>
  <c r="G299" i="11" s="1"/>
  <c r="H270" i="10"/>
  <c r="H66" i="14" s="1"/>
  <c r="C122" i="11"/>
  <c r="W153" i="13"/>
  <c r="H153" i="13" s="1"/>
  <c r="Z157" i="13"/>
  <c r="H227" i="13"/>
  <c r="H273" i="13" s="1"/>
  <c r="AX169" i="13"/>
  <c r="J256" i="13"/>
  <c r="J253" i="11"/>
  <c r="H254" i="13"/>
  <c r="H257" i="13" s="1"/>
  <c r="H256" i="10"/>
  <c r="H276" i="10" s="1"/>
  <c r="H72" i="14" s="1"/>
  <c r="H251" i="11"/>
  <c r="H254" i="11" s="1"/>
  <c r="H138" i="11"/>
  <c r="AC155" i="11"/>
  <c r="H152" i="11"/>
  <c r="H232" i="10"/>
  <c r="H269" i="10"/>
  <c r="H121" i="14"/>
  <c r="AC155" i="13"/>
  <c r="H138" i="13"/>
  <c r="H152" i="13"/>
  <c r="AX168" i="13"/>
  <c r="AX158" i="13"/>
  <c r="H219" i="11"/>
  <c r="H265" i="11" s="1"/>
  <c r="Z154" i="11"/>
  <c r="H275" i="10"/>
  <c r="AX166" i="11"/>
  <c r="Z153" i="11"/>
  <c r="H218" i="11"/>
  <c r="J258" i="10"/>
  <c r="N258" i="10" s="1"/>
  <c r="H160" i="10"/>
  <c r="AX172" i="10" s="1"/>
  <c r="AX165" i="10"/>
  <c r="AX168" i="11"/>
  <c r="AX167" i="11"/>
  <c r="Z165" i="10"/>
  <c r="E223" i="10"/>
  <c r="E269" i="10" s="1"/>
  <c r="E65" i="14" s="1"/>
  <c r="E224" i="10"/>
  <c r="E270" i="10" s="1"/>
  <c r="E66" i="14" s="1"/>
  <c r="Z166" i="10"/>
  <c r="Z172" i="11"/>
  <c r="J138" i="10"/>
  <c r="C140" i="10"/>
  <c r="C161" i="10" s="1"/>
  <c r="U170" i="13"/>
  <c r="X170" i="13" s="1"/>
  <c r="E157" i="13" s="1"/>
  <c r="W170" i="13"/>
  <c r="E230" i="10"/>
  <c r="Z171" i="10"/>
  <c r="AU168" i="11"/>
  <c r="AC168" i="11"/>
  <c r="AC175" i="11" s="1"/>
  <c r="E138" i="11"/>
  <c r="E152" i="11"/>
  <c r="J130" i="11"/>
  <c r="U165" i="13"/>
  <c r="X165" i="13" s="1"/>
  <c r="E153" i="13" s="1"/>
  <c r="W165" i="13"/>
  <c r="E138" i="13"/>
  <c r="E152" i="13"/>
  <c r="J130" i="13"/>
  <c r="AC168" i="13"/>
  <c r="AC175" i="13" s="1"/>
  <c r="E222" i="10"/>
  <c r="E268" i="10" s="1"/>
  <c r="Z167" i="10"/>
  <c r="E160" i="10"/>
  <c r="AU165" i="10"/>
  <c r="W165" i="11"/>
  <c r="U165" i="11"/>
  <c r="X165" i="11" s="1"/>
  <c r="E153" i="11" s="1"/>
  <c r="W171" i="13"/>
  <c r="U171" i="13"/>
  <c r="X171" i="13" s="1"/>
  <c r="E158" i="13" s="1"/>
  <c r="E229" i="10"/>
  <c r="E275" i="10" s="1"/>
  <c r="E71" i="14" s="1"/>
  <c r="Z170" i="10"/>
  <c r="W171" i="11"/>
  <c r="U171" i="11"/>
  <c r="X171" i="11" s="1"/>
  <c r="E158" i="11" s="1"/>
  <c r="Z172" i="13"/>
  <c r="E226" i="13"/>
  <c r="E272" i="13" s="1"/>
  <c r="U166" i="13"/>
  <c r="X166" i="13" s="1"/>
  <c r="E154" i="13" s="1"/>
  <c r="W170" i="11"/>
  <c r="U170" i="11"/>
  <c r="X170" i="11" s="1"/>
  <c r="E157" i="11" s="1"/>
  <c r="AU168" i="13"/>
  <c r="E70" i="14"/>
  <c r="G43" i="14"/>
  <c r="G203" i="13" l="1"/>
  <c r="G230" i="13" s="1"/>
  <c r="F203" i="13"/>
  <c r="F230" i="13" s="1"/>
  <c r="H221" i="13"/>
  <c r="H267" i="13" s="1"/>
  <c r="E203" i="13"/>
  <c r="H203" i="13"/>
  <c r="F89" i="14"/>
  <c r="Q170" i="14" s="1"/>
  <c r="G275" i="11"/>
  <c r="G276" i="11" s="1"/>
  <c r="G280" i="11" s="1"/>
  <c r="H13" i="14"/>
  <c r="E13" i="14"/>
  <c r="F17" i="14"/>
  <c r="F23" i="14" s="1"/>
  <c r="H39" i="14"/>
  <c r="E17" i="14"/>
  <c r="F38" i="14"/>
  <c r="F44" i="14" s="1"/>
  <c r="E38" i="14"/>
  <c r="Z166" i="11"/>
  <c r="I200" i="11"/>
  <c r="I227" i="11" s="1"/>
  <c r="E200" i="11"/>
  <c r="H200" i="11"/>
  <c r="F200" i="11"/>
  <c r="F227" i="11" s="1"/>
  <c r="G85" i="14"/>
  <c r="F277" i="13"/>
  <c r="F35" i="14"/>
  <c r="F43" i="14" s="1"/>
  <c r="F279" i="10"/>
  <c r="F281" i="10" s="1"/>
  <c r="F284" i="10" s="1"/>
  <c r="F274" i="11"/>
  <c r="F14" i="14"/>
  <c r="F22" i="14" s="1"/>
  <c r="G45" i="14"/>
  <c r="G91" i="14"/>
  <c r="Z157" i="11"/>
  <c r="Z159" i="11" s="1"/>
  <c r="E276" i="10"/>
  <c r="E72" i="14" s="1"/>
  <c r="E76" i="14" s="1"/>
  <c r="G77" i="14"/>
  <c r="C46" i="19"/>
  <c r="D46" i="19" s="1"/>
  <c r="E46" i="19" s="1"/>
  <c r="F46" i="19" s="1"/>
  <c r="Z158" i="13"/>
  <c r="Z159" i="13" s="1"/>
  <c r="H224" i="11"/>
  <c r="H270" i="11" s="1"/>
  <c r="AX170" i="13"/>
  <c r="F70" i="14"/>
  <c r="F76" i="14" s="1"/>
  <c r="F77" i="14" s="1"/>
  <c r="H225" i="11"/>
  <c r="H271" i="11" s="1"/>
  <c r="AX170" i="11"/>
  <c r="AX174" i="11" s="1"/>
  <c r="Z173" i="10"/>
  <c r="I85" i="14"/>
  <c r="F278" i="13"/>
  <c r="AX166" i="13"/>
  <c r="AX167" i="13"/>
  <c r="H222" i="13"/>
  <c r="H268" i="13" s="1"/>
  <c r="Z153" i="13"/>
  <c r="Z155" i="13" s="1"/>
  <c r="G282" i="13"/>
  <c r="F275" i="11"/>
  <c r="G285" i="10"/>
  <c r="H255" i="11"/>
  <c r="Z155" i="11"/>
  <c r="H258" i="13"/>
  <c r="H264" i="11"/>
  <c r="M258" i="10"/>
  <c r="H259" i="10"/>
  <c r="H122" i="14"/>
  <c r="H160" i="11"/>
  <c r="AX172" i="11" s="1"/>
  <c r="AX165" i="11"/>
  <c r="H71" i="14"/>
  <c r="H76" i="14" s="1"/>
  <c r="H280" i="10"/>
  <c r="H279" i="10"/>
  <c r="H65" i="14"/>
  <c r="H75" i="14" s="1"/>
  <c r="AX173" i="10"/>
  <c r="H160" i="13"/>
  <c r="AX172" i="13" s="1"/>
  <c r="AX165" i="13"/>
  <c r="H274" i="13"/>
  <c r="E224" i="11"/>
  <c r="E270" i="11" s="1"/>
  <c r="Z170" i="11"/>
  <c r="E225" i="11"/>
  <c r="E271" i="11" s="1"/>
  <c r="Z171" i="11"/>
  <c r="E221" i="13"/>
  <c r="E267" i="13" s="1"/>
  <c r="Z165" i="13"/>
  <c r="Z170" i="13"/>
  <c r="E227" i="13"/>
  <c r="E273" i="13" s="1"/>
  <c r="E222" i="13"/>
  <c r="E268" i="13" s="1"/>
  <c r="Z166" i="13"/>
  <c r="E232" i="10"/>
  <c r="C298" i="10" s="1"/>
  <c r="AU172" i="10"/>
  <c r="AU173" i="10" s="1"/>
  <c r="C140" i="11"/>
  <c r="C161" i="11" s="1"/>
  <c r="J138" i="11"/>
  <c r="Z168" i="10"/>
  <c r="E279" i="10"/>
  <c r="E64" i="14"/>
  <c r="E75" i="14" s="1"/>
  <c r="E220" i="13"/>
  <c r="E266" i="13" s="1"/>
  <c r="E160" i="13"/>
  <c r="Z167" i="13"/>
  <c r="AU165" i="13"/>
  <c r="E228" i="13"/>
  <c r="E274" i="13" s="1"/>
  <c r="Z171" i="13"/>
  <c r="C140" i="13"/>
  <c r="C161" i="13" s="1"/>
  <c r="J138" i="13"/>
  <c r="Z167" i="11"/>
  <c r="E160" i="11"/>
  <c r="E217" i="11"/>
  <c r="E263" i="11" s="1"/>
  <c r="AU165" i="11"/>
  <c r="E218" i="11"/>
  <c r="E264" i="11" s="1"/>
  <c r="Z165" i="11"/>
  <c r="G279" i="11" l="1"/>
  <c r="H40" i="14"/>
  <c r="H44" i="14" s="1"/>
  <c r="H19" i="14"/>
  <c r="E40" i="14"/>
  <c r="E19" i="14"/>
  <c r="E11" i="14"/>
  <c r="E33" i="14"/>
  <c r="H33" i="14"/>
  <c r="E12" i="14"/>
  <c r="E39" i="14"/>
  <c r="E32" i="14"/>
  <c r="H12" i="14"/>
  <c r="E18" i="14"/>
  <c r="H18" i="14"/>
  <c r="H92" i="14" s="1"/>
  <c r="G96" i="14"/>
  <c r="F45" i="14"/>
  <c r="E280" i="10"/>
  <c r="E281" i="10" s="1"/>
  <c r="F279" i="13"/>
  <c r="F282" i="13" s="1"/>
  <c r="G97" i="14"/>
  <c r="H34" i="14"/>
  <c r="H87" i="14" s="1"/>
  <c r="E34" i="14"/>
  <c r="E87" i="14" s="1"/>
  <c r="F285" i="10"/>
  <c r="I96" i="14"/>
  <c r="H275" i="11"/>
  <c r="H227" i="11"/>
  <c r="H230" i="13"/>
  <c r="F88" i="14"/>
  <c r="F24" i="14"/>
  <c r="I133" i="14"/>
  <c r="F91" i="14"/>
  <c r="AX174" i="13"/>
  <c r="F276" i="11"/>
  <c r="F279" i="11" s="1"/>
  <c r="Z168" i="11"/>
  <c r="H278" i="13"/>
  <c r="AX173" i="11"/>
  <c r="AX173" i="13"/>
  <c r="H77" i="14"/>
  <c r="H274" i="11"/>
  <c r="H277" i="13"/>
  <c r="H281" i="10"/>
  <c r="H284" i="10" s="1"/>
  <c r="H260" i="10"/>
  <c r="E278" i="13"/>
  <c r="Z168" i="13"/>
  <c r="Z173" i="11"/>
  <c r="E91" i="14"/>
  <c r="E227" i="11"/>
  <c r="AU172" i="11"/>
  <c r="AU173" i="11" s="1"/>
  <c r="J75" i="14"/>
  <c r="E77" i="14"/>
  <c r="E275" i="11"/>
  <c r="J279" i="10"/>
  <c r="D299" i="10"/>
  <c r="Z173" i="13"/>
  <c r="E230" i="13"/>
  <c r="AU172" i="13"/>
  <c r="AU173" i="13" s="1"/>
  <c r="E274" i="11"/>
  <c r="E277" i="13"/>
  <c r="E44" i="14" l="1"/>
  <c r="H93" i="14"/>
  <c r="H141" i="14" s="1"/>
  <c r="E93" i="14"/>
  <c r="E92" i="14"/>
  <c r="H23" i="14"/>
  <c r="E86" i="14"/>
  <c r="E43" i="14"/>
  <c r="E139" i="14"/>
  <c r="E23" i="14"/>
  <c r="G98" i="14"/>
  <c r="F283" i="13"/>
  <c r="H135" i="14"/>
  <c r="H43" i="14"/>
  <c r="H45" i="14" s="1"/>
  <c r="H276" i="11"/>
  <c r="H279" i="11" s="1"/>
  <c r="Q168" i="14"/>
  <c r="Q169" i="14"/>
  <c r="F96" i="14"/>
  <c r="F97" i="14"/>
  <c r="F280" i="11"/>
  <c r="H22" i="14"/>
  <c r="H86" i="14"/>
  <c r="H285" i="10"/>
  <c r="H140" i="14"/>
  <c r="H279" i="13"/>
  <c r="H283" i="13" s="1"/>
  <c r="C305" i="10"/>
  <c r="I305" i="10" s="1"/>
  <c r="E279" i="13"/>
  <c r="J277" i="13"/>
  <c r="E285" i="10"/>
  <c r="E22" i="14"/>
  <c r="E85" i="14"/>
  <c r="E284" i="10"/>
  <c r="J274" i="11"/>
  <c r="E276" i="11"/>
  <c r="E45" i="14" l="1"/>
  <c r="H24" i="14"/>
  <c r="E97" i="14"/>
  <c r="H97" i="14"/>
  <c r="E133" i="14"/>
  <c r="J43" i="14"/>
  <c r="H280" i="11"/>
  <c r="F172" i="14"/>
  <c r="F98" i="14"/>
  <c r="F171" i="14"/>
  <c r="H282" i="13"/>
  <c r="H134" i="14"/>
  <c r="H96" i="14"/>
  <c r="E283" i="13"/>
  <c r="C305" i="11"/>
  <c r="G305" i="11" s="1"/>
  <c r="E96" i="14"/>
  <c r="E280" i="11"/>
  <c r="E24" i="14"/>
  <c r="J22" i="14"/>
  <c r="E282" i="13"/>
  <c r="E279" i="11"/>
  <c r="C308" i="13"/>
  <c r="G308" i="13" s="1"/>
  <c r="H98" i="14" l="1"/>
  <c r="H143" i="14" s="1"/>
  <c r="E98" i="14"/>
  <c r="J96" i="14"/>
  <c r="I249" i="11" l="1"/>
  <c r="I254" i="11" s="1"/>
  <c r="I252" i="13" l="1"/>
  <c r="I254" i="10"/>
  <c r="I274" i="10" s="1"/>
  <c r="I121" i="14"/>
  <c r="I122" i="14" s="1"/>
  <c r="J122" i="14" s="1"/>
  <c r="I255" i="11"/>
  <c r="J255" i="11" s="1"/>
  <c r="J254" i="11"/>
  <c r="I269" i="11"/>
  <c r="I17" i="14" l="1"/>
  <c r="I259" i="10"/>
  <c r="I260" i="10" s="1"/>
  <c r="J260" i="10" s="1"/>
  <c r="J121" i="14"/>
  <c r="I257" i="13"/>
  <c r="I272" i="13"/>
  <c r="I280" i="10"/>
  <c r="I70" i="14"/>
  <c r="I76" i="14" s="1"/>
  <c r="I275" i="11"/>
  <c r="I38" i="14" l="1"/>
  <c r="I44" i="14" s="1"/>
  <c r="J44" i="14" s="1"/>
  <c r="J259" i="10"/>
  <c r="M259" i="10" s="1"/>
  <c r="M260" i="10" s="1"/>
  <c r="J257" i="13"/>
  <c r="I258" i="13"/>
  <c r="J258" i="13" s="1"/>
  <c r="I278" i="13"/>
  <c r="I23" i="14"/>
  <c r="I24" i="14" s="1"/>
  <c r="J24" i="14" s="1"/>
  <c r="J275" i="11"/>
  <c r="I276" i="11"/>
  <c r="I280" i="11" s="1"/>
  <c r="J76" i="14"/>
  <c r="I77" i="14"/>
  <c r="J77" i="14" s="1"/>
  <c r="J280" i="10"/>
  <c r="I281" i="10"/>
  <c r="I45" i="14" l="1"/>
  <c r="J45" i="14" s="1"/>
  <c r="G133" i="14"/>
  <c r="G139" i="14"/>
  <c r="G143" i="14"/>
  <c r="E134" i="14"/>
  <c r="E135" i="14"/>
  <c r="E140" i="14"/>
  <c r="E141" i="14"/>
  <c r="E143" i="14"/>
  <c r="F137" i="14"/>
  <c r="F139" i="14"/>
  <c r="F136" i="14"/>
  <c r="F143" i="14"/>
  <c r="N259" i="10"/>
  <c r="J23" i="14"/>
  <c r="J278" i="13"/>
  <c r="I279" i="13"/>
  <c r="I91" i="14"/>
  <c r="C306" i="11"/>
  <c r="G306" i="11" s="1"/>
  <c r="I284" i="10"/>
  <c r="J281" i="10"/>
  <c r="J284" i="10" s="1"/>
  <c r="C306" i="10"/>
  <c r="I306" i="10" s="1"/>
  <c r="I285" i="10"/>
  <c r="J276" i="11"/>
  <c r="J280" i="11" s="1"/>
  <c r="I279" i="11"/>
  <c r="N260" i="10" l="1"/>
  <c r="C18" i="19" s="1"/>
  <c r="C19" i="19" s="1"/>
  <c r="C20" i="19" s="1"/>
  <c r="C35" i="19" s="1"/>
  <c r="I310" i="10"/>
  <c r="I309" i="10"/>
  <c r="C47" i="19"/>
  <c r="D47" i="19" s="1"/>
  <c r="E47" i="19" s="1"/>
  <c r="F47" i="19" s="1"/>
  <c r="I139" i="14"/>
  <c r="I97" i="14"/>
  <c r="C309" i="13"/>
  <c r="G309" i="13" s="1"/>
  <c r="I283" i="13"/>
  <c r="J279" i="13"/>
  <c r="I282" i="13"/>
  <c r="E36" i="19"/>
  <c r="J279" i="11"/>
  <c r="C289" i="11"/>
  <c r="J285" i="10"/>
  <c r="E42" i="19" l="1"/>
  <c r="E50" i="19" s="1"/>
  <c r="E43" i="19"/>
  <c r="E51" i="19" s="1"/>
  <c r="C292" i="13"/>
  <c r="J282" i="13"/>
  <c r="I98" i="14"/>
  <c r="J97" i="14"/>
  <c r="J283" i="13"/>
  <c r="E52" i="19" l="1"/>
  <c r="I143" i="14"/>
  <c r="J98" i="14"/>
  <c r="C153" i="14" s="1"/>
  <c r="D36" i="19" l="1"/>
  <c r="D51" i="19"/>
  <c r="D50" i="19"/>
  <c r="C50" i="19"/>
  <c r="C36" i="19"/>
  <c r="C51" i="19"/>
  <c r="D154" i="14"/>
  <c r="D155" i="14"/>
  <c r="F166" i="14" s="1"/>
  <c r="F50" i="19" l="1"/>
  <c r="D52" i="19"/>
  <c r="F51" i="19"/>
  <c r="C52" i="19"/>
  <c r="I178" i="14"/>
  <c r="E178" i="14"/>
  <c r="G174" i="14"/>
  <c r="F178" i="14"/>
  <c r="E168" i="14"/>
  <c r="I166" i="14"/>
  <c r="H175" i="14"/>
  <c r="F174" i="14"/>
  <c r="E167" i="14"/>
  <c r="H176" i="14"/>
  <c r="H168" i="14"/>
  <c r="E176" i="14"/>
  <c r="G178" i="14"/>
  <c r="I174" i="14"/>
  <c r="G166" i="14"/>
  <c r="H178" i="14"/>
  <c r="E166" i="14"/>
  <c r="E174" i="14"/>
  <c r="H167" i="14"/>
  <c r="E175" i="14"/>
  <c r="F52" i="19" l="1"/>
  <c r="F54" i="19" s="1"/>
</calcChain>
</file>

<file path=xl/comments1.xml><?xml version="1.0" encoding="utf-8"?>
<comments xmlns="http://schemas.openxmlformats.org/spreadsheetml/2006/main">
  <authors>
    <author>Peng, Yongmei</author>
  </authors>
  <commentList>
    <comment ref="C77" authorId="0" shapeId="0">
      <text>
        <r>
          <rPr>
            <b/>
            <sz val="9"/>
            <color indexed="81"/>
            <rFont val="Tahoma"/>
            <family val="2"/>
          </rPr>
          <t>Peng, Yongmei:</t>
        </r>
        <r>
          <rPr>
            <sz val="9"/>
            <color indexed="81"/>
            <rFont val="Tahoma"/>
            <family val="2"/>
          </rPr>
          <t xml:space="preserve">
NERA Jan 2015 update</t>
        </r>
      </text>
    </comment>
  </commentList>
</comments>
</file>

<file path=xl/comments2.xml><?xml version="1.0" encoding="utf-8"?>
<comments xmlns="http://schemas.openxmlformats.org/spreadsheetml/2006/main">
  <authors>
    <author>2963</author>
  </authors>
  <commentList>
    <comment ref="D77" authorId="0" shapeId="0">
      <text>
        <r>
          <rPr>
            <b/>
            <sz val="8"/>
            <color indexed="81"/>
            <rFont val="Tahoma"/>
            <family val="2"/>
          </rPr>
          <t>2963: From NERA</t>
        </r>
        <r>
          <rPr>
            <sz val="8"/>
            <color indexed="81"/>
            <rFont val="Tahoma"/>
            <family val="2"/>
          </rPr>
          <t xml:space="preserve">
Based on 3 yr June 2008 through April 2011 Data</t>
        </r>
      </text>
    </comment>
  </commentList>
</comments>
</file>

<file path=xl/comments3.xml><?xml version="1.0" encoding="utf-8"?>
<comments xmlns="http://schemas.openxmlformats.org/spreadsheetml/2006/main">
  <authors>
    <author>User Name</author>
  </authors>
  <commentList>
    <comment ref="C31" authorId="0" shapeId="0">
      <text>
        <r>
          <rPr>
            <b/>
            <sz val="8"/>
            <color indexed="81"/>
            <rFont val="Tahoma"/>
            <family val="2"/>
          </rPr>
          <t xml:space="preserve">6/1/15-5/31/16
</t>
        </r>
      </text>
    </comment>
    <comment ref="D31" authorId="0" shapeId="0">
      <text>
        <r>
          <rPr>
            <b/>
            <sz val="8"/>
            <color indexed="81"/>
            <rFont val="Tahoma"/>
            <family val="2"/>
          </rPr>
          <t>6/1/16-5/31/17</t>
        </r>
      </text>
    </comment>
    <comment ref="E31" authorId="0" shapeId="0">
      <text>
        <r>
          <rPr>
            <b/>
            <sz val="8"/>
            <color indexed="81"/>
            <rFont val="Tahoma"/>
            <family val="2"/>
          </rPr>
          <t>6/1/17-5/31/18</t>
        </r>
      </text>
    </comment>
  </commentList>
</comments>
</file>

<file path=xl/sharedStrings.xml><?xml version="1.0" encoding="utf-8"?>
<sst xmlns="http://schemas.openxmlformats.org/spreadsheetml/2006/main" count="1621" uniqueCount="390">
  <si>
    <t>RS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</si>
  <si>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</si>
  <si>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</si>
  <si>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</si>
  <si>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</si>
  <si>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</si>
  <si>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</si>
  <si>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</si>
  <si>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</si>
  <si>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</si>
  <si>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</si>
  <si>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</si>
  <si>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</si>
  <si>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</si>
  <si>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</si>
  <si>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</si>
  <si>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</si>
  <si>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</si>
  <si>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</si>
  <si>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Forwards Prices - Energy Only @ bulk system</t>
  </si>
  <si>
    <t>Expansion Factor =</t>
  </si>
  <si>
    <t>in $/MWh</t>
  </si>
  <si>
    <t>Losses</t>
  </si>
  <si>
    <t>Loss Factors =</t>
  </si>
  <si>
    <t>Profile Meter Data</t>
  </si>
  <si>
    <t>Summer</t>
  </si>
  <si>
    <t>Winter</t>
  </si>
  <si>
    <t>On-Peak periods defined as the 16 hr PJM Trading period, adj for NERC holidays</t>
  </si>
  <si>
    <t>winter MWh =</t>
  </si>
  <si>
    <t>summer MWh =</t>
  </si>
  <si>
    <t>Table #1</t>
  </si>
  <si>
    <t>Table #2</t>
  </si>
  <si>
    <t>Table #5</t>
  </si>
  <si>
    <t>Table #6</t>
  </si>
  <si>
    <t>Table #7</t>
  </si>
  <si>
    <t>Table #8</t>
  </si>
  <si>
    <t>Table #3</t>
  </si>
  <si>
    <t>Table #4</t>
  </si>
  <si>
    <t>in MWh</t>
  </si>
  <si>
    <t>N/A</t>
  </si>
  <si>
    <t>----</t>
  </si>
  <si>
    <t>PJM on pk</t>
  </si>
  <si>
    <t>PJM off pk</t>
  </si>
  <si>
    <t>in $1000</t>
  </si>
  <si>
    <t>System Total</t>
  </si>
  <si>
    <t>Adjusted to Billing Time Periods</t>
  </si>
  <si>
    <t>On-Peak periods as defined in specified rate schedule</t>
  </si>
  <si>
    <t>% Usage During PJM On-Peak Period</t>
  </si>
  <si>
    <t>Class Usage @ customer</t>
  </si>
  <si>
    <t>Summary of Average BGS Energy Only Costs @ customer - PJM Time Periods</t>
  </si>
  <si>
    <t>Development of Post Transition Period BGS Cost and Bid Factors</t>
  </si>
  <si>
    <t>Summary of Average BGS Energy Only Unit Costs @ customer - PJM Time Periods</t>
  </si>
  <si>
    <t>RT</t>
  </si>
  <si>
    <t>GS</t>
  </si>
  <si>
    <t>GST</t>
  </si>
  <si>
    <t>OL/SL</t>
  </si>
  <si>
    <t>Other Analysis</t>
  </si>
  <si>
    <t>% Usage During JCP&amp;L On-Peak Billing Period</t>
  </si>
  <si>
    <t>Delta between PJM and Tariff based On-Peak kWh</t>
  </si>
  <si>
    <t>WH</t>
  </si>
  <si>
    <t>RGT</t>
  </si>
  <si>
    <t>RT{1}</t>
  </si>
  <si>
    <t>RS{2}</t>
  </si>
  <si>
    <t>WH RS</t>
  </si>
  <si>
    <t>WH GS</t>
  </si>
  <si>
    <t>GS{3}</t>
  </si>
  <si>
    <t xml:space="preserve">{2} For BGS purposes the RS rate class excludes the Off-Peak and Controlled Water Heating provisions and includes  </t>
  </si>
  <si>
    <t xml:space="preserve">     the winter billing month RGT rate class usage</t>
  </si>
  <si>
    <t>{3} For BGS purposes the GS rate class excludes the Off-Peak and Controlled Water Heating provisions</t>
  </si>
  <si>
    <t xml:space="preserve">Jersey Central Power &amp; Light </t>
  </si>
  <si>
    <t>Table #9</t>
  </si>
  <si>
    <t>Summary of Average BGS Energy Only Unit Costs @ customer - JCP&amp;L Time Periods</t>
  </si>
  <si>
    <t>JCP&amp;L On pk</t>
  </si>
  <si>
    <t>JCP&amp;L Off pk</t>
  </si>
  <si>
    <t>Annual Average</t>
  </si>
  <si>
    <t>System Average</t>
  </si>
  <si>
    <t>Table #10</t>
  </si>
  <si>
    <t>in MW</t>
  </si>
  <si>
    <t>Gen Obl - MW</t>
  </si>
  <si>
    <t>Trans Obl - MW</t>
  </si>
  <si>
    <t xml:space="preserve">Not applicable for JCP&amp;L - Transmission rates are based on Retail Tariff rates for the respective rate classes </t>
  </si>
  <si>
    <t># of Months and Days used in this analysis</t>
  </si>
  <si>
    <t># of summer days =</t>
  </si>
  <si>
    <t># of summer months =</t>
  </si>
  <si>
    <t># of winter days =</t>
  </si>
  <si>
    <t># of winter months =</t>
  </si>
  <si>
    <t>total # months =</t>
  </si>
  <si>
    <t>Generation Capacity cost</t>
  </si>
  <si>
    <t>$/MW/day</t>
  </si>
  <si>
    <t>Table #11</t>
  </si>
  <si>
    <t>Ancillary Services</t>
  </si>
  <si>
    <t>forecasted overall annual average</t>
  </si>
  <si>
    <t>$/MWh</t>
  </si>
  <si>
    <t>Table #12</t>
  </si>
  <si>
    <t>Transmission Obl - all months</t>
  </si>
  <si>
    <t>Table #13</t>
  </si>
  <si>
    <t>Summary of BGS Unit Costs @ customer</t>
  </si>
  <si>
    <t>NON-DEMAND RATES</t>
  </si>
  <si>
    <t>Annual -all hrs</t>
  </si>
  <si>
    <t>DEMAND RATES</t>
  </si>
  <si>
    <t>includes energy and Ancillary Services, G&amp;T obligations charged separately - adjusted to billing time periods</t>
  </si>
  <si>
    <t>JCP&amp;L does not have a demand component in its BGS charges</t>
  </si>
  <si>
    <t>ALL RATES</t>
  </si>
  <si>
    <t>Grand Total Cost in $1000 =</t>
  </si>
  <si>
    <t>All-In Average costs @ bulk system =</t>
  </si>
  <si>
    <t>per MWh at bulk system (per bulk system metered MWh)</t>
  </si>
  <si>
    <t>Table #14</t>
  </si>
  <si>
    <t>Annual - all hrs</t>
  </si>
  <si>
    <t>Assumptions:</t>
  </si>
  <si>
    <t>Analysis time period =</t>
  </si>
  <si>
    <t>summer months</t>
  </si>
  <si>
    <t>winter months</t>
  </si>
  <si>
    <t>Ancillary Services =</t>
  </si>
  <si>
    <t>per MWh</t>
  </si>
  <si>
    <t>Energy Costs =</t>
  </si>
  <si>
    <t>Usage patterns =</t>
  </si>
  <si>
    <t>Obligations =</t>
  </si>
  <si>
    <t>Losses =</t>
  </si>
  <si>
    <t>PJM Time Periods =</t>
  </si>
  <si>
    <t xml:space="preserve">     holidays - New Year's, Memorial, 4th of July, Labor Day, Thanksgiving &amp; Christmas</t>
  </si>
  <si>
    <t>JCP&amp;L Billing time periods =</t>
  </si>
  <si>
    <t>GST On-peak hours are 8 am to 8 pm prevailing time, Monday through Friday.</t>
  </si>
  <si>
    <t>MWhs in PJM time periods</t>
  </si>
  <si>
    <t>Difference in MWhs</t>
  </si>
  <si>
    <t>Check on total $ recovered</t>
  </si>
  <si>
    <t>PJM time periods (Table #8)</t>
  </si>
  <si>
    <t>MWhs in JCP&amp;L time periods</t>
  </si>
  <si>
    <t>(PJM - JCP&amp;L)</t>
  </si>
  <si>
    <t>JCP&amp;L time periods</t>
  </si>
  <si>
    <t>Tariff Based kWh</t>
  </si>
  <si>
    <t>PJM based kWh</t>
  </si>
  <si>
    <t>Generation Obl $/MWh - all months</t>
  </si>
  <si>
    <t>Generation Capacity Cost =</t>
  </si>
  <si>
    <t>Table #15</t>
  </si>
  <si>
    <t>Total Costs by Rate - in $1000</t>
  </si>
  <si>
    <t>Total Costs - in $1000</t>
  </si>
  <si>
    <t>% of Annual Total $</t>
  </si>
  <si>
    <t>per MWh @ bulk system</t>
  </si>
  <si>
    <t>Table #16</t>
  </si>
  <si>
    <t>Generation &amp; Transmission Obligations and Costs and Other Adjustments</t>
  </si>
  <si>
    <t>Charges</t>
  </si>
  <si>
    <t>% usage</t>
  </si>
  <si>
    <t>Block 1 (0-600 kWh/m)</t>
  </si>
  <si>
    <t>¢/kWh</t>
  </si>
  <si>
    <t>Block 2 (&gt;600 kWh/m)</t>
  </si>
  <si>
    <t>off-peak=&gt;</t>
  </si>
  <si>
    <t>on-peak=&gt;</t>
  </si>
  <si>
    <t>On-peak kWh=&gt;</t>
  </si>
  <si>
    <t>Winter MWh =&gt;</t>
  </si>
  <si>
    <t>Summer MWh =&gt;</t>
  </si>
  <si>
    <t>Associated $=&gt;</t>
  </si>
  <si>
    <t>First Block (0-600 kWh/month)=&gt;</t>
  </si>
  <si>
    <t>Second Block (&gt;600 kWh/month)=&gt;</t>
  </si>
  <si>
    <t>Residential summer BGS + Transmission charge differential</t>
  </si>
  <si>
    <t>per BPU and summer blocking percentages</t>
  </si>
  <si>
    <t>Differential (Excl. SUT)</t>
  </si>
  <si>
    <t>Constant for Block 1 (0-600 kWh/m) usage (Excl. SUT)</t>
  </si>
  <si>
    <t>Constant for Block 2 (&gt;600 kWh/m) usage (Excl. SUT)</t>
  </si>
  <si>
    <t>Transmission charges will be based on Retail Tariff rates for the applicable rate schedules</t>
  </si>
  <si>
    <t>Transmission cost =</t>
  </si>
  <si>
    <t>per MW day Summer</t>
  </si>
  <si>
    <t>per MW day Winter</t>
  </si>
  <si>
    <t>Summer Total</t>
  </si>
  <si>
    <t>Winter Total</t>
  </si>
  <si>
    <t>Annual Total</t>
  </si>
  <si>
    <t>TOTAL</t>
  </si>
  <si>
    <t xml:space="preserve"> Consistent with Losses as approved by the BPU</t>
  </si>
  <si>
    <t>Summary of Obligation Costs Expressed as $/MWh @ customer</t>
  </si>
  <si>
    <t>Summary of Total Estimated BGS Costs by Season</t>
  </si>
  <si>
    <t>Off/On Pk</t>
  </si>
  <si>
    <t>LMP ratio</t>
  </si>
  <si>
    <t>based on Forwards prices corrected for zone-hub differential and losses - PJM time periods</t>
  </si>
  <si>
    <t>based on Forwards prices corrected for zone-hub differential and losses</t>
  </si>
  <si>
    <t>based on Forwards prices corrected for zone-hub differential and losses - JCP&amp;L billing time periods</t>
  </si>
  <si>
    <t>Based on 3 Year Average</t>
  </si>
  <si>
    <t>Zone-Hub Basis Differential</t>
  </si>
  <si>
    <t>Ratio to All-In Cost (rounded to 4 decimal places)</t>
  </si>
  <si>
    <t>&lt;=on-peak=&gt;</t>
  </si>
  <si>
    <t>&lt;=off-peak=&gt;</t>
  </si>
  <si>
    <t xml:space="preserve">RT Less </t>
  </si>
  <si>
    <t>Water Heating</t>
  </si>
  <si>
    <t>OPWH</t>
  </si>
  <si>
    <t>CTWH RS</t>
  </si>
  <si>
    <t>CTWH RSH</t>
  </si>
  <si>
    <t>CTWH GS</t>
  </si>
  <si>
    <t>CTWH Total</t>
  </si>
  <si>
    <t>WH On</t>
  </si>
  <si>
    <t>Attachment 2</t>
  </si>
  <si>
    <t>The Holidays identified by PJM are not excluded from the RT or GST Billing On-Peak kWh.</t>
  </si>
  <si>
    <t>RT On-peak hours are 8 am to 8 pm Eastern Standard Time, Monday through Friday.</t>
  </si>
  <si>
    <t>(data rounded to nearest .01 %)</t>
  </si>
  <si>
    <t>Average</t>
  </si>
  <si>
    <t>For Calculation</t>
  </si>
  <si>
    <t>On-Peak=&gt;</t>
  </si>
  <si>
    <t>Off-Peak=&gt;</t>
  </si>
  <si>
    <t>Average=&gt;</t>
  </si>
  <si>
    <t>For Proof</t>
  </si>
  <si>
    <t>Proof</t>
  </si>
  <si>
    <t>Generation Obl $/MWh - Summer - All Hours</t>
  </si>
  <si>
    <t>Generation Obl $/MWh - Summer - On-Peak Hours</t>
  </si>
  <si>
    <t>Generation Obl $/MWh - Winter - On-Peak Hours</t>
  </si>
  <si>
    <t>Generation Obl $/MWh - Winter - All Hours</t>
  </si>
  <si>
    <t>{1} For BGS purposes the RT rate class includes the RS and GS rate class Off-Peak (OPWH) and Controlled Water Heating (CTWH) provisions.  The RT rate class also includes the</t>
  </si>
  <si>
    <t>GST {4}</t>
  </si>
  <si>
    <t>CTWH</t>
  </si>
  <si>
    <t>On-Peak PJM</t>
  </si>
  <si>
    <t>Hours Mon=&gt;Fri</t>
  </si>
  <si>
    <t>On-peak</t>
  </si>
  <si>
    <t>Hours</t>
  </si>
  <si>
    <t>%</t>
  </si>
  <si>
    <t>Average Daily</t>
  </si>
  <si>
    <t>WH Off</t>
  </si>
  <si>
    <t>% usage during Off-Peak period</t>
  </si>
  <si>
    <t xml:space="preserve">  summer billing month RGT rate class usage.  OPWH and CTWH is billed on the average RT rates, while RT and Summer RGT use is billed at on-peak and off-peak rates.</t>
  </si>
  <si>
    <t xml:space="preserve"> PJM trading time periods - 7 AM to 11 PM weekdays, local time, excluding NERC </t>
  </si>
  <si>
    <t>1st</t>
  </si>
  <si>
    <t>2nd</t>
  </si>
  <si>
    <t>total</t>
  </si>
  <si>
    <t>Adjusted</t>
  </si>
  <si>
    <t>includes energy, Generation and Transmission obligations, and Ancillary Services - adjusted to billing time periods</t>
  </si>
  <si>
    <t>Seasonal Payment Factors</t>
  </si>
  <si>
    <t>Seasonal</t>
  </si>
  <si>
    <t>Initial</t>
  </si>
  <si>
    <t>Adjustment</t>
  </si>
  <si>
    <t>Factor</t>
  </si>
  <si>
    <t>Calculation</t>
  </si>
  <si>
    <t>Seasonally Adjusted Summer Payment</t>
  </si>
  <si>
    <t>Price per MWH</t>
  </si>
  <si>
    <t>Seasonally Adjusted Winter Payment</t>
  </si>
  <si>
    <t>Units</t>
  </si>
  <si>
    <t>Seasonal Units</t>
  </si>
  <si>
    <t>Payment</t>
  </si>
  <si>
    <t>Customer Costs Per Allocation Matrix</t>
  </si>
  <si>
    <r>
      <t xml:space="preserve">Supplier Payment </t>
    </r>
    <r>
      <rPr>
        <sz val="10"/>
        <rFont val="Arial"/>
        <family val="2"/>
      </rPr>
      <t>in $1000</t>
    </r>
  </si>
  <si>
    <t>Total Supplier Payment</t>
  </si>
  <si>
    <t>Adjustment Factor Calculation</t>
  </si>
  <si>
    <t>Allocated Customer Costs on a per MWh basis (on bulk system MWhs):</t>
  </si>
  <si>
    <t>Supplier</t>
  </si>
  <si>
    <t>in $1,000's</t>
  </si>
  <si>
    <t>Composite (Tranche Weighted) Costs</t>
  </si>
  <si>
    <t>Units @ Customer</t>
  </si>
  <si>
    <t>in kWh</t>
  </si>
  <si>
    <t>Table #17</t>
  </si>
  <si>
    <t>Table #18</t>
  </si>
  <si>
    <t>Table #19</t>
  </si>
  <si>
    <t>Table #16 &amp; Table #17</t>
  </si>
  <si>
    <t>Bulk System Costs</t>
  </si>
  <si>
    <t>Customer &amp; Bulk System Costs</t>
  </si>
  <si>
    <t>includes energy, Generation &amp; Transmission obligations, and Ancillary Services - adjusted to billing time periods</t>
  </si>
  <si>
    <t>includes Energy, Generation &amp; Transmission obligations, and Ancillary Services - adjusted to billing time periods</t>
  </si>
  <si>
    <t xml:space="preserve"> Based on Forwards prices @ PJM West corrected for hub-zone basis differential (both based on the figures used to derive the </t>
  </si>
  <si>
    <t>kWh</t>
  </si>
  <si>
    <r>
      <t>Deli</t>
    </r>
    <r>
      <rPr>
        <b/>
        <sz val="10"/>
        <color indexed="20"/>
        <rFont val="Arial"/>
        <family val="2"/>
      </rPr>
      <t>very</t>
    </r>
    <r>
      <rPr>
        <b/>
        <sz val="10"/>
        <color indexed="17"/>
        <rFont val="Arial"/>
        <family val="2"/>
      </rPr>
      <t xml:space="preserve"> kWh</t>
    </r>
  </si>
  <si>
    <t>RSH</t>
  </si>
  <si>
    <t>Total RS</t>
  </si>
  <si>
    <t xml:space="preserve"> </t>
  </si>
  <si>
    <t>Table #C1</t>
  </si>
  <si>
    <t>Table #C2</t>
  </si>
  <si>
    <t>Table #C3</t>
  </si>
  <si>
    <t>Table #C4</t>
  </si>
  <si>
    <t>Table #C5</t>
  </si>
  <si>
    <t>Table #C6</t>
  </si>
  <si>
    <t>Table #C7</t>
  </si>
  <si>
    <t>WH Average =&gt;</t>
  </si>
  <si>
    <t>WH Average=&gt;</t>
  </si>
  <si>
    <t>JC Tariff Based mWh</t>
  </si>
  <si>
    <t>Expansion Factor to Transmission Nodes =</t>
  </si>
  <si>
    <t>Loss Factors from Transmission Nodes =</t>
  </si>
  <si>
    <t>per MWh at transmission nodes (per transmission nodes metered MWh)</t>
  </si>
  <si>
    <t>All-In Average costs @ transmission nodes =</t>
  </si>
  <si>
    <t xml:space="preserve">PJM Marginal Losses = </t>
  </si>
  <si>
    <t>PJM's calculated mean value of hourly marginal loss factor</t>
  </si>
  <si>
    <t>Ratio of BGS Unit Costs @ customer to All-In Average Cost @ transmission nodes (rounded to 3 decimal places)</t>
  </si>
  <si>
    <t xml:space="preserve">Loss = </t>
  </si>
  <si>
    <t>Consistent with Losses as approved by the BPU</t>
  </si>
  <si>
    <t xml:space="preserve">         If total $ were split on a per MWh basis (on bulk nodes MWhs):</t>
  </si>
  <si>
    <t>@ Bulk mwh</t>
  </si>
  <si>
    <t>@ Transmission</t>
  </si>
  <si>
    <t>Loss Factors @ Bulk =</t>
  </si>
  <si>
    <t>Expansion Factors @ Bulk =</t>
  </si>
  <si>
    <t>Loss Factors @ Transmission Node =</t>
  </si>
  <si>
    <t>Expansion Factors @ Transmission Node =</t>
  </si>
  <si>
    <t>RS Excluding</t>
  </si>
  <si>
    <t>RT\RGT\WH</t>
  </si>
  <si>
    <t>Size of Tranches =</t>
  </si>
  <si>
    <t>Total GS (incl WH)</t>
  </si>
  <si>
    <r>
      <t xml:space="preserve">{4} The GS and GST units exclude the units associated with the </t>
    </r>
    <r>
      <rPr>
        <sz val="10"/>
        <color indexed="12"/>
        <rFont val="Arial"/>
        <family val="2"/>
      </rPr>
      <t xml:space="preserve">500 </t>
    </r>
    <r>
      <rPr>
        <sz val="10"/>
        <rFont val="Arial"/>
        <family val="2"/>
      </rPr>
      <t>kW and above PLS accounts that will be required to take service under BGS-CIEP</t>
    </r>
  </si>
  <si>
    <t>WH OnPeak MWH</t>
  </si>
  <si>
    <t>WH OffPeak MWH</t>
  </si>
  <si>
    <t>2015/2016 BGS Supply Period Estimated Supplier Payments Allocated by Rate Class</t>
  </si>
  <si>
    <t>Post Transition Year 13 Costs</t>
  </si>
  <si>
    <t>Jersey Central Power and Light</t>
  </si>
  <si>
    <t>1 Year Term Remaining</t>
  </si>
  <si>
    <t>2 Year Term Remaining</t>
  </si>
  <si>
    <t>3 Year Term</t>
  </si>
  <si>
    <t>Final Auction Price - in $/MWh</t>
  </si>
  <si>
    <t>Size of Tranches</t>
  </si>
  <si>
    <t>Total # of Tranches</t>
  </si>
  <si>
    <t>Seasonal Factors</t>
  </si>
  <si>
    <t>Applicable Customer Usage
@ transmission node</t>
  </si>
  <si>
    <t>Summer MWh</t>
  </si>
  <si>
    <t>Winter MWh</t>
  </si>
  <si>
    <t>Composite Bid Price</t>
  </si>
  <si>
    <t>Post Transition Year 14 Costs</t>
  </si>
  <si>
    <t>Post Transition Year 13 Bid price</t>
  </si>
  <si>
    <t>2016/2017 BGS Supply Period Estimated Supplier Payments Allocated by Rate Class</t>
  </si>
  <si>
    <r>
      <t xml:space="preserve"> Bid Factors and establish retail rates in Post Transition Year </t>
    </r>
    <r>
      <rPr>
        <sz val="10"/>
        <color indexed="12"/>
        <rFont val="Arial"/>
        <family val="2"/>
      </rPr>
      <t>13</t>
    </r>
    <r>
      <rPr>
        <sz val="10"/>
        <rFont val="Arial"/>
        <family val="2"/>
      </rPr>
      <t xml:space="preserve"> and adjusted to match the total cost at the actual supplier bid price.</t>
    </r>
  </si>
  <si>
    <r>
      <t xml:space="preserve">BGS Post Transition
Year </t>
    </r>
    <r>
      <rPr>
        <b/>
        <sz val="10"/>
        <color indexed="12"/>
        <rFont val="Arial"/>
        <family val="2"/>
      </rPr>
      <t>14</t>
    </r>
  </si>
  <si>
    <t>Notes:</t>
  </si>
  <si>
    <t>Incremental RPM Cost - $/MW-day</t>
  </si>
  <si>
    <t xml:space="preserve">Incremental Annual RPM Cost </t>
  </si>
  <si>
    <t>Incremental Annual RPM Cost - $/MWh</t>
  </si>
  <si>
    <t xml:space="preserve">  </t>
  </si>
  <si>
    <t>BGS-RSCP</t>
  </si>
  <si>
    <t>Calculation of Composite BGS-RSCP Price</t>
  </si>
  <si>
    <t>Total
BGS-RSCP
Cost</t>
  </si>
  <si>
    <t>All-in BGS-RSCP Cost</t>
  </si>
  <si>
    <t>BGS-RSCP Composite Cost Allocation</t>
  </si>
  <si>
    <t>Ratio to All-In Cost (If Winter is greater than Summer)</t>
  </si>
  <si>
    <t>Table A</t>
  </si>
  <si>
    <t>Total BGS-RSCP Gen Obl - MW</t>
  </si>
  <si>
    <t>Days in BGS Delivery Year</t>
  </si>
  <si>
    <t>Eligible Tranches</t>
  </si>
  <si>
    <t>Total Tranches</t>
  </si>
  <si>
    <t>Eligibility %</t>
  </si>
  <si>
    <t xml:space="preserve">Allocated Incremental Annual RPM Cost </t>
  </si>
  <si>
    <t>A</t>
  </si>
  <si>
    <t>B</t>
  </si>
  <si>
    <t>C</t>
  </si>
  <si>
    <t>D</t>
  </si>
  <si>
    <t>E</t>
  </si>
  <si>
    <t>F</t>
  </si>
  <si>
    <t>G</t>
  </si>
  <si>
    <t>H</t>
  </si>
  <si>
    <t>I</t>
  </si>
  <si>
    <t>J</t>
  </si>
  <si>
    <t>K</t>
  </si>
  <si>
    <t>L</t>
  </si>
  <si>
    <t>A*D/E*F*H+B*D/E*H</t>
  </si>
  <si>
    <t>A*D/E*G*I+B*D/E*I</t>
  </si>
  <si>
    <t>J+K</t>
  </si>
  <si>
    <t>= line 3 * line 4 * line 5</t>
  </si>
  <si>
    <t>= line 7/ line 8</t>
  </si>
  <si>
    <t>= line 6 * line 9</t>
  </si>
  <si>
    <t>= line 9 * line 11</t>
  </si>
  <si>
    <t>= line 10 / line 12 (rounded to 2 decimal places)</t>
  </si>
  <si>
    <t>2017/2018 BGS Supply Period Estimated Supplier Payments Allocated by Rate Class</t>
  </si>
  <si>
    <t>Post Transition Year 14 Bid price</t>
  </si>
  <si>
    <r>
      <t xml:space="preserve"> Bid Factors and establish retail rates in Post Transition Year </t>
    </r>
    <r>
      <rPr>
        <sz val="10"/>
        <color indexed="12"/>
        <rFont val="Arial"/>
        <family val="2"/>
      </rPr>
      <t xml:space="preserve">14 </t>
    </r>
    <r>
      <rPr>
        <sz val="10"/>
        <rFont val="Arial"/>
        <family val="2"/>
      </rPr>
      <t>and adjusted to match the total cost at the actual supplier bid price.</t>
    </r>
  </si>
  <si>
    <t>Post Transition Year 15 Costs</t>
  </si>
  <si>
    <r>
      <t xml:space="preserve"> based on </t>
    </r>
    <r>
      <rPr>
        <sz val="10"/>
        <color indexed="12"/>
        <rFont val="Arial"/>
        <family val="2"/>
      </rPr>
      <t xml:space="preserve">6/17 to 5/18 </t>
    </r>
    <r>
      <rPr>
        <sz val="10"/>
        <rFont val="Arial"/>
        <family val="2"/>
      </rPr>
      <t>Forwards @ PJM West corrected for hub-zone basis differential</t>
    </r>
  </si>
  <si>
    <r>
      <t xml:space="preserve">   JCP&amp;L billing on/off % from </t>
    </r>
    <r>
      <rPr>
        <sz val="10"/>
        <color indexed="12"/>
        <rFont val="Arial"/>
        <family val="2"/>
      </rPr>
      <t>2016</t>
    </r>
    <r>
      <rPr>
        <sz val="10"/>
        <rFont val="Arial"/>
        <family val="2"/>
      </rPr>
      <t xml:space="preserve"> forecasted billing determinants</t>
    </r>
  </si>
  <si>
    <r>
      <t xml:space="preserve"> class totals for </t>
    </r>
    <r>
      <rPr>
        <sz val="10"/>
        <color indexed="12"/>
        <rFont val="Arial"/>
        <family val="2"/>
      </rPr>
      <t>2016</t>
    </r>
    <r>
      <rPr>
        <sz val="10"/>
        <rFont val="Arial"/>
        <family val="2"/>
      </rPr>
      <t xml:space="preserve"> excluding accounts required to take service under BGS-CIEP as of </t>
    </r>
    <r>
      <rPr>
        <sz val="10"/>
        <color indexed="12"/>
        <rFont val="Arial"/>
        <family val="2"/>
      </rPr>
      <t>June 1, 2017</t>
    </r>
  </si>
  <si>
    <r>
      <t xml:space="preserve">2016 </t>
    </r>
    <r>
      <rPr>
        <i/>
        <sz val="10"/>
        <rFont val="Arial"/>
        <family val="2"/>
      </rPr>
      <t>Forecasted Calendar Month Sales</t>
    </r>
  </si>
  <si>
    <r>
      <t xml:space="preserve">Based on an average of </t>
    </r>
    <r>
      <rPr>
        <i/>
        <sz val="10"/>
        <color indexed="12"/>
        <rFont val="Arial"/>
        <family val="2"/>
      </rPr>
      <t>2013</t>
    </r>
    <r>
      <rPr>
        <i/>
        <sz val="10"/>
        <rFont val="Arial"/>
        <family val="2"/>
      </rPr>
      <t xml:space="preserve"> through </t>
    </r>
    <r>
      <rPr>
        <i/>
        <sz val="10"/>
        <color indexed="12"/>
        <rFont val="Arial"/>
        <family val="2"/>
      </rPr>
      <t>2015</t>
    </r>
    <r>
      <rPr>
        <i/>
        <sz val="10"/>
        <rFont val="Arial"/>
        <family val="2"/>
      </rPr>
      <t xml:space="preserve"> Load Profile Information</t>
    </r>
  </si>
  <si>
    <t>2017 BGS Auction Cost and Bid Factor Tables</t>
  </si>
  <si>
    <t>Total Forecasted Ancillary Services &amp; Renewable Power Costs</t>
  </si>
  <si>
    <t>Forecasted Ancillary Services Cost</t>
  </si>
  <si>
    <t>Not Applicable to 2017/2018 BGS Supply Period</t>
  </si>
  <si>
    <r>
      <t xml:space="preserve"> forecasted </t>
    </r>
    <r>
      <rPr>
        <sz val="10"/>
        <color indexed="12"/>
        <rFont val="Arial"/>
        <family val="2"/>
      </rPr>
      <t>2016</t>
    </r>
    <r>
      <rPr>
        <sz val="10"/>
        <rFont val="Arial"/>
        <family val="2"/>
      </rPr>
      <t xml:space="preserve"> energy use by class based upon PJM on/off % from </t>
    </r>
    <r>
      <rPr>
        <sz val="10"/>
        <color indexed="12"/>
        <rFont val="Arial"/>
        <family val="2"/>
      </rPr>
      <t>2013 through 2015</t>
    </r>
    <r>
      <rPr>
        <sz val="10"/>
        <rFont val="Arial"/>
        <family val="2"/>
      </rPr>
      <t xml:space="preserve"> class load profiles</t>
    </r>
  </si>
  <si>
    <t>Ancillary Services and Renewable Power Cost =</t>
  </si>
  <si>
    <r>
      <t xml:space="preserve">Development of </t>
    </r>
    <r>
      <rPr>
        <b/>
        <sz val="12"/>
        <color rgb="FF0000FF"/>
        <rFont val="Arial"/>
        <family val="2"/>
      </rPr>
      <t>2017/18</t>
    </r>
    <r>
      <rPr>
        <b/>
        <sz val="12"/>
        <rFont val="Arial"/>
        <family val="2"/>
      </rPr>
      <t xml:space="preserve"> Incremental RPM Cost - $/MWh - JCPL</t>
    </r>
  </si>
  <si>
    <t>2017/2018 
Delivery Year</t>
  </si>
  <si>
    <r>
      <t xml:space="preserve">Table #10 of the </t>
    </r>
    <r>
      <rPr>
        <sz val="10"/>
        <color rgb="FF0000FF"/>
        <rFont val="Arial"/>
        <family val="2"/>
      </rPr>
      <t>2017</t>
    </r>
    <r>
      <rPr>
        <sz val="10"/>
        <rFont val="Arial"/>
        <family val="2"/>
      </rPr>
      <t xml:space="preserve"> BGS Auction Cost and Bid Factor Tables</t>
    </r>
  </si>
  <si>
    <t>June 1, 2017 through May 31, 2018</t>
  </si>
  <si>
    <r>
      <t>BGS Post Transition
Year</t>
    </r>
    <r>
      <rPr>
        <b/>
        <sz val="10"/>
        <color indexed="12"/>
        <rFont val="Arial"/>
        <family val="2"/>
      </rPr>
      <t xml:space="preserve"> 13</t>
    </r>
  </si>
  <si>
    <r>
      <t xml:space="preserve">BGS Post Transition
Year </t>
    </r>
    <r>
      <rPr>
        <b/>
        <sz val="10"/>
        <color indexed="12"/>
        <rFont val="Arial"/>
        <family val="2"/>
      </rPr>
      <t>15</t>
    </r>
  </si>
  <si>
    <r>
      <t xml:space="preserve">Table #14 * Table #6 from </t>
    </r>
    <r>
      <rPr>
        <sz val="10"/>
        <color rgb="FF0000FF"/>
        <rFont val="Arial"/>
        <family val="2"/>
      </rPr>
      <t>2017</t>
    </r>
    <r>
      <rPr>
        <sz val="10"/>
        <rFont val="Arial"/>
        <family val="2"/>
      </rPr>
      <t xml:space="preserve"> BGS Auction Cost and Bid Factor Tables</t>
    </r>
  </si>
  <si>
    <t>Actual (Year 13, 14) and Estimated (Year 15) Bidding Price</t>
  </si>
  <si>
    <t>Preliminary Zonal Net Load Price - JCPL Zone</t>
  </si>
  <si>
    <t>Effective CP Adder = Line 1 - Line2</t>
  </si>
  <si>
    <t>Renewable Portfolio Standard Cost</t>
  </si>
  <si>
    <t>See Above Line 13</t>
  </si>
  <si>
    <t>L/(H+I), Rounded to 2 decimals</t>
  </si>
  <si>
    <t>Final PJM RPM Net Zonal Price
 ($/MW-day) - JCPL Zone</t>
  </si>
  <si>
    <t>Base Residual PJM RPM Net Zonal Price
 for 2017/2018 - JCPL Zone</t>
  </si>
  <si>
    <r>
      <t xml:space="preserve">Applicable Customer Usage 
@ transmission nodes </t>
    </r>
    <r>
      <rPr>
        <b/>
        <i/>
        <sz val="10"/>
        <rFont val="Arial"/>
        <family val="2"/>
      </rPr>
      <t xml:space="preserve">- </t>
    </r>
    <r>
      <rPr>
        <i/>
        <sz val="10"/>
        <rFont val="Arial"/>
        <family val="2"/>
      </rPr>
      <t>in MWh</t>
    </r>
  </si>
  <si>
    <r>
      <t>Allocated Customer Usage 
@ transmission nodes -</t>
    </r>
    <r>
      <rPr>
        <i/>
        <sz val="10"/>
        <rFont val="Arial"/>
        <family val="2"/>
      </rPr>
      <t xml:space="preserve"> in MWh</t>
    </r>
  </si>
  <si>
    <t>PJM RPM - in $/MWh (2)</t>
  </si>
  <si>
    <t>(2) Payments to suppliers that executed the Supplements to the SMA approved by BPU on November 24, 2014 will be adjusted for the price difference between the Final PJM RPM Net Zonal Price and the Base Residual PJM RPM Net Zonal Price for 2017/2018 Delivery Year.</t>
  </si>
  <si>
    <r>
      <t xml:space="preserve">Table #14 * Table #6 from </t>
    </r>
    <r>
      <rPr>
        <sz val="10"/>
        <color rgb="FF0000FF"/>
        <rFont val="Arial"/>
        <family val="2"/>
      </rPr>
      <t>2017</t>
    </r>
    <r>
      <rPr>
        <sz val="10"/>
        <rFont val="Arial"/>
        <family val="2"/>
      </rPr>
      <t xml:space="preserve"> BGS Auction Cost 
and Bid Factor Tables</t>
    </r>
  </si>
  <si>
    <t>(1) PJM RPM Net Zonal Price for 2017/2018 - JCPL Zone - Second Incremental Auction</t>
  </si>
  <si>
    <t>(1) Second Incremental Auction PJM RPM Net Zonal Price is used as an approximation and will be replaced with results upon conclusion of the Third Incremental RPM Auction.</t>
  </si>
  <si>
    <t>NJ Sales and Use Tax (SUT) =</t>
  </si>
  <si>
    <t>SUT excluded from all costs</t>
  </si>
  <si>
    <t>NJ Sales and Use Tax (SUT) excluded</t>
  </si>
  <si>
    <r>
      <t>calendar month sales forecasted for</t>
    </r>
    <r>
      <rPr>
        <b/>
        <i/>
        <sz val="10"/>
        <rFont val="Arial"/>
        <family val="2"/>
      </rPr>
      <t xml:space="preserve"> </t>
    </r>
    <r>
      <rPr>
        <b/>
        <i/>
        <sz val="10"/>
        <color indexed="12"/>
        <rFont val="Arial"/>
        <family val="2"/>
      </rPr>
      <t>2017</t>
    </r>
  </si>
  <si>
    <t>Forecast 2017 Delivery MWh</t>
  </si>
  <si>
    <r>
      <t xml:space="preserve">obligations - annual average forecasted for </t>
    </r>
    <r>
      <rPr>
        <i/>
        <sz val="10"/>
        <color indexed="12"/>
        <rFont val="Arial"/>
        <family val="2"/>
      </rPr>
      <t>2017</t>
    </r>
    <r>
      <rPr>
        <i/>
        <sz val="10"/>
        <rFont val="Arial"/>
        <family val="2"/>
      </rPr>
      <t>; costs are market estimates</t>
    </r>
  </si>
  <si>
    <r>
      <t xml:space="preserve">Forecasted </t>
    </r>
    <r>
      <rPr>
        <i/>
        <sz val="10"/>
        <color indexed="12"/>
        <rFont val="Arial"/>
        <family val="2"/>
      </rPr>
      <t xml:space="preserve">2017 </t>
    </r>
    <r>
      <rPr>
        <i/>
        <sz val="10"/>
        <rFont val="Arial"/>
        <family val="2"/>
      </rPr>
      <t>in kWh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</si>
</sst>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
    <numFmt numFmtId="169" formatCode="0.0000%"/>
    <numFmt numFmtId="170" formatCode="#,##0.0"/>
    <numFmt numFmtId="171" formatCode="_(&quot;$&quot;* #,##0_);_(&quot;$&quot;* \(#,##0\);_(&quot;$&quot;* &quot;-&quot;??_);_(@_)"/>
    <numFmt numFmtId="172" formatCode="_(&quot;$&quot;* #,##0.000_);_(&quot;$&quot;* \(#,##0.000\);_(&quot;$&quot;* &quot;-&quot;??_);_(@_)"/>
    <numFmt numFmtId="173" formatCode="_(&quot;$&quot;* #,##0.0000_);_(&quot;$&quot;* \(#,##0.0000\);_(&quot;$&quot;* &quot;-&quot;??_);_(@_)"/>
    <numFmt numFmtId="174" formatCode="0.0%"/>
    <numFmt numFmtId="175" formatCode="_(* #,##0_);_(* \(#,##0\);_(* &quot;-&quot;??_);_(@_)"/>
    <numFmt numFmtId="176" formatCode="_(* #,##0.000_);_(* \(#,##0.000\);_(* &quot;-&quot;??_);_(@_)"/>
    <numFmt numFmtId="177" formatCode="_(* #,##0.0000_);_(* \(#,##0.0000\);_(* &quot;-&quot;??_);_(@_)"/>
    <numFmt numFmtId="178" formatCode="_(* #,##0.00000_);_(* \(#,##0.00000\);_(* &quot;-&quot;??_);_(@_)"/>
    <numFmt numFmtId="179" formatCode="#,##0.000"/>
    <numFmt numFmtId="180" formatCode="_(* #,##0.000000_);_(* \(#,##0.000000\);_(* &quot;-&quot;??_);_(@_)"/>
    <numFmt numFmtId="181" formatCode="0.000000%"/>
    <numFmt numFmtId="182" formatCode="mm/dd/yy;@"/>
    <numFmt numFmtId="183" formatCode="_(&quot;$&quot;* #,##0.000000_);_(&quot;$&quot;* \(#,##0.000000\);_(&quot;$&quot;* &quot;-&quot;??_);_(@_)"/>
    <numFmt numFmtId="184" formatCode="&quot;$&quot;#,##0"/>
    <numFmt numFmtId="185" formatCode="&quot;$&quot;#,##0.00"/>
    <numFmt numFmtId="186" formatCode="_(* #,##0.0_);_(* \(#,##0.0\);_(* &quot;-&quot;??_);_(@_)"/>
  </numFmts>
  <fonts count="55"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sz val="10"/>
      <color indexed="8"/>
      <name val="Arial"/>
      <family val="2"/>
    </font>
    <font>
      <b/>
      <u/>
      <sz val="10"/>
      <name val="Arial"/>
      <family val="2"/>
    </font>
    <font>
      <u val="singleAccounting"/>
      <sz val="10"/>
      <name val="Arial"/>
      <family val="2"/>
    </font>
    <font>
      <sz val="10"/>
      <color indexed="54"/>
      <name val="Arial"/>
      <family val="2"/>
    </font>
    <font>
      <u/>
      <sz val="10"/>
      <color indexed="54"/>
      <name val="Arial"/>
      <family val="2"/>
    </font>
    <font>
      <b/>
      <sz val="10"/>
      <color indexed="10"/>
      <name val="Arial"/>
      <family val="2"/>
    </font>
    <font>
      <sz val="10"/>
      <color indexed="20"/>
      <name val="Arial"/>
      <family val="2"/>
    </font>
    <font>
      <sz val="8"/>
      <color indexed="81"/>
      <name val="Tahoma"/>
      <family val="2"/>
    </font>
    <font>
      <b/>
      <sz val="8"/>
      <color indexed="81"/>
      <name val="Tahoma"/>
      <family val="2"/>
    </font>
    <font>
      <b/>
      <sz val="10"/>
      <color indexed="12"/>
      <name val="Arial"/>
      <family val="2"/>
    </font>
    <font>
      <b/>
      <sz val="10"/>
      <color indexed="16"/>
      <name val="Arial"/>
      <family val="2"/>
    </font>
    <font>
      <sz val="10"/>
      <color indexed="16"/>
      <name val="Arial"/>
      <family val="2"/>
    </font>
    <font>
      <sz val="10"/>
      <color indexed="53"/>
      <name val="Arial"/>
      <family val="2"/>
    </font>
    <font>
      <u/>
      <sz val="10"/>
      <color indexed="53"/>
      <name val="Arial"/>
      <family val="2"/>
    </font>
    <font>
      <u/>
      <sz val="10"/>
      <color indexed="8"/>
      <name val="Arial"/>
      <family val="2"/>
    </font>
    <font>
      <b/>
      <sz val="10"/>
      <color indexed="53"/>
      <name val="Arial"/>
      <family val="2"/>
    </font>
    <font>
      <b/>
      <sz val="10"/>
      <color indexed="8"/>
      <name val="Arial"/>
      <family val="2"/>
    </font>
    <font>
      <b/>
      <sz val="12"/>
      <color indexed="12"/>
      <name val="Arial"/>
      <family val="2"/>
    </font>
    <font>
      <sz val="10"/>
      <color indexed="17"/>
      <name val="Arial"/>
      <family val="2"/>
    </font>
    <font>
      <b/>
      <sz val="10"/>
      <color indexed="20"/>
      <name val="Arial"/>
      <family val="2"/>
    </font>
    <font>
      <b/>
      <sz val="10"/>
      <color indexed="17"/>
      <name val="Arial"/>
      <family val="2"/>
    </font>
    <font>
      <sz val="8"/>
      <name val="Arial"/>
      <family val="2"/>
    </font>
    <font>
      <i/>
      <sz val="10"/>
      <color indexed="12"/>
      <name val="Arial"/>
      <family val="2"/>
    </font>
    <font>
      <u/>
      <sz val="10"/>
      <name val="Arial"/>
      <family val="2"/>
    </font>
    <font>
      <sz val="10"/>
      <color indexed="12"/>
      <name val="Arial"/>
      <family val="2"/>
    </font>
    <font>
      <u/>
      <sz val="10"/>
      <color indexed="20"/>
      <name val="Arial"/>
      <family val="2"/>
    </font>
    <font>
      <b/>
      <i/>
      <sz val="10"/>
      <color indexed="12"/>
      <name val="Arial"/>
      <family val="2"/>
    </font>
    <font>
      <b/>
      <u/>
      <sz val="10"/>
      <color indexed="12"/>
      <name val="Arial"/>
      <family val="2"/>
    </font>
    <font>
      <sz val="10"/>
      <color indexed="17"/>
      <name val="Arial"/>
      <family val="2"/>
    </font>
    <font>
      <u/>
      <sz val="10"/>
      <color indexed="17"/>
      <name val="Arial"/>
      <family val="2"/>
    </font>
    <font>
      <sz val="9"/>
      <color indexed="81"/>
      <name val="Tahoma"/>
      <family val="2"/>
    </font>
    <font>
      <sz val="10"/>
      <color indexed="30"/>
      <name val="Arial"/>
      <family val="2"/>
    </font>
    <font>
      <u/>
      <sz val="10"/>
      <color indexed="16"/>
      <name val="Arial"/>
      <family val="2"/>
    </font>
    <font>
      <b/>
      <sz val="9"/>
      <color indexed="81"/>
      <name val="Tahoma"/>
      <family val="2"/>
    </font>
    <font>
      <sz val="10"/>
      <color rgb="FF0000FF"/>
      <name val="Arial"/>
      <family val="2"/>
    </font>
    <font>
      <b/>
      <sz val="10"/>
      <color rgb="FF0000FF"/>
      <name val="Arial"/>
      <family val="2"/>
    </font>
    <font>
      <sz val="10"/>
      <color rgb="FF7030A0"/>
      <name val="Arial"/>
      <family val="2"/>
    </font>
    <font>
      <b/>
      <sz val="10"/>
      <color rgb="FF7030A0"/>
      <name val="Arial"/>
      <family val="2"/>
    </font>
    <font>
      <sz val="10"/>
      <color rgb="FF006600"/>
      <name val="Arial"/>
      <family val="2"/>
    </font>
    <font>
      <b/>
      <sz val="10"/>
      <color rgb="FFFF0000"/>
      <name val="Arial"/>
      <family val="2"/>
    </font>
    <font>
      <b/>
      <sz val="14"/>
      <color rgb="FF0000FF"/>
      <name val="Arial"/>
      <family val="2"/>
    </font>
    <font>
      <b/>
      <sz val="12"/>
      <color rgb="FF0000FF"/>
      <name val="Arial"/>
      <family val="2"/>
    </font>
    <font>
      <u/>
      <sz val="10"/>
      <color rgb="FF0000FF"/>
      <name val="Arial"/>
      <family val="2"/>
    </font>
  </fonts>
  <fills count="9">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s>
  <borders count="22">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528">
    <xf numFmtId="0" fontId="0" fillId="0" borderId="0" xfId="0"/>
    <xf numFmtId="0" fontId="4" fillId="0" borderId="0" xfId="0" applyFont="1"/>
    <xf numFmtId="0" fontId="4" fillId="0" borderId="0" xfId="0" applyFont="1" applyAlignment="1">
      <alignment horizontal="center"/>
    </xf>
    <xf numFmtId="171" fontId="0" fillId="0" borderId="0" xfId="0" applyNumberFormat="1"/>
    <xf numFmtId="3" fontId="0" fillId="0" borderId="0" xfId="0" applyNumberFormat="1"/>
    <xf numFmtId="0" fontId="0" fillId="0" borderId="0" xfId="0" applyAlignment="1">
      <alignment horizontal="center"/>
    </xf>
    <xf numFmtId="0" fontId="9" fillId="0" borderId="0" xfId="0" applyFont="1" applyAlignment="1">
      <alignment horizontal="left"/>
    </xf>
    <xf numFmtId="0" fontId="6" fillId="0" borderId="0" xfId="0" applyFont="1" applyAlignment="1">
      <alignment horizontal="left"/>
    </xf>
    <xf numFmtId="0" fontId="10" fillId="0" borderId="0" xfId="0" applyFont="1" applyAlignment="1">
      <alignment horizontal="center"/>
    </xf>
    <xf numFmtId="43" fontId="3" fillId="0" borderId="0" xfId="1" quotePrefix="1" applyFont="1"/>
    <xf numFmtId="0" fontId="10" fillId="0" borderId="0" xfId="0" applyFont="1"/>
    <xf numFmtId="44" fontId="5" fillId="0" borderId="0" xfId="2" applyNumberFormat="1" applyFont="1" applyFill="1"/>
    <xf numFmtId="0" fontId="0" fillId="0" borderId="0" xfId="0" applyFill="1" applyAlignment="1">
      <alignment horizontal="left"/>
    </xf>
    <xf numFmtId="0" fontId="0" fillId="0" borderId="0" xfId="0" applyFill="1"/>
    <xf numFmtId="0" fontId="7" fillId="0" borderId="0" xfId="0" applyFont="1" applyFill="1"/>
    <xf numFmtId="0" fontId="8" fillId="0" borderId="0" xfId="0" applyFont="1" applyFill="1" applyAlignment="1">
      <alignment horizontal="left"/>
    </xf>
    <xf numFmtId="0" fontId="4" fillId="0" borderId="0" xfId="0" applyFont="1" applyFill="1"/>
    <xf numFmtId="0" fontId="6" fillId="0" borderId="0" xfId="0" applyFont="1" applyFill="1"/>
    <xf numFmtId="0" fontId="9" fillId="0" borderId="0" xfId="0" applyFont="1" applyFill="1" applyAlignment="1">
      <alignment horizontal="left"/>
    </xf>
    <xf numFmtId="0" fontId="4" fillId="0" borderId="0" xfId="0" quotePrefix="1" applyFont="1" applyFill="1" applyBorder="1"/>
    <xf numFmtId="39" fontId="3" fillId="0" borderId="0" xfId="0" quotePrefix="1" applyNumberFormat="1" applyFont="1" applyFill="1"/>
    <xf numFmtId="0" fontId="3" fillId="0" borderId="0" xfId="0" applyFont="1" applyFill="1"/>
    <xf numFmtId="0" fontId="6" fillId="0" borderId="0" xfId="0" applyFont="1" applyFill="1" applyAlignment="1">
      <alignment horizontal="left"/>
    </xf>
    <xf numFmtId="0" fontId="6" fillId="0" borderId="0" xfId="0" applyFont="1" applyFill="1" applyAlignment="1">
      <alignment horizontal="center" wrapText="1"/>
    </xf>
    <xf numFmtId="0" fontId="6" fillId="0" borderId="0" xfId="0" quotePrefix="1" applyFont="1" applyFill="1"/>
    <xf numFmtId="0" fontId="11"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horizontal="center"/>
    </xf>
    <xf numFmtId="17" fontId="0" fillId="0" borderId="0" xfId="0" applyNumberFormat="1" applyFill="1"/>
    <xf numFmtId="174" fontId="5" fillId="0" borderId="0" xfId="3" applyNumberFormat="1" applyFont="1" applyFill="1"/>
    <xf numFmtId="174" fontId="5" fillId="0" borderId="0" xfId="3" quotePrefix="1" applyNumberFormat="1" applyFont="1" applyFill="1"/>
    <xf numFmtId="9" fontId="5" fillId="0" borderId="0" xfId="3" quotePrefix="1" applyFont="1" applyFill="1"/>
    <xf numFmtId="9" fontId="3" fillId="0" borderId="0" xfId="3" quotePrefix="1" applyFont="1" applyFill="1"/>
    <xf numFmtId="9" fontId="5" fillId="0" borderId="0" xfId="3" applyNumberFormat="1" applyFont="1" applyFill="1"/>
    <xf numFmtId="9" fontId="6" fillId="0" borderId="0" xfId="3" applyFont="1" applyFill="1"/>
    <xf numFmtId="9" fontId="5" fillId="0" borderId="0" xfId="3" quotePrefix="1" applyFont="1" applyFill="1" applyAlignment="1">
      <alignment horizontal="center"/>
    </xf>
    <xf numFmtId="17" fontId="0" fillId="0" borderId="0" xfId="0" quotePrefix="1" applyNumberFormat="1" applyFill="1"/>
    <xf numFmtId="17" fontId="4" fillId="0" borderId="0" xfId="0" applyNumberFormat="1" applyFont="1" applyFill="1"/>
    <xf numFmtId="0" fontId="10" fillId="0" borderId="0" xfId="0" applyFont="1" applyFill="1" applyAlignment="1">
      <alignment horizontal="center"/>
    </xf>
    <xf numFmtId="17" fontId="6" fillId="0" borderId="0" xfId="0" applyNumberFormat="1" applyFont="1" applyFill="1"/>
    <xf numFmtId="0" fontId="0" fillId="0" borderId="1" xfId="0" applyFill="1" applyBorder="1"/>
    <xf numFmtId="0" fontId="0" fillId="0" borderId="2" xfId="0" applyFill="1" applyBorder="1"/>
    <xf numFmtId="0" fontId="0" fillId="0" borderId="3" xfId="0" applyFill="1" applyBorder="1"/>
    <xf numFmtId="0" fontId="4" fillId="0" borderId="4" xfId="0" applyFont="1" applyFill="1" applyBorder="1" applyAlignment="1">
      <alignment horizontal="center"/>
    </xf>
    <xf numFmtId="0" fontId="4" fillId="0" borderId="0" xfId="0" applyFont="1" applyFill="1" applyBorder="1" applyAlignment="1">
      <alignment horizontal="center"/>
    </xf>
    <xf numFmtId="0" fontId="4" fillId="0" borderId="5" xfId="0" applyFont="1" applyFill="1" applyBorder="1" applyAlignment="1">
      <alignment horizontal="center"/>
    </xf>
    <xf numFmtId="0" fontId="0" fillId="0" borderId="4" xfId="0" applyFill="1" applyBorder="1"/>
    <xf numFmtId="0" fontId="0" fillId="0" borderId="0" xfId="0" applyFill="1" applyBorder="1"/>
    <xf numFmtId="0" fontId="0" fillId="0" borderId="5" xfId="0" applyFill="1" applyBorder="1"/>
    <xf numFmtId="3" fontId="5" fillId="0" borderId="0" xfId="0" applyNumberFormat="1" applyFont="1" applyFill="1"/>
    <xf numFmtId="3" fontId="12" fillId="0" borderId="0" xfId="0" applyNumberFormat="1" applyFont="1" applyFill="1"/>
    <xf numFmtId="0" fontId="0" fillId="0" borderId="4" xfId="0" applyFill="1" applyBorder="1" applyAlignment="1">
      <alignment horizontal="right"/>
    </xf>
    <xf numFmtId="3" fontId="0" fillId="0" borderId="0" xfId="0" quotePrefix="1" applyNumberFormat="1" applyFill="1" applyBorder="1"/>
    <xf numFmtId="3" fontId="0" fillId="0" borderId="0" xfId="0" applyNumberFormat="1" applyFill="1" applyBorder="1"/>
    <xf numFmtId="3" fontId="0" fillId="0" borderId="5" xfId="0" applyNumberFormat="1" applyFill="1" applyBorder="1"/>
    <xf numFmtId="3" fontId="0" fillId="0" borderId="0" xfId="0" applyNumberFormat="1" applyFill="1"/>
    <xf numFmtId="166" fontId="0" fillId="0" borderId="5" xfId="0" applyNumberFormat="1" applyFill="1" applyBorder="1"/>
    <xf numFmtId="0" fontId="0" fillId="0" borderId="6" xfId="0" applyFill="1" applyBorder="1"/>
    <xf numFmtId="0" fontId="0" fillId="0" borderId="7" xfId="0" applyFill="1" applyBorder="1"/>
    <xf numFmtId="0" fontId="0" fillId="0" borderId="8" xfId="0" applyFill="1" applyBorder="1"/>
    <xf numFmtId="17" fontId="0" fillId="0" borderId="0" xfId="0" applyNumberFormat="1" applyFill="1" applyAlignment="1">
      <alignment horizontal="center"/>
    </xf>
    <xf numFmtId="37" fontId="0" fillId="0" borderId="0" xfId="0" applyNumberFormat="1" applyFill="1"/>
    <xf numFmtId="0" fontId="9" fillId="0" borderId="0" xfId="0" applyFont="1" applyFill="1" applyAlignment="1">
      <alignment horizontal="center"/>
    </xf>
    <xf numFmtId="0" fontId="0" fillId="0" borderId="0" xfId="0" applyFill="1" applyAlignment="1"/>
    <xf numFmtId="0" fontId="0" fillId="0" borderId="6" xfId="0" applyFill="1" applyBorder="1" applyAlignment="1">
      <alignment horizontal="right"/>
    </xf>
    <xf numFmtId="3" fontId="0" fillId="0" borderId="7" xfId="0" quotePrefix="1" applyNumberFormat="1" applyFill="1" applyBorder="1"/>
    <xf numFmtId="3" fontId="0" fillId="0" borderId="7" xfId="0" applyNumberFormat="1" applyFill="1" applyBorder="1"/>
    <xf numFmtId="179" fontId="5" fillId="0" borderId="0" xfId="0" applyNumberFormat="1" applyFont="1" applyFill="1"/>
    <xf numFmtId="171" fontId="0" fillId="0" borderId="0" xfId="0" applyNumberFormat="1" applyFill="1" applyBorder="1"/>
    <xf numFmtId="4" fontId="5" fillId="0" borderId="0" xfId="0" applyNumberFormat="1" applyFont="1" applyFill="1"/>
    <xf numFmtId="9" fontId="5" fillId="0" borderId="0" xfId="3" applyFont="1" applyFill="1"/>
    <xf numFmtId="0" fontId="0" fillId="0" borderId="0" xfId="0" applyFill="1" applyAlignment="1">
      <alignment horizontal="center"/>
    </xf>
    <xf numFmtId="169" fontId="5" fillId="0" borderId="0" xfId="0" applyNumberFormat="1" applyFont="1" applyFill="1"/>
    <xf numFmtId="166" fontId="0" fillId="0" borderId="0" xfId="0" applyNumberFormat="1" applyFill="1"/>
    <xf numFmtId="44" fontId="3" fillId="0" borderId="0" xfId="2" quotePrefix="1" applyFont="1" applyFill="1"/>
    <xf numFmtId="172" fontId="3" fillId="0" borderId="0" xfId="2" quotePrefix="1" applyNumberFormat="1" applyFont="1" applyFill="1"/>
    <xf numFmtId="171" fontId="3" fillId="0" borderId="0" xfId="2" quotePrefix="1" applyNumberFormat="1" applyFont="1" applyFill="1"/>
    <xf numFmtId="17" fontId="0" fillId="0" borderId="0" xfId="0" applyNumberFormat="1" applyFill="1" applyAlignment="1">
      <alignment horizontal="right"/>
    </xf>
    <xf numFmtId="44" fontId="3" fillId="0" borderId="0" xfId="2" applyFont="1" applyFill="1"/>
    <xf numFmtId="172" fontId="3" fillId="0" borderId="0" xfId="2" applyNumberFormat="1" applyFont="1" applyFill="1"/>
    <xf numFmtId="44" fontId="3" fillId="0" borderId="0" xfId="2" quotePrefix="1" applyNumberFormat="1" applyFont="1" applyFill="1"/>
    <xf numFmtId="171" fontId="0" fillId="0" borderId="0" xfId="0" applyNumberFormat="1" applyFill="1"/>
    <xf numFmtId="171" fontId="3" fillId="0" borderId="0" xfId="2" applyNumberFormat="1" applyFont="1" applyFill="1"/>
    <xf numFmtId="39" fontId="0" fillId="0" borderId="0" xfId="0" applyNumberFormat="1" applyFill="1"/>
    <xf numFmtId="171" fontId="0" fillId="0" borderId="0" xfId="2" applyNumberFormat="1" applyFont="1" applyFill="1"/>
    <xf numFmtId="171" fontId="14" fillId="0" borderId="0" xfId="2" applyNumberFormat="1" applyFont="1" applyFill="1"/>
    <xf numFmtId="170" fontId="5" fillId="0" borderId="0" xfId="0" applyNumberFormat="1" applyFont="1" applyFill="1"/>
    <xf numFmtId="170" fontId="0" fillId="0" borderId="0" xfId="0" applyNumberFormat="1" applyFill="1"/>
    <xf numFmtId="170" fontId="12" fillId="0" borderId="0" xfId="0" applyNumberFormat="1" applyFont="1" applyFill="1"/>
    <xf numFmtId="0" fontId="0" fillId="0" borderId="0" xfId="0" applyFill="1" applyAlignment="1">
      <alignment horizontal="right"/>
    </xf>
    <xf numFmtId="0" fontId="5" fillId="0" borderId="0" xfId="0" applyFont="1" applyFill="1"/>
    <xf numFmtId="0" fontId="0" fillId="0" borderId="0" xfId="0" quotePrefix="1" applyFill="1" applyAlignment="1">
      <alignment horizontal="right"/>
    </xf>
    <xf numFmtId="171" fontId="5" fillId="0" borderId="0" xfId="2" applyNumberFormat="1" applyFont="1" applyFill="1"/>
    <xf numFmtId="0" fontId="0" fillId="0" borderId="0" xfId="0" quotePrefix="1" applyFill="1"/>
    <xf numFmtId="0" fontId="3" fillId="0" borderId="0" xfId="0" quotePrefix="1" applyFont="1" applyFill="1" applyAlignment="1">
      <alignment horizontal="center"/>
    </xf>
    <xf numFmtId="44" fontId="0" fillId="0" borderId="0" xfId="2" quotePrefix="1" applyFont="1" applyFill="1"/>
    <xf numFmtId="0" fontId="10" fillId="0" borderId="0" xfId="0" applyFont="1" applyFill="1" applyAlignment="1">
      <alignment horizontal="left"/>
    </xf>
    <xf numFmtId="44" fontId="3" fillId="0" borderId="0" xfId="2" applyNumberFormat="1" applyFont="1" applyFill="1"/>
    <xf numFmtId="43" fontId="4" fillId="0" borderId="0" xfId="1" quotePrefix="1" applyFont="1" applyFill="1" applyBorder="1"/>
    <xf numFmtId="43" fontId="3" fillId="0" borderId="0" xfId="1" quotePrefix="1" applyFont="1" applyFill="1"/>
    <xf numFmtId="43" fontId="3" fillId="0" borderId="0" xfId="1" quotePrefix="1" applyFont="1" applyFill="1" applyBorder="1"/>
    <xf numFmtId="44" fontId="4" fillId="0" borderId="0" xfId="0" applyNumberFormat="1" applyFont="1" applyFill="1"/>
    <xf numFmtId="44" fontId="0" fillId="0" borderId="0" xfId="0" applyNumberFormat="1" applyFill="1"/>
    <xf numFmtId="43" fontId="3" fillId="0" borderId="0" xfId="1" applyFont="1" applyFill="1"/>
    <xf numFmtId="177" fontId="4" fillId="0" borderId="0" xfId="1" applyNumberFormat="1" applyFont="1"/>
    <xf numFmtId="0" fontId="4" fillId="0" borderId="0" xfId="0" applyFont="1" applyFill="1" applyAlignment="1">
      <alignment horizontal="centerContinuous"/>
    </xf>
    <xf numFmtId="0" fontId="0" fillId="0" borderId="0" xfId="0" applyFill="1" applyAlignment="1">
      <alignment horizontal="centerContinuous"/>
    </xf>
    <xf numFmtId="167" fontId="15" fillId="0" borderId="0" xfId="0" applyNumberFormat="1" applyFont="1" applyFill="1"/>
    <xf numFmtId="0" fontId="16" fillId="0" borderId="0" xfId="0" applyFont="1" applyFill="1"/>
    <xf numFmtId="10" fontId="0" fillId="0" borderId="0" xfId="0" applyNumberFormat="1" applyFill="1"/>
    <xf numFmtId="0" fontId="3" fillId="0" borderId="0" xfId="0" applyFont="1" applyFill="1" applyAlignment="1">
      <alignment horizontal="right"/>
    </xf>
    <xf numFmtId="167" fontId="3" fillId="0" borderId="0" xfId="0" applyNumberFormat="1" applyFont="1" applyFill="1"/>
    <xf numFmtId="0" fontId="17" fillId="0" borderId="0" xfId="0" applyFont="1" applyFill="1"/>
    <xf numFmtId="44" fontId="4" fillId="0" borderId="0" xfId="2" quotePrefix="1" applyFont="1" applyFill="1" applyBorder="1"/>
    <xf numFmtId="0" fontId="0" fillId="0" borderId="0" xfId="0" applyFill="1" applyBorder="1" applyAlignment="1">
      <alignment horizontal="right"/>
    </xf>
    <xf numFmtId="3" fontId="0" fillId="0" borderId="0" xfId="0" applyNumberFormat="1" applyFill="1" applyBorder="1" applyAlignment="1">
      <alignment horizontal="right"/>
    </xf>
    <xf numFmtId="0" fontId="3" fillId="0" borderId="0" xfId="0" applyFont="1" applyFill="1" applyBorder="1" applyAlignment="1">
      <alignment horizontal="right"/>
    </xf>
    <xf numFmtId="0" fontId="0" fillId="0" borderId="7" xfId="0" applyFill="1" applyBorder="1" applyAlignment="1">
      <alignment horizontal="right"/>
    </xf>
    <xf numFmtId="10" fontId="12" fillId="0" borderId="0" xfId="0" applyNumberFormat="1" applyFont="1" applyFill="1"/>
    <xf numFmtId="173" fontId="3" fillId="0" borderId="0" xfId="2" quotePrefix="1" applyNumberFormat="1" applyFont="1" applyFill="1"/>
    <xf numFmtId="22" fontId="0" fillId="0" borderId="0" xfId="0" applyNumberFormat="1" applyFill="1"/>
    <xf numFmtId="0" fontId="10" fillId="0" borderId="0" xfId="0" applyFont="1" applyFill="1" applyAlignment="1">
      <alignment horizontal="right"/>
    </xf>
    <xf numFmtId="171" fontId="14" fillId="0" borderId="0" xfId="0" applyNumberFormat="1" applyFont="1" applyFill="1"/>
    <xf numFmtId="176" fontId="4" fillId="0" borderId="0" xfId="1" quotePrefix="1" applyNumberFormat="1" applyFont="1" applyFill="1" applyBorder="1"/>
    <xf numFmtId="176" fontId="3" fillId="0" borderId="0" xfId="1" quotePrefix="1" applyNumberFormat="1" applyFont="1" applyFill="1" applyBorder="1"/>
    <xf numFmtId="176" fontId="3" fillId="0" borderId="0" xfId="0" applyNumberFormat="1" applyFont="1" applyFill="1" applyAlignment="1">
      <alignment horizontal="right"/>
    </xf>
    <xf numFmtId="165" fontId="5" fillId="0" borderId="0" xfId="0" applyNumberFormat="1" applyFont="1" applyFill="1"/>
    <xf numFmtId="0" fontId="4" fillId="0" borderId="0" xfId="0" quotePrefix="1" applyFont="1" applyFill="1" applyAlignment="1"/>
    <xf numFmtId="9" fontId="5" fillId="0" borderId="9" xfId="3" applyNumberFormat="1" applyFont="1" applyFill="1" applyBorder="1"/>
    <xf numFmtId="9" fontId="5" fillId="0" borderId="10" xfId="3" applyNumberFormat="1" applyFont="1" applyFill="1" applyBorder="1"/>
    <xf numFmtId="3" fontId="18" fillId="0" borderId="0" xfId="0"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0" fontId="10" fillId="0" borderId="0" xfId="0" applyFont="1" applyFill="1"/>
    <xf numFmtId="9" fontId="22" fillId="0" borderId="0" xfId="3" applyFont="1" applyFill="1"/>
    <xf numFmtId="10" fontId="5" fillId="0" borderId="0" xfId="3" quotePrefix="1" applyNumberFormat="1" applyFont="1" applyFill="1" applyAlignment="1">
      <alignment horizontal="center"/>
    </xf>
    <xf numFmtId="0" fontId="12" fillId="0" borderId="0" xfId="0" applyFont="1" applyFill="1"/>
    <xf numFmtId="1" fontId="0" fillId="0" borderId="0" xfId="0" applyNumberFormat="1"/>
    <xf numFmtId="3" fontId="10" fillId="0" borderId="0" xfId="0" applyNumberFormat="1" applyFont="1" applyFill="1"/>
    <xf numFmtId="174" fontId="2" fillId="0" borderId="0" xfId="3" applyNumberFormat="1" applyFill="1"/>
    <xf numFmtId="171" fontId="2" fillId="0" borderId="0" xfId="2" applyNumberFormat="1" applyFill="1" applyBorder="1"/>
    <xf numFmtId="171" fontId="2" fillId="0" borderId="7" xfId="2" applyNumberFormat="1" applyFill="1" applyBorder="1"/>
    <xf numFmtId="44" fontId="2" fillId="0" borderId="0" xfId="2" applyFill="1"/>
    <xf numFmtId="172" fontId="2" fillId="0" borderId="0" xfId="2" applyNumberFormat="1" applyFill="1"/>
    <xf numFmtId="171" fontId="2" fillId="0" borderId="0" xfId="2" applyNumberFormat="1" applyFill="1"/>
    <xf numFmtId="44" fontId="2" fillId="0" borderId="0" xfId="2" quotePrefix="1" applyFont="1" applyFill="1"/>
    <xf numFmtId="172" fontId="2" fillId="0" borderId="0" xfId="2" quotePrefix="1" applyNumberFormat="1" applyFont="1" applyFill="1"/>
    <xf numFmtId="3" fontId="2" fillId="0" borderId="0" xfId="2" quotePrefix="1" applyNumberFormat="1" applyFont="1" applyFill="1"/>
    <xf numFmtId="175" fontId="2" fillId="0" borderId="0" xfId="1" applyNumberFormat="1" applyFill="1"/>
    <xf numFmtId="171" fontId="2" fillId="0" borderId="0" xfId="2" applyNumberFormat="1"/>
    <xf numFmtId="9" fontId="2" fillId="0" borderId="0" xfId="3"/>
    <xf numFmtId="171" fontId="2" fillId="0" borderId="0" xfId="3" applyNumberFormat="1"/>
    <xf numFmtId="44" fontId="2" fillId="0" borderId="0" xfId="2"/>
    <xf numFmtId="10" fontId="12" fillId="0" borderId="0" xfId="3" applyNumberFormat="1" applyFont="1" applyFill="1"/>
    <xf numFmtId="169" fontId="12" fillId="0" borderId="0" xfId="0" applyNumberFormat="1" applyFont="1" applyFill="1"/>
    <xf numFmtId="9" fontId="4" fillId="0" borderId="0" xfId="0" applyNumberFormat="1" applyFont="1" applyFill="1" applyAlignment="1">
      <alignment horizontal="center"/>
    </xf>
    <xf numFmtId="9" fontId="12" fillId="0" borderId="0" xfId="3" quotePrefix="1" applyFont="1" applyFill="1" applyAlignment="1">
      <alignment horizontal="center"/>
    </xf>
    <xf numFmtId="3" fontId="12" fillId="0" borderId="0" xfId="0" applyNumberFormat="1" applyFont="1" applyFill="1" applyBorder="1" applyAlignment="1">
      <alignment horizontal="right"/>
    </xf>
    <xf numFmtId="3" fontId="12" fillId="0" borderId="0" xfId="0" applyNumberFormat="1" applyFont="1" applyFill="1" applyBorder="1"/>
    <xf numFmtId="177" fontId="3" fillId="0" borderId="0" xfId="1" applyNumberFormat="1" applyFont="1"/>
    <xf numFmtId="44" fontId="2" fillId="0" borderId="0" xfId="2" applyFont="1" applyFill="1" applyAlignment="1">
      <alignment horizontal="center"/>
    </xf>
    <xf numFmtId="3" fontId="3" fillId="0" borderId="0" xfId="0" applyNumberFormat="1" applyFont="1" applyFill="1" applyAlignment="1">
      <alignment horizontal="right"/>
    </xf>
    <xf numFmtId="179" fontId="12" fillId="0" borderId="0" xfId="0" applyNumberFormat="1" applyFont="1" applyFill="1"/>
    <xf numFmtId="0" fontId="4" fillId="0" borderId="0" xfId="0" applyFont="1" applyFill="1" applyBorder="1"/>
    <xf numFmtId="17" fontId="0" fillId="0" borderId="0" xfId="0" applyNumberFormat="1" applyAlignment="1">
      <alignment horizontal="left"/>
    </xf>
    <xf numFmtId="0" fontId="4" fillId="0" borderId="0" xfId="0" applyFont="1" applyFill="1" applyBorder="1" applyAlignment="1">
      <alignment horizontal="right"/>
    </xf>
    <xf numFmtId="0" fontId="7" fillId="0" borderId="0" xfId="0" applyFont="1" applyFill="1" applyAlignment="1">
      <alignment horizontal="center"/>
    </xf>
    <xf numFmtId="177" fontId="5" fillId="0" borderId="0" xfId="1" applyNumberFormat="1" applyFont="1"/>
    <xf numFmtId="9" fontId="28" fillId="0" borderId="0" xfId="3" applyFont="1" applyFill="1"/>
    <xf numFmtId="17" fontId="12" fillId="0" borderId="0" xfId="0" applyNumberFormat="1" applyFont="1" applyFill="1"/>
    <xf numFmtId="17" fontId="28" fillId="0" borderId="0" xfId="0" applyNumberFormat="1" applyFont="1" applyFill="1"/>
    <xf numFmtId="9" fontId="21" fillId="0" borderId="0" xfId="3" quotePrefix="1" applyFont="1" applyFill="1"/>
    <xf numFmtId="0" fontId="21" fillId="0" borderId="0" xfId="0" applyFont="1" applyFill="1" applyBorder="1"/>
    <xf numFmtId="0" fontId="5" fillId="0" borderId="0" xfId="0" quotePrefix="1" applyFont="1" applyFill="1"/>
    <xf numFmtId="178" fontId="5" fillId="0" borderId="0" xfId="1" applyNumberFormat="1" applyFont="1"/>
    <xf numFmtId="9" fontId="3" fillId="0" borderId="11" xfId="3" applyNumberFormat="1" applyFont="1" applyFill="1" applyBorder="1"/>
    <xf numFmtId="9" fontId="3" fillId="0" borderId="12" xfId="3" applyNumberFormat="1" applyFont="1" applyFill="1" applyBorder="1"/>
    <xf numFmtId="9" fontId="3" fillId="0" borderId="0" xfId="3" applyNumberFormat="1" applyFont="1" applyFill="1"/>
    <xf numFmtId="9" fontId="12" fillId="0" borderId="13" xfId="3" applyNumberFormat="1" applyFont="1" applyFill="1" applyBorder="1"/>
    <xf numFmtId="9" fontId="12" fillId="0" borderId="14" xfId="3" applyNumberFormat="1" applyFont="1" applyFill="1" applyBorder="1"/>
    <xf numFmtId="174" fontId="5" fillId="0" borderId="0" xfId="3" applyNumberFormat="1" applyFont="1" applyFill="1" applyBorder="1"/>
    <xf numFmtId="0" fontId="34" fillId="0" borderId="0" xfId="0" applyFont="1" applyFill="1" applyAlignment="1">
      <alignment horizontal="center" wrapText="1"/>
    </xf>
    <xf numFmtId="179" fontId="3" fillId="0" borderId="0" xfId="0" applyNumberFormat="1" applyFont="1" applyFill="1"/>
    <xf numFmtId="179" fontId="3" fillId="0" borderId="10" xfId="0" applyNumberFormat="1" applyFont="1" applyFill="1" applyBorder="1"/>
    <xf numFmtId="179" fontId="3" fillId="0" borderId="13" xfId="0" applyNumberFormat="1" applyFont="1" applyFill="1" applyBorder="1"/>
    <xf numFmtId="179" fontId="3" fillId="0" borderId="14" xfId="0" applyNumberFormat="1" applyFont="1" applyFill="1" applyBorder="1"/>
    <xf numFmtId="17" fontId="0" fillId="0" borderId="9" xfId="0" applyNumberFormat="1" applyFill="1" applyBorder="1"/>
    <xf numFmtId="3" fontId="5" fillId="0" borderId="15" xfId="0" applyNumberFormat="1" applyFont="1" applyFill="1" applyBorder="1"/>
    <xf numFmtId="3" fontId="12" fillId="0" borderId="15" xfId="0" applyNumberFormat="1" applyFont="1" applyFill="1" applyBorder="1"/>
    <xf numFmtId="3" fontId="12" fillId="0" borderId="10" xfId="0" applyNumberFormat="1" applyFont="1" applyFill="1" applyBorder="1"/>
    <xf numFmtId="17" fontId="0" fillId="0" borderId="11" xfId="0" applyNumberFormat="1" applyFill="1" applyBorder="1"/>
    <xf numFmtId="3" fontId="5" fillId="0" borderId="0" xfId="0" applyNumberFormat="1" applyFont="1" applyFill="1" applyBorder="1"/>
    <xf numFmtId="3" fontId="12" fillId="0" borderId="13" xfId="0" applyNumberFormat="1" applyFont="1" applyFill="1" applyBorder="1"/>
    <xf numFmtId="17" fontId="0" fillId="0" borderId="12" xfId="0" applyNumberFormat="1" applyFill="1" applyBorder="1"/>
    <xf numFmtId="3" fontId="5" fillId="0" borderId="16" xfId="0" applyNumberFormat="1" applyFont="1" applyFill="1" applyBorder="1"/>
    <xf numFmtId="3" fontId="12" fillId="0" borderId="16" xfId="0" applyNumberFormat="1" applyFont="1" applyFill="1" applyBorder="1"/>
    <xf numFmtId="3" fontId="12" fillId="0" borderId="14" xfId="0" applyNumberFormat="1" applyFont="1" applyFill="1" applyBorder="1"/>
    <xf numFmtId="3" fontId="12" fillId="0" borderId="17" xfId="0" applyNumberFormat="1" applyFont="1" applyFill="1" applyBorder="1"/>
    <xf numFmtId="3" fontId="12" fillId="0" borderId="18" xfId="0" applyNumberFormat="1" applyFont="1" applyFill="1" applyBorder="1"/>
    <xf numFmtId="3" fontId="12" fillId="0" borderId="19" xfId="0" applyNumberFormat="1" applyFont="1" applyFill="1" applyBorder="1"/>
    <xf numFmtId="3" fontId="26" fillId="0" borderId="0" xfId="0" applyNumberFormat="1" applyFont="1" applyFill="1"/>
    <xf numFmtId="3" fontId="0" fillId="0" borderId="2" xfId="0" applyNumberFormat="1" applyFill="1" applyBorder="1"/>
    <xf numFmtId="3" fontId="35" fillId="0" borderId="0" xfId="0" applyNumberFormat="1" applyFont="1" applyFill="1"/>
    <xf numFmtId="3" fontId="18" fillId="2" borderId="0" xfId="0" applyNumberFormat="1" applyFont="1" applyFill="1"/>
    <xf numFmtId="10" fontId="12" fillId="0" borderId="0" xfId="3" quotePrefix="1" applyNumberFormat="1" applyFont="1" applyFill="1" applyAlignment="1">
      <alignment horizontal="right"/>
    </xf>
    <xf numFmtId="9" fontId="5" fillId="0" borderId="0" xfId="3" quotePrefix="1" applyFont="1" applyFill="1" applyBorder="1" applyAlignment="1">
      <alignment horizontal="center"/>
    </xf>
    <xf numFmtId="10" fontId="5" fillId="0" borderId="0" xfId="3" quotePrefix="1" applyNumberFormat="1" applyFont="1" applyFill="1" applyBorder="1" applyAlignment="1">
      <alignment horizontal="center"/>
    </xf>
    <xf numFmtId="10" fontId="12" fillId="0" borderId="0" xfId="3" quotePrefix="1" applyNumberFormat="1" applyFont="1" applyFill="1" applyBorder="1" applyAlignment="1">
      <alignment horizontal="right"/>
    </xf>
    <xf numFmtId="9" fontId="12" fillId="0" borderId="0" xfId="3" quotePrefix="1" applyFont="1" applyFill="1" applyBorder="1" applyAlignment="1">
      <alignment horizontal="center"/>
    </xf>
    <xf numFmtId="10" fontId="12" fillId="0" borderId="0" xfId="3" applyNumberFormat="1" applyFont="1" applyFill="1" applyBorder="1"/>
    <xf numFmtId="174" fontId="5" fillId="0" borderId="15" xfId="3" applyNumberFormat="1" applyFont="1" applyFill="1" applyBorder="1"/>
    <xf numFmtId="174" fontId="5" fillId="0" borderId="16" xfId="3" applyNumberFormat="1" applyFont="1" applyFill="1" applyBorder="1"/>
    <xf numFmtId="9" fontId="5" fillId="0" borderId="15" xfId="3" quotePrefix="1" applyFont="1" applyFill="1" applyBorder="1" applyAlignment="1">
      <alignment horizontal="center"/>
    </xf>
    <xf numFmtId="10" fontId="5" fillId="0" borderId="15" xfId="3" quotePrefix="1" applyNumberFormat="1" applyFont="1" applyFill="1" applyBorder="1" applyAlignment="1">
      <alignment horizontal="center"/>
    </xf>
    <xf numFmtId="10" fontId="12" fillId="0" borderId="15" xfId="3" quotePrefix="1" applyNumberFormat="1" applyFont="1" applyFill="1" applyBorder="1" applyAlignment="1">
      <alignment horizontal="right"/>
    </xf>
    <xf numFmtId="9" fontId="12" fillId="0" borderId="15" xfId="3" quotePrefix="1" applyFont="1" applyFill="1" applyBorder="1" applyAlignment="1">
      <alignment horizontal="center"/>
    </xf>
    <xf numFmtId="10" fontId="12" fillId="0" borderId="15" xfId="3" applyNumberFormat="1" applyFont="1" applyFill="1" applyBorder="1"/>
    <xf numFmtId="9" fontId="12" fillId="0" borderId="10" xfId="3" quotePrefix="1" applyFont="1" applyFill="1" applyBorder="1" applyAlignment="1">
      <alignment horizontal="center"/>
    </xf>
    <xf numFmtId="9" fontId="12" fillId="0" borderId="13" xfId="3" quotePrefix="1" applyFont="1" applyFill="1" applyBorder="1" applyAlignment="1">
      <alignment horizontal="center"/>
    </xf>
    <xf numFmtId="9" fontId="5" fillId="0" borderId="16" xfId="3" quotePrefix="1" applyFont="1" applyFill="1" applyBorder="1" applyAlignment="1">
      <alignment horizontal="center"/>
    </xf>
    <xf numFmtId="10" fontId="5" fillId="0" borderId="16" xfId="3" quotePrefix="1" applyNumberFormat="1" applyFont="1" applyFill="1" applyBorder="1" applyAlignment="1">
      <alignment horizontal="center"/>
    </xf>
    <xf numFmtId="10" fontId="12" fillId="0" borderId="16" xfId="3" quotePrefix="1" applyNumberFormat="1" applyFont="1" applyFill="1" applyBorder="1" applyAlignment="1">
      <alignment horizontal="right"/>
    </xf>
    <xf numFmtId="9" fontId="12" fillId="0" borderId="16" xfId="3" quotePrefix="1" applyFont="1" applyFill="1" applyBorder="1" applyAlignment="1">
      <alignment horizontal="center"/>
    </xf>
    <xf numFmtId="10" fontId="12" fillId="0" borderId="16" xfId="3" applyNumberFormat="1" applyFont="1" applyFill="1" applyBorder="1"/>
    <xf numFmtId="9" fontId="12" fillId="0" borderId="14" xfId="3" quotePrefix="1" applyFont="1" applyFill="1" applyBorder="1" applyAlignment="1">
      <alignment horizontal="center"/>
    </xf>
    <xf numFmtId="167" fontId="0" fillId="0" borderId="0" xfId="0" applyNumberFormat="1" applyFill="1" applyBorder="1"/>
    <xf numFmtId="167" fontId="0" fillId="0" borderId="16" xfId="0" applyNumberFormat="1" applyFill="1" applyBorder="1"/>
    <xf numFmtId="179" fontId="5" fillId="0" borderId="15" xfId="0" applyNumberFormat="1" applyFont="1" applyFill="1" applyBorder="1"/>
    <xf numFmtId="179" fontId="12" fillId="0" borderId="15" xfId="0" applyNumberFormat="1" applyFont="1" applyFill="1" applyBorder="1"/>
    <xf numFmtId="179" fontId="12" fillId="0" borderId="10" xfId="0" applyNumberFormat="1" applyFont="1" applyFill="1" applyBorder="1"/>
    <xf numFmtId="179" fontId="5" fillId="0" borderId="0" xfId="0" applyNumberFormat="1" applyFont="1" applyFill="1" applyBorder="1"/>
    <xf numFmtId="179" fontId="12" fillId="0" borderId="0" xfId="0" applyNumberFormat="1" applyFont="1" applyFill="1" applyBorder="1"/>
    <xf numFmtId="179" fontId="12" fillId="0" borderId="13" xfId="0" applyNumberFormat="1" applyFont="1" applyFill="1" applyBorder="1"/>
    <xf numFmtId="179" fontId="5" fillId="0" borderId="16" xfId="0" applyNumberFormat="1" applyFont="1" applyFill="1" applyBorder="1"/>
    <xf numFmtId="179" fontId="12" fillId="0" borderId="16" xfId="0" applyNumberFormat="1" applyFont="1" applyFill="1" applyBorder="1"/>
    <xf numFmtId="179" fontId="12" fillId="0" borderId="14" xfId="0" applyNumberFormat="1" applyFont="1" applyFill="1" applyBorder="1"/>
    <xf numFmtId="10" fontId="12" fillId="0" borderId="10" xfId="3" applyNumberFormat="1" applyFont="1" applyFill="1" applyBorder="1"/>
    <xf numFmtId="10" fontId="12" fillId="0" borderId="13" xfId="3" applyNumberFormat="1" applyFont="1" applyFill="1" applyBorder="1"/>
    <xf numFmtId="10" fontId="12" fillId="0" borderId="14" xfId="3" applyNumberFormat="1" applyFont="1" applyFill="1" applyBorder="1"/>
    <xf numFmtId="0" fontId="36" fillId="0" borderId="0" xfId="0" applyFont="1" applyFill="1"/>
    <xf numFmtId="44" fontId="2" fillId="0" borderId="0" xfId="2" applyFont="1" applyFill="1"/>
    <xf numFmtId="0" fontId="0" fillId="3" borderId="0" xfId="0" applyFill="1"/>
    <xf numFmtId="0" fontId="0" fillId="3" borderId="0" xfId="0" applyFill="1" applyAlignment="1">
      <alignment horizontal="center"/>
    </xf>
    <xf numFmtId="44" fontId="2" fillId="3" borderId="0" xfId="2" applyFill="1"/>
    <xf numFmtId="0" fontId="4" fillId="3" borderId="0" xfId="0" applyFont="1" applyFill="1" applyAlignment="1">
      <alignment horizontal="center"/>
    </xf>
    <xf numFmtId="177" fontId="4" fillId="3" borderId="0" xfId="1" applyNumberFormat="1" applyFont="1" applyFill="1"/>
    <xf numFmtId="166" fontId="0" fillId="3" borderId="0" xfId="0" applyNumberFormat="1" applyFill="1"/>
    <xf numFmtId="0" fontId="4" fillId="3" borderId="0" xfId="0" applyFont="1" applyFill="1"/>
    <xf numFmtId="0" fontId="0" fillId="3" borderId="0" xfId="0" applyFill="1" applyAlignment="1">
      <alignment horizontal="right"/>
    </xf>
    <xf numFmtId="44" fontId="0" fillId="3" borderId="0" xfId="2" quotePrefix="1" applyFont="1" applyFill="1"/>
    <xf numFmtId="169" fontId="0" fillId="3" borderId="0" xfId="3" applyNumberFormat="1" applyFont="1" applyFill="1"/>
    <xf numFmtId="10" fontId="0" fillId="0" borderId="0" xfId="3" applyNumberFormat="1" applyFont="1" applyFill="1"/>
    <xf numFmtId="0" fontId="13" fillId="0" borderId="0" xfId="0" applyFont="1" applyFill="1"/>
    <xf numFmtId="177" fontId="4" fillId="0" borderId="0" xfId="1" applyNumberFormat="1" applyFont="1" applyFill="1"/>
    <xf numFmtId="9" fontId="2" fillId="0" borderId="0" xfId="3" quotePrefix="1" applyFont="1" applyFill="1"/>
    <xf numFmtId="181" fontId="0" fillId="0" borderId="0" xfId="3" applyNumberFormat="1" applyFont="1" applyFill="1"/>
    <xf numFmtId="0" fontId="6" fillId="3" borderId="0" xfId="0" applyFont="1" applyFill="1"/>
    <xf numFmtId="17" fontId="0" fillId="3" borderId="0" xfId="0" applyNumberFormat="1" applyFill="1"/>
    <xf numFmtId="43" fontId="4" fillId="3" borderId="0" xfId="1" quotePrefix="1" applyFont="1" applyFill="1" applyBorder="1"/>
    <xf numFmtId="176" fontId="4" fillId="3" borderId="0" xfId="1" quotePrefix="1" applyNumberFormat="1" applyFont="1" applyFill="1" applyBorder="1"/>
    <xf numFmtId="17" fontId="0" fillId="3" borderId="0" xfId="0" applyNumberFormat="1" applyFill="1" applyAlignment="1">
      <alignment horizontal="right"/>
    </xf>
    <xf numFmtId="43" fontId="3" fillId="3" borderId="0" xfId="1" quotePrefix="1" applyFont="1" applyFill="1" applyBorder="1"/>
    <xf numFmtId="176" fontId="3" fillId="3" borderId="0" xfId="1" quotePrefix="1" applyNumberFormat="1" applyFont="1" applyFill="1" applyBorder="1"/>
    <xf numFmtId="43" fontId="3" fillId="3" borderId="0" xfId="1" quotePrefix="1" applyFont="1" applyFill="1"/>
    <xf numFmtId="176" fontId="3" fillId="3" borderId="0" xfId="1" quotePrefix="1" applyNumberFormat="1" applyFont="1" applyFill="1"/>
    <xf numFmtId="176" fontId="4" fillId="3" borderId="0" xfId="1" quotePrefix="1" applyNumberFormat="1" applyFont="1" applyFill="1"/>
    <xf numFmtId="0" fontId="7" fillId="0" borderId="0" xfId="0" quotePrefix="1" applyFont="1" applyFill="1" applyAlignment="1">
      <alignment horizontal="center"/>
    </xf>
    <xf numFmtId="44" fontId="0" fillId="0" borderId="0" xfId="2" applyFont="1" applyFill="1"/>
    <xf numFmtId="169" fontId="0" fillId="0" borderId="0" xfId="3" applyNumberFormat="1" applyFont="1" applyFill="1"/>
    <xf numFmtId="166" fontId="0" fillId="0" borderId="0" xfId="0" applyNumberFormat="1" applyFill="1" applyAlignment="1">
      <alignment horizontal="right"/>
    </xf>
    <xf numFmtId="168" fontId="0" fillId="0" borderId="0" xfId="3" applyNumberFormat="1" applyFont="1" applyFill="1"/>
    <xf numFmtId="168" fontId="0" fillId="0" borderId="0" xfId="3" quotePrefix="1" applyNumberFormat="1" applyFont="1" applyFill="1"/>
    <xf numFmtId="9" fontId="3" fillId="0" borderId="13" xfId="3" applyNumberFormat="1" applyFont="1" applyFill="1" applyBorder="1"/>
    <xf numFmtId="9" fontId="3" fillId="0" borderId="14" xfId="3" applyNumberFormat="1" applyFont="1" applyFill="1" applyBorder="1"/>
    <xf numFmtId="0" fontId="31" fillId="0" borderId="0" xfId="0" applyFont="1" applyFill="1"/>
    <xf numFmtId="0" fontId="0" fillId="3" borderId="0" xfId="0" applyFill="1" applyAlignment="1">
      <alignment horizontal="left"/>
    </xf>
    <xf numFmtId="44" fontId="2" fillId="3" borderId="0" xfId="2" quotePrefix="1" applyFont="1" applyFill="1" applyAlignment="1">
      <alignment horizontal="left"/>
    </xf>
    <xf numFmtId="182" fontId="5" fillId="0" borderId="0" xfId="0" applyNumberFormat="1" applyFont="1" applyFill="1"/>
    <xf numFmtId="182" fontId="0" fillId="0" borderId="0" xfId="0" applyNumberFormat="1" applyFill="1"/>
    <xf numFmtId="2" fontId="0" fillId="0" borderId="0" xfId="0" applyNumberFormat="1" applyFill="1"/>
    <xf numFmtId="175" fontId="3" fillId="0" borderId="0" xfId="1" applyNumberFormat="1" applyFont="1" applyFill="1" applyAlignment="1">
      <alignment horizontal="center"/>
    </xf>
    <xf numFmtId="175" fontId="4" fillId="0" borderId="0" xfId="1" applyNumberFormat="1" applyFont="1" applyFill="1" applyAlignment="1">
      <alignment horizontal="center"/>
    </xf>
    <xf numFmtId="175" fontId="4" fillId="0" borderId="0" xfId="1" applyNumberFormat="1" applyFont="1" applyFill="1"/>
    <xf numFmtId="0" fontId="21" fillId="0" borderId="0" xfId="0" applyFont="1" applyFill="1"/>
    <xf numFmtId="0" fontId="21" fillId="0" borderId="0" xfId="0" applyFont="1" applyFill="1" applyAlignment="1">
      <alignment horizontal="left"/>
    </xf>
    <xf numFmtId="175" fontId="10" fillId="0" borderId="0" xfId="1" applyNumberFormat="1" applyFont="1" applyFill="1"/>
    <xf numFmtId="174" fontId="0" fillId="0" borderId="0" xfId="3" applyNumberFormat="1" applyFont="1" applyFill="1"/>
    <xf numFmtId="14" fontId="0" fillId="0" borderId="0" xfId="0" applyNumberFormat="1" applyFill="1"/>
    <xf numFmtId="1" fontId="0" fillId="0" borderId="0" xfId="0" applyNumberFormat="1" applyFill="1"/>
    <xf numFmtId="10" fontId="39" fillId="0" borderId="0" xfId="3" applyNumberFormat="1" applyFont="1" applyFill="1" applyAlignment="1">
      <alignment horizontal="center"/>
    </xf>
    <xf numFmtId="9" fontId="22" fillId="4" borderId="0" xfId="3" applyFont="1" applyFill="1"/>
    <xf numFmtId="3" fontId="18" fillId="4" borderId="0" xfId="0" applyNumberFormat="1" applyFont="1" applyFill="1"/>
    <xf numFmtId="3" fontId="23" fillId="4" borderId="0" xfId="0" applyNumberFormat="1" applyFont="1" applyFill="1"/>
    <xf numFmtId="3" fontId="30" fillId="4" borderId="0" xfId="0" applyNumberFormat="1" applyFont="1" applyFill="1"/>
    <xf numFmtId="3" fontId="24" fillId="5" borderId="0" xfId="0" applyNumberFormat="1" applyFont="1" applyFill="1"/>
    <xf numFmtId="9" fontId="27" fillId="5" borderId="0" xfId="3" applyFont="1" applyFill="1" applyAlignment="1">
      <alignment horizontal="right"/>
    </xf>
    <xf numFmtId="0" fontId="4" fillId="0" borderId="0" xfId="0" applyFont="1" applyFill="1" applyAlignment="1">
      <alignment horizontal="left"/>
    </xf>
    <xf numFmtId="3" fontId="40" fillId="0" borderId="0" xfId="0" applyNumberFormat="1" applyFont="1" applyFill="1"/>
    <xf numFmtId="0" fontId="40" fillId="0" borderId="0" xfId="0" applyFont="1" applyFill="1"/>
    <xf numFmtId="0" fontId="3" fillId="0" borderId="0" xfId="0" quotePrefix="1" applyFont="1" applyFill="1"/>
    <xf numFmtId="44" fontId="2" fillId="0" borderId="0" xfId="2" quotePrefix="1" applyNumberFormat="1" applyFont="1" applyFill="1"/>
    <xf numFmtId="44" fontId="2" fillId="0" borderId="0" xfId="2" applyNumberFormat="1" applyFill="1"/>
    <xf numFmtId="180" fontId="5" fillId="0" borderId="0" xfId="1" applyNumberFormat="1" applyFont="1"/>
    <xf numFmtId="3" fontId="23" fillId="4" borderId="0" xfId="0" applyNumberFormat="1" applyFont="1" applyFill="1" applyAlignment="1">
      <alignment horizontal="center"/>
    </xf>
    <xf numFmtId="3" fontId="3" fillId="5" borderId="0" xfId="0" applyNumberFormat="1" applyFont="1" applyFill="1"/>
    <xf numFmtId="3" fontId="10" fillId="5" borderId="0" xfId="0" applyNumberFormat="1" applyFont="1" applyFill="1"/>
    <xf numFmtId="1" fontId="39" fillId="0" borderId="0" xfId="3" applyNumberFormat="1" applyFont="1" applyFill="1" applyAlignment="1">
      <alignment horizontal="center"/>
    </xf>
    <xf numFmtId="165" fontId="0" fillId="0" borderId="0" xfId="0" applyNumberFormat="1" applyFill="1"/>
    <xf numFmtId="44" fontId="2" fillId="0" borderId="0" xfId="2" applyNumberFormat="1"/>
    <xf numFmtId="3" fontId="25" fillId="5" borderId="0" xfId="0" applyNumberFormat="1" applyFont="1" applyFill="1"/>
    <xf numFmtId="17" fontId="43" fillId="0" borderId="0" xfId="0" applyNumberFormat="1" applyFont="1" applyFill="1"/>
    <xf numFmtId="3" fontId="44" fillId="4" borderId="0" xfId="0" applyNumberFormat="1" applyFont="1" applyFill="1"/>
    <xf numFmtId="164" fontId="0" fillId="0" borderId="0" xfId="0" applyNumberFormat="1" applyFill="1"/>
    <xf numFmtId="3" fontId="37" fillId="4" borderId="0" xfId="0" applyNumberFormat="1" applyFont="1" applyFill="1"/>
    <xf numFmtId="3" fontId="3" fillId="2" borderId="0" xfId="0" applyNumberFormat="1" applyFont="1" applyFill="1"/>
    <xf numFmtId="3" fontId="41" fillId="4" borderId="0" xfId="0" applyNumberFormat="1" applyFont="1" applyFill="1"/>
    <xf numFmtId="3" fontId="43" fillId="0" borderId="0" xfId="0" applyNumberFormat="1" applyFont="1" applyFill="1"/>
    <xf numFmtId="175" fontId="43" fillId="0" borderId="0" xfId="1" applyNumberFormat="1" applyFont="1" applyFill="1"/>
    <xf numFmtId="167" fontId="5" fillId="0" borderId="0" xfId="0" applyNumberFormat="1" applyFont="1" applyFill="1"/>
    <xf numFmtId="167" fontId="5" fillId="0" borderId="15" xfId="0" applyNumberFormat="1" applyFont="1" applyFill="1" applyBorder="1"/>
    <xf numFmtId="44" fontId="12" fillId="0" borderId="13" xfId="2" applyFont="1" applyFill="1" applyBorder="1"/>
    <xf numFmtId="10" fontId="12" fillId="0" borderId="13" xfId="3" applyNumberFormat="1" applyFont="1" applyBorder="1"/>
    <xf numFmtId="10" fontId="12" fillId="0" borderId="18" xfId="3" applyNumberFormat="1" applyFont="1" applyBorder="1"/>
    <xf numFmtId="9" fontId="2" fillId="0" borderId="0" xfId="3" applyFont="1" applyAlignment="1">
      <alignment horizontal="left"/>
    </xf>
    <xf numFmtId="9" fontId="10" fillId="0" borderId="0" xfId="3" applyFont="1" applyAlignment="1">
      <alignment horizontal="left"/>
    </xf>
    <xf numFmtId="0" fontId="6" fillId="0" borderId="0" xfId="0" applyFont="1" applyFill="1" applyBorder="1"/>
    <xf numFmtId="184" fontId="2" fillId="0" borderId="18" xfId="2" applyNumberFormat="1" applyBorder="1"/>
    <xf numFmtId="184" fontId="14" fillId="0" borderId="18" xfId="2" applyNumberFormat="1" applyFont="1" applyBorder="1"/>
    <xf numFmtId="185" fontId="4" fillId="6" borderId="0" xfId="2" applyNumberFormat="1" applyFont="1" applyFill="1"/>
    <xf numFmtId="10" fontId="5" fillId="0" borderId="0" xfId="3" applyNumberFormat="1" applyFont="1" applyFill="1"/>
    <xf numFmtId="10" fontId="5" fillId="0" borderId="15" xfId="3" applyNumberFormat="1" applyFont="1" applyFill="1" applyBorder="1"/>
    <xf numFmtId="10" fontId="5" fillId="0" borderId="10" xfId="3" applyNumberFormat="1" applyFont="1" applyFill="1" applyBorder="1"/>
    <xf numFmtId="10" fontId="5" fillId="0" borderId="0" xfId="3" applyNumberFormat="1" applyFont="1" applyFill="1" applyBorder="1"/>
    <xf numFmtId="10" fontId="5" fillId="0" borderId="13" xfId="3" applyNumberFormat="1" applyFont="1" applyFill="1" applyBorder="1"/>
    <xf numFmtId="10" fontId="5" fillId="0" borderId="16" xfId="3" applyNumberFormat="1" applyFont="1" applyFill="1" applyBorder="1"/>
    <xf numFmtId="10" fontId="5" fillId="0" borderId="14" xfId="3" applyNumberFormat="1" applyFont="1" applyFill="1" applyBorder="1"/>
    <xf numFmtId="0" fontId="2" fillId="0" borderId="0" xfId="0" applyFont="1" applyFill="1"/>
    <xf numFmtId="3" fontId="2" fillId="0" borderId="0" xfId="0" applyNumberFormat="1" applyFont="1" applyFill="1"/>
    <xf numFmtId="4" fontId="5" fillId="0" borderId="9" xfId="0" applyNumberFormat="1" applyFont="1" applyFill="1" applyBorder="1"/>
    <xf numFmtId="4" fontId="5" fillId="0" borderId="11" xfId="0" applyNumberFormat="1" applyFont="1" applyFill="1" applyBorder="1"/>
    <xf numFmtId="4" fontId="5" fillId="0" borderId="12" xfId="0" applyNumberFormat="1" applyFont="1" applyFill="1" applyBorder="1"/>
    <xf numFmtId="44" fontId="2" fillId="0" borderId="0" xfId="2" applyNumberFormat="1" applyFont="1" applyFill="1"/>
    <xf numFmtId="0" fontId="2" fillId="0" borderId="0" xfId="0" applyFont="1" applyFill="1" applyAlignment="1">
      <alignment horizontal="left"/>
    </xf>
    <xf numFmtId="0" fontId="2" fillId="0" borderId="0" xfId="4"/>
    <xf numFmtId="22" fontId="2" fillId="0" borderId="0" xfId="4" applyNumberFormat="1" applyAlignment="1">
      <alignment horizontal="center"/>
    </xf>
    <xf numFmtId="22" fontId="2" fillId="0" borderId="0" xfId="4" applyNumberFormat="1"/>
    <xf numFmtId="22" fontId="7" fillId="0" borderId="0" xfId="4" applyNumberFormat="1" applyFont="1" applyAlignment="1">
      <alignment horizontal="center"/>
    </xf>
    <xf numFmtId="0" fontId="2" fillId="0" borderId="0" xfId="4" applyFill="1" applyAlignment="1">
      <alignment horizontal="right"/>
    </xf>
    <xf numFmtId="22" fontId="4" fillId="0" borderId="0" xfId="4" applyNumberFormat="1" applyFont="1" applyAlignment="1">
      <alignment horizontal="center"/>
    </xf>
    <xf numFmtId="0" fontId="2" fillId="0" borderId="0" xfId="4" quotePrefix="1" applyFill="1"/>
    <xf numFmtId="22" fontId="4" fillId="0" borderId="20" xfId="4" applyNumberFormat="1" applyFont="1" applyBorder="1" applyAlignment="1">
      <alignment horizontal="center" wrapText="1"/>
    </xf>
    <xf numFmtId="0" fontId="4" fillId="0" borderId="0" xfId="4" applyFont="1"/>
    <xf numFmtId="0" fontId="2" fillId="0" borderId="20" xfId="4" applyFont="1" applyBorder="1" applyAlignment="1">
      <alignment horizontal="center" wrapText="1"/>
    </xf>
    <xf numFmtId="0" fontId="2" fillId="0" borderId="21" xfId="4" applyFont="1" applyBorder="1" applyAlignment="1">
      <alignment horizontal="center" wrapText="1"/>
    </xf>
    <xf numFmtId="0" fontId="2" fillId="0" borderId="17" xfId="4" quotePrefix="1" applyBorder="1" applyAlignment="1">
      <alignment horizontal="center"/>
    </xf>
    <xf numFmtId="0" fontId="2" fillId="0" borderId="0" xfId="4" applyFont="1" applyAlignment="1">
      <alignment horizontal="left"/>
    </xf>
    <xf numFmtId="7" fontId="2" fillId="0" borderId="18" xfId="2" applyNumberFormat="1" applyFont="1" applyFill="1" applyBorder="1"/>
    <xf numFmtId="44" fontId="5" fillId="7" borderId="18" xfId="4" applyNumberFormat="1" applyFont="1" applyFill="1" applyBorder="1"/>
    <xf numFmtId="0" fontId="2" fillId="0" borderId="0" xfId="4" applyFill="1"/>
    <xf numFmtId="44" fontId="2" fillId="0" borderId="0" xfId="4" applyNumberFormat="1" applyFill="1"/>
    <xf numFmtId="0" fontId="10" fillId="0" borderId="0" xfId="4" applyFont="1" applyAlignment="1">
      <alignment horizontal="left"/>
    </xf>
    <xf numFmtId="0" fontId="2" fillId="0" borderId="0" xfId="4" applyAlignment="1">
      <alignment horizontal="left"/>
    </xf>
    <xf numFmtId="1" fontId="2" fillId="0" borderId="18" xfId="3" applyNumberFormat="1" applyFont="1" applyFill="1" applyBorder="1"/>
    <xf numFmtId="10" fontId="12" fillId="0" borderId="13" xfId="4" applyNumberFormat="1" applyFont="1" applyBorder="1"/>
    <xf numFmtId="0" fontId="12" fillId="0" borderId="18" xfId="4" applyFont="1" applyBorder="1"/>
    <xf numFmtId="0" fontId="12" fillId="0" borderId="13" xfId="4" applyFont="1" applyBorder="1"/>
    <xf numFmtId="167" fontId="2" fillId="0" borderId="18" xfId="4" applyNumberFormat="1" applyFont="1" applyBorder="1"/>
    <xf numFmtId="167" fontId="2" fillId="0" borderId="13" xfId="4" applyNumberFormat="1" applyFont="1" applyBorder="1"/>
    <xf numFmtId="167" fontId="12" fillId="0" borderId="13" xfId="4" applyNumberFormat="1" applyFont="1" applyBorder="1"/>
    <xf numFmtId="167" fontId="12" fillId="0" borderId="18" xfId="4" applyNumberFormat="1" applyFont="1" applyBorder="1"/>
    <xf numFmtId="0" fontId="2" fillId="0" borderId="18" xfId="4" applyBorder="1"/>
    <xf numFmtId="0" fontId="2" fillId="0" borderId="13" xfId="4" applyBorder="1"/>
    <xf numFmtId="0" fontId="10" fillId="0" borderId="0" xfId="4" applyFont="1" applyBorder="1" applyAlignment="1">
      <alignment horizontal="left" wrapText="1"/>
    </xf>
    <xf numFmtId="0" fontId="2" fillId="0" borderId="0" xfId="4" applyBorder="1" applyAlignment="1">
      <alignment horizontal="left"/>
    </xf>
    <xf numFmtId="3" fontId="2" fillId="0" borderId="18" xfId="4" applyNumberFormat="1" applyFont="1" applyFill="1" applyBorder="1"/>
    <xf numFmtId="3" fontId="2" fillId="0" borderId="13" xfId="4" applyNumberFormat="1" applyBorder="1"/>
    <xf numFmtId="3" fontId="2" fillId="0" borderId="18" xfId="4" applyNumberFormat="1" applyBorder="1"/>
    <xf numFmtId="0" fontId="6" fillId="0" borderId="0" xfId="4" applyFont="1" applyAlignment="1">
      <alignment horizontal="left"/>
    </xf>
    <xf numFmtId="184" fontId="2" fillId="0" borderId="19" xfId="4" applyNumberFormat="1" applyBorder="1"/>
    <xf numFmtId="184" fontId="2" fillId="0" borderId="14" xfId="4" applyNumberFormat="1" applyBorder="1"/>
    <xf numFmtId="183" fontId="2" fillId="0" borderId="0" xfId="4" applyNumberFormat="1" applyFill="1" applyBorder="1"/>
    <xf numFmtId="184" fontId="2" fillId="0" borderId="0" xfId="4" applyNumberFormat="1"/>
    <xf numFmtId="0" fontId="2" fillId="0" borderId="0" xfId="4" quotePrefix="1" applyAlignment="1">
      <alignment horizontal="left"/>
    </xf>
    <xf numFmtId="0" fontId="7" fillId="0" borderId="0" xfId="4" applyFont="1"/>
    <xf numFmtId="0" fontId="2" fillId="0" borderId="0" xfId="4" applyFont="1" applyAlignment="1">
      <alignment horizontal="center" wrapText="1"/>
    </xf>
    <xf numFmtId="0" fontId="6" fillId="0" borderId="0" xfId="4" applyFont="1" applyFill="1" applyAlignment="1">
      <alignment horizontal="center" wrapText="1"/>
    </xf>
    <xf numFmtId="167" fontId="2" fillId="0" borderId="13" xfId="4" applyNumberFormat="1" applyFont="1" applyFill="1" applyBorder="1"/>
    <xf numFmtId="0" fontId="2" fillId="0" borderId="0" xfId="0" applyFont="1" applyFill="1" applyAlignment="1">
      <alignment horizontal="right"/>
    </xf>
    <xf numFmtId="184" fontId="0" fillId="0" borderId="0" xfId="0" applyNumberFormat="1" applyFill="1"/>
    <xf numFmtId="0" fontId="2" fillId="0" borderId="0" xfId="4" applyAlignment="1">
      <alignment horizontal="right"/>
    </xf>
    <xf numFmtId="184" fontId="0" fillId="0" borderId="0" xfId="0" applyNumberFormat="1" applyFill="1" applyAlignment="1">
      <alignment horizontal="center"/>
    </xf>
    <xf numFmtId="9" fontId="0" fillId="0" borderId="0" xfId="3" applyFont="1" applyFill="1"/>
    <xf numFmtId="9" fontId="46" fillId="0" borderId="0" xfId="3" applyFont="1" applyFill="1"/>
    <xf numFmtId="0" fontId="48" fillId="0" borderId="0" xfId="0" applyFont="1" applyFill="1" applyAlignment="1">
      <alignment horizontal="right"/>
    </xf>
    <xf numFmtId="3" fontId="48" fillId="0" borderId="0" xfId="0" applyNumberFormat="1" applyFont="1" applyFill="1"/>
    <xf numFmtId="185" fontId="0" fillId="0" borderId="0" xfId="0" applyNumberFormat="1" applyFill="1"/>
    <xf numFmtId="7" fontId="0" fillId="0" borderId="0" xfId="0" applyNumberFormat="1" applyFill="1"/>
    <xf numFmtId="0" fontId="2" fillId="0" borderId="0" xfId="0" applyFont="1" applyFill="1" applyBorder="1"/>
    <xf numFmtId="167" fontId="0" fillId="0" borderId="0" xfId="0" applyNumberFormat="1" applyFill="1" applyBorder="1" applyAlignment="1">
      <alignment horizontal="right"/>
    </xf>
    <xf numFmtId="167" fontId="3" fillId="0" borderId="0" xfId="2" quotePrefix="1" applyNumberFormat="1" applyFont="1" applyFill="1" applyBorder="1"/>
    <xf numFmtId="44" fontId="3" fillId="0" borderId="0" xfId="2" quotePrefix="1" applyNumberFormat="1" applyFont="1" applyFill="1" applyBorder="1"/>
    <xf numFmtId="167" fontId="2" fillId="0" borderId="0" xfId="0" applyNumberFormat="1" applyFont="1" applyFill="1" applyBorder="1"/>
    <xf numFmtId="186" fontId="0" fillId="0" borderId="0" xfId="1" applyNumberFormat="1" applyFont="1" applyFill="1"/>
    <xf numFmtId="175" fontId="0" fillId="0" borderId="0" xfId="1" applyNumberFormat="1" applyFont="1" applyFill="1"/>
    <xf numFmtId="184" fontId="49" fillId="0" borderId="0" xfId="0" applyNumberFormat="1" applyFont="1" applyFill="1"/>
    <xf numFmtId="0" fontId="49" fillId="0" borderId="0" xfId="0" applyFont="1" applyFill="1"/>
    <xf numFmtId="0" fontId="2" fillId="0" borderId="0" xfId="0" applyFont="1" applyFill="1" applyBorder="1" applyAlignment="1">
      <alignment horizontal="right"/>
    </xf>
    <xf numFmtId="0" fontId="7" fillId="0" borderId="0" xfId="0" applyFont="1" applyFill="1" applyAlignment="1">
      <alignment horizontal="center"/>
    </xf>
    <xf numFmtId="0" fontId="2" fillId="0" borderId="0" xfId="0" quotePrefix="1" applyFont="1" applyFill="1"/>
    <xf numFmtId="174" fontId="0" fillId="0" borderId="0" xfId="0" applyNumberFormat="1" applyFill="1"/>
    <xf numFmtId="0" fontId="2" fillId="0" borderId="0" xfId="0" quotePrefix="1" applyFont="1" applyFill="1" applyBorder="1"/>
    <xf numFmtId="10" fontId="4" fillId="0" borderId="0" xfId="3" applyNumberFormat="1" applyFont="1" applyFill="1"/>
    <xf numFmtId="10" fontId="4" fillId="0" borderId="0" xfId="3" applyNumberFormat="1" applyFont="1" applyFill="1" applyAlignment="1">
      <alignment horizontal="right"/>
    </xf>
    <xf numFmtId="0" fontId="7" fillId="0" borderId="0" xfId="0" applyFont="1" applyFill="1" applyAlignment="1">
      <alignment horizontal="center"/>
    </xf>
    <xf numFmtId="0" fontId="51" fillId="0" borderId="0" xfId="0" quotePrefix="1" applyFont="1" applyFill="1"/>
    <xf numFmtId="10" fontId="51" fillId="0" borderId="0" xfId="3" applyNumberFormat="1" applyFont="1" applyFill="1"/>
    <xf numFmtId="0" fontId="2" fillId="0" borderId="13" xfId="4" quotePrefix="1" applyBorder="1" applyAlignment="1">
      <alignment horizontal="center"/>
    </xf>
    <xf numFmtId="7" fontId="10" fillId="0" borderId="18" xfId="2" applyNumberFormat="1" applyFont="1" applyFill="1" applyBorder="1"/>
    <xf numFmtId="167" fontId="4" fillId="0" borderId="0" xfId="0" applyNumberFormat="1" applyFont="1"/>
    <xf numFmtId="0" fontId="52" fillId="0" borderId="0" xfId="4" applyFont="1"/>
    <xf numFmtId="0" fontId="46" fillId="0" borderId="0" xfId="4" applyFont="1"/>
    <xf numFmtId="0" fontId="4" fillId="0" borderId="0" xfId="4" applyFont="1" applyAlignment="1">
      <alignment horizontal="center" wrapText="1"/>
    </xf>
    <xf numFmtId="0" fontId="47" fillId="0" borderId="0" xfId="4" applyFont="1" applyAlignment="1">
      <alignment horizontal="center" wrapText="1"/>
    </xf>
    <xf numFmtId="0" fontId="46" fillId="0" borderId="0" xfId="4" applyFont="1" applyAlignment="1">
      <alignment horizontal="center" wrapText="1"/>
    </xf>
    <xf numFmtId="0" fontId="2" fillId="0" borderId="0" xfId="4" applyAlignment="1">
      <alignment vertical="top"/>
    </xf>
    <xf numFmtId="0" fontId="4" fillId="0" borderId="0" xfId="4" applyFont="1" applyFill="1" applyAlignment="1">
      <alignment vertical="top"/>
    </xf>
    <xf numFmtId="185" fontId="46" fillId="0" borderId="0" xfId="4" applyNumberFormat="1" applyFont="1" applyAlignment="1">
      <alignment vertical="top"/>
    </xf>
    <xf numFmtId="170" fontId="2" fillId="0" borderId="0" xfId="4" applyNumberFormat="1" applyFont="1" applyAlignment="1">
      <alignment vertical="top"/>
    </xf>
    <xf numFmtId="3" fontId="46" fillId="0" borderId="16" xfId="4" applyNumberFormat="1" applyFont="1" applyBorder="1" applyAlignment="1">
      <alignment vertical="top"/>
    </xf>
    <xf numFmtId="184" fontId="2" fillId="0" borderId="0" xfId="4" applyNumberFormat="1" applyAlignment="1">
      <alignment vertical="top"/>
    </xf>
    <xf numFmtId="1" fontId="2" fillId="0" borderId="0" xfId="4" applyNumberFormat="1" applyAlignment="1">
      <alignment vertical="top"/>
    </xf>
    <xf numFmtId="174" fontId="2" fillId="0" borderId="0" xfId="3" applyNumberFormat="1" applyAlignment="1">
      <alignment vertical="top"/>
    </xf>
    <xf numFmtId="0" fontId="4" fillId="0" borderId="0" xfId="4" applyFont="1" applyFill="1" applyAlignment="1">
      <alignment vertical="top" wrapText="1"/>
    </xf>
    <xf numFmtId="3" fontId="2" fillId="0" borderId="0" xfId="4" applyNumberFormat="1" applyAlignment="1"/>
    <xf numFmtId="175" fontId="2" fillId="0" borderId="0" xfId="1" applyNumberFormat="1" applyAlignment="1"/>
    <xf numFmtId="185" fontId="54" fillId="0" borderId="18" xfId="4" applyNumberFormat="1" applyFont="1" applyFill="1" applyBorder="1"/>
    <xf numFmtId="0" fontId="4" fillId="0" borderId="0" xfId="4" applyFont="1" applyFill="1" applyAlignment="1">
      <alignment wrapText="1"/>
    </xf>
    <xf numFmtId="0" fontId="2" fillId="0" borderId="0" xfId="0" quotePrefix="1" applyFont="1" applyAlignment="1">
      <alignment horizontal="left"/>
    </xf>
    <xf numFmtId="0" fontId="2" fillId="0" borderId="0" xfId="4" applyFont="1" applyFill="1" applyAlignment="1">
      <alignment horizontal="left" vertical="top"/>
    </xf>
    <xf numFmtId="0" fontId="2" fillId="0" borderId="0" xfId="4" applyAlignment="1">
      <alignment horizontal="left" vertical="top"/>
    </xf>
    <xf numFmtId="0" fontId="2" fillId="0" borderId="0" xfId="4" quotePrefix="1" applyFont="1" applyAlignment="1">
      <alignment horizontal="left" vertical="top"/>
    </xf>
    <xf numFmtId="0" fontId="2" fillId="0" borderId="0" xfId="4" quotePrefix="1" applyAlignment="1">
      <alignment horizontal="left" vertical="top"/>
    </xf>
    <xf numFmtId="0" fontId="2" fillId="0" borderId="0" xfId="4" applyFont="1" applyFill="1" applyAlignment="1">
      <alignment horizontal="left"/>
    </xf>
    <xf numFmtId="44" fontId="46" fillId="0" borderId="0" xfId="2" quotePrefix="1" applyFont="1" applyFill="1"/>
    <xf numFmtId="185" fontId="46" fillId="0" borderId="0" xfId="4" applyNumberFormat="1" applyFont="1"/>
    <xf numFmtId="0" fontId="5" fillId="6" borderId="0" xfId="0" applyFont="1" applyFill="1"/>
    <xf numFmtId="3" fontId="5" fillId="6" borderId="0" xfId="0" applyNumberFormat="1" applyFont="1" applyFill="1"/>
    <xf numFmtId="0" fontId="0" fillId="6" borderId="0" xfId="0" applyFill="1"/>
    <xf numFmtId="17" fontId="5" fillId="6" borderId="0" xfId="0" applyNumberFormat="1" applyFont="1" applyFill="1"/>
    <xf numFmtId="8" fontId="2" fillId="0" borderId="0" xfId="2" applyNumberFormat="1" applyFont="1" applyFill="1"/>
    <xf numFmtId="0" fontId="46" fillId="0" borderId="0" xfId="0" applyFont="1" applyFill="1"/>
    <xf numFmtId="8" fontId="46" fillId="0" borderId="0" xfId="0" applyNumberFormat="1" applyFont="1" applyFill="1"/>
    <xf numFmtId="185" fontId="54" fillId="0" borderId="0" xfId="0" applyNumberFormat="1" applyFont="1" applyFill="1"/>
    <xf numFmtId="164" fontId="0" fillId="0" borderId="0" xfId="0" applyNumberFormat="1" applyFill="1" applyBorder="1"/>
    <xf numFmtId="175" fontId="46" fillId="0" borderId="0" xfId="1" applyNumberFormat="1" applyFont="1" applyFill="1" applyBorder="1"/>
    <xf numFmtId="0" fontId="2" fillId="0" borderId="0" xfId="0" applyFont="1" applyFill="1" applyBorder="1" applyAlignment="1">
      <alignment horizontal="left"/>
    </xf>
    <xf numFmtId="3" fontId="46" fillId="0" borderId="0" xfId="0" applyNumberFormat="1" applyFont="1" applyFill="1" applyBorder="1"/>
    <xf numFmtId="175" fontId="0" fillId="0" borderId="0" xfId="0" applyNumberFormat="1" applyFill="1" applyBorder="1"/>
    <xf numFmtId="174" fontId="0" fillId="0" borderId="0" xfId="3" applyNumberFormat="1" applyFont="1" applyFill="1" applyBorder="1"/>
    <xf numFmtId="184" fontId="46" fillId="0" borderId="0" xfId="0" applyNumberFormat="1" applyFont="1" applyFill="1" applyBorder="1"/>
    <xf numFmtId="184" fontId="0" fillId="0" borderId="0" xfId="0" applyNumberFormat="1" applyFill="1" applyBorder="1"/>
    <xf numFmtId="9" fontId="0" fillId="0" borderId="0" xfId="3" applyNumberFormat="1" applyFont="1" applyFill="1" applyBorder="1"/>
    <xf numFmtId="9" fontId="0" fillId="0" borderId="0" xfId="3" applyFont="1" applyFill="1" applyBorder="1"/>
    <xf numFmtId="0" fontId="48" fillId="0" borderId="0" xfId="0" applyFont="1" applyFill="1" applyBorder="1"/>
    <xf numFmtId="2" fontId="48" fillId="0" borderId="0" xfId="0" applyNumberFormat="1" applyFont="1" applyFill="1" applyBorder="1"/>
    <xf numFmtId="185" fontId="46" fillId="0" borderId="0" xfId="0" applyNumberFormat="1" applyFont="1" applyFill="1" applyBorder="1"/>
    <xf numFmtId="10" fontId="0" fillId="0" borderId="0" xfId="3" applyNumberFormat="1" applyFont="1" applyFill="1" applyBorder="1"/>
    <xf numFmtId="10" fontId="0" fillId="0" borderId="0" xfId="0" applyNumberFormat="1" applyFill="1" applyBorder="1"/>
    <xf numFmtId="174" fontId="0" fillId="0" borderId="0" xfId="0" applyNumberFormat="1" applyFill="1" applyBorder="1"/>
    <xf numFmtId="174" fontId="46" fillId="0" borderId="0" xfId="3" applyNumberFormat="1" applyFont="1" applyFill="1" applyBorder="1"/>
    <xf numFmtId="2" fontId="0" fillId="0" borderId="0" xfId="0" applyNumberFormat="1" applyFill="1" applyBorder="1"/>
    <xf numFmtId="0" fontId="51" fillId="0" borderId="0" xfId="0" applyFont="1" applyFill="1" applyBorder="1"/>
    <xf numFmtId="174" fontId="4" fillId="0" borderId="0" xfId="3" applyNumberFormat="1" applyFont="1" applyFill="1" applyBorder="1" applyAlignment="1" applyProtection="1">
      <alignment horizontal="right"/>
    </xf>
    <xf numFmtId="44" fontId="0" fillId="0" borderId="0" xfId="2" applyFont="1" applyFill="1" applyBorder="1"/>
    <xf numFmtId="0" fontId="0" fillId="0" borderId="0" xfId="0" quotePrefix="1" applyFill="1" applyBorder="1"/>
    <xf numFmtId="174" fontId="4" fillId="0" borderId="0" xfId="3" applyNumberFormat="1" applyFont="1" applyFill="1" applyBorder="1"/>
    <xf numFmtId="3" fontId="46" fillId="0" borderId="0" xfId="4" applyNumberFormat="1" applyFont="1" applyAlignment="1">
      <alignment vertical="top"/>
    </xf>
    <xf numFmtId="169" fontId="0" fillId="0" borderId="0" xfId="0" applyNumberFormat="1" applyFill="1" applyBorder="1"/>
    <xf numFmtId="0" fontId="0" fillId="0" borderId="0" xfId="0" applyFill="1" applyBorder="1" applyAlignment="1">
      <alignment horizontal="left"/>
    </xf>
    <xf numFmtId="169" fontId="0" fillId="0" borderId="0" xfId="3" applyNumberFormat="1" applyFont="1" applyFill="1" applyBorder="1"/>
    <xf numFmtId="44" fontId="3" fillId="0" borderId="0" xfId="2" applyFont="1" applyFill="1" applyBorder="1"/>
    <xf numFmtId="44" fontId="3" fillId="0" borderId="0" xfId="2" quotePrefix="1" applyFont="1" applyFill="1" applyBorder="1"/>
    <xf numFmtId="171" fontId="3" fillId="0" borderId="0" xfId="2" quotePrefix="1" applyNumberFormat="1" applyFont="1" applyFill="1" applyBorder="1"/>
    <xf numFmtId="44" fontId="2" fillId="0" borderId="0" xfId="2" applyFont="1" applyFill="1" applyBorder="1"/>
    <xf numFmtId="169" fontId="21" fillId="0" borderId="0" xfId="0" applyNumberFormat="1" applyFont="1" applyFill="1" applyBorder="1"/>
    <xf numFmtId="0" fontId="9" fillId="0" borderId="0" xfId="0" applyFont="1" applyFill="1" applyBorder="1" applyAlignment="1">
      <alignment horizontal="left"/>
    </xf>
    <xf numFmtId="0" fontId="6" fillId="0" borderId="0" xfId="0" applyFont="1" applyFill="1" applyBorder="1" applyAlignment="1">
      <alignment horizontal="left"/>
    </xf>
    <xf numFmtId="17" fontId="0" fillId="0" borderId="0" xfId="0" applyNumberFormat="1" applyFill="1" applyBorder="1"/>
    <xf numFmtId="17" fontId="0" fillId="0" borderId="0" xfId="0" applyNumberFormat="1" applyFill="1" applyBorder="1" applyAlignment="1">
      <alignment horizontal="right"/>
    </xf>
    <xf numFmtId="173" fontId="3" fillId="0" borderId="0" xfId="2" quotePrefix="1" applyNumberFormat="1" applyFont="1" applyFill="1" applyBorder="1"/>
    <xf numFmtId="10" fontId="50" fillId="0" borderId="0" xfId="3" quotePrefix="1" applyNumberFormat="1" applyFont="1" applyFill="1" applyBorder="1"/>
    <xf numFmtId="44" fontId="50" fillId="0" borderId="0" xfId="2" quotePrefix="1" applyFont="1" applyFill="1" applyBorder="1"/>
    <xf numFmtId="0" fontId="50" fillId="0" borderId="0" xfId="0" applyFont="1" applyFill="1" applyBorder="1"/>
    <xf numFmtId="44" fontId="0" fillId="0" borderId="0" xfId="2" quotePrefix="1" applyFont="1" applyFill="1" applyBorder="1"/>
    <xf numFmtId="0" fontId="7" fillId="0" borderId="0" xfId="0" applyFont="1" applyFill="1" applyBorder="1" applyAlignment="1">
      <alignment horizontal="center"/>
    </xf>
    <xf numFmtId="176" fontId="3" fillId="0" borderId="0" xfId="0" applyNumberFormat="1" applyFont="1" applyFill="1" applyBorder="1" applyAlignment="1">
      <alignment horizontal="right"/>
    </xf>
    <xf numFmtId="0" fontId="3" fillId="0" borderId="0" xfId="0" applyFont="1" applyFill="1" applyBorder="1"/>
    <xf numFmtId="17" fontId="4" fillId="0" borderId="0" xfId="0" applyNumberFormat="1" applyFont="1" applyFill="1" applyBorder="1"/>
    <xf numFmtId="184" fontId="4" fillId="0" borderId="0" xfId="0" applyNumberFormat="1" applyFont="1" applyFill="1" applyBorder="1"/>
    <xf numFmtId="0" fontId="4" fillId="8" borderId="0" xfId="0" applyFont="1" applyFill="1" applyAlignment="1">
      <alignment horizontal="center"/>
    </xf>
    <xf numFmtId="176" fontId="4" fillId="8" borderId="0" xfId="1" quotePrefix="1" applyNumberFormat="1" applyFont="1" applyFill="1" applyBorder="1"/>
    <xf numFmtId="171" fontId="2" fillId="0" borderId="0" xfId="2" quotePrefix="1" applyNumberFormat="1" applyFont="1" applyFill="1" applyBorder="1"/>
    <xf numFmtId="44" fontId="2" fillId="0" borderId="0" xfId="2" applyFill="1" applyBorder="1"/>
    <xf numFmtId="171" fontId="3" fillId="0" borderId="0" xfId="2" applyNumberFormat="1" applyFont="1" applyFill="1" applyBorder="1"/>
    <xf numFmtId="169" fontId="4" fillId="0" borderId="0" xfId="0" applyNumberFormat="1" applyFont="1" applyFill="1" applyBorder="1"/>
    <xf numFmtId="165" fontId="48" fillId="0" borderId="0" xfId="0" applyNumberFormat="1" applyFont="1" applyFill="1" applyBorder="1"/>
    <xf numFmtId="0" fontId="2" fillId="0" borderId="0" xfId="4" applyAlignment="1">
      <alignment vertical="center"/>
    </xf>
    <xf numFmtId="0" fontId="4" fillId="0" borderId="0" xfId="4" applyFont="1" applyFill="1" applyAlignment="1">
      <alignment vertical="center" wrapText="1"/>
    </xf>
    <xf numFmtId="184" fontId="2" fillId="0" borderId="0" xfId="4" applyNumberFormat="1" applyAlignment="1">
      <alignment vertical="center"/>
    </xf>
    <xf numFmtId="0" fontId="2" fillId="0" borderId="0" xfId="4" quotePrefix="1" applyAlignment="1">
      <alignment horizontal="left" vertical="center"/>
    </xf>
    <xf numFmtId="0" fontId="2" fillId="0" borderId="0" xfId="4" applyAlignment="1">
      <alignment horizontal="left" vertical="center"/>
    </xf>
    <xf numFmtId="0" fontId="46" fillId="0" borderId="0" xfId="0" quotePrefix="1" applyFont="1" applyFill="1" applyBorder="1" applyAlignment="1">
      <alignment wrapText="1"/>
    </xf>
    <xf numFmtId="0" fontId="46" fillId="0" borderId="16" xfId="0" quotePrefix="1" applyFont="1" applyFill="1" applyBorder="1" applyAlignment="1">
      <alignment wrapText="1"/>
    </xf>
    <xf numFmtId="185" fontId="2" fillId="0" borderId="0" xfId="4" applyNumberFormat="1" applyAlignment="1">
      <alignment vertical="center" wrapText="1"/>
    </xf>
    <xf numFmtId="0" fontId="2" fillId="0" borderId="0" xfId="4" quotePrefix="1" applyFont="1" applyAlignment="1">
      <alignment horizontal="left" vertical="center"/>
    </xf>
    <xf numFmtId="0" fontId="2" fillId="0" borderId="0" xfId="0" applyFont="1"/>
    <xf numFmtId="0" fontId="2" fillId="0" borderId="0" xfId="0" applyFont="1" applyAlignment="1">
      <alignment horizontal="right"/>
    </xf>
    <xf numFmtId="43" fontId="2" fillId="0" borderId="0" xfId="1" applyFont="1" applyFill="1" applyAlignment="1">
      <alignment horizontal="left"/>
    </xf>
    <xf numFmtId="43" fontId="2" fillId="0" borderId="0" xfId="1" quotePrefix="1" applyFont="1"/>
    <xf numFmtId="0" fontId="7" fillId="0" borderId="0" xfId="0" applyFont="1" applyFill="1" applyAlignment="1">
      <alignment horizontal="center"/>
    </xf>
    <xf numFmtId="0" fontId="29" fillId="0" borderId="0" xfId="0" applyFont="1" applyFill="1" applyAlignment="1">
      <alignment horizontal="center"/>
    </xf>
    <xf numFmtId="0" fontId="2" fillId="0" borderId="0" xfId="0" quotePrefix="1" applyFont="1" applyAlignment="1">
      <alignment horizontal="left" wrapText="1"/>
    </xf>
    <xf numFmtId="0" fontId="2" fillId="0" borderId="11" xfId="4" applyFont="1" applyFill="1" applyBorder="1" applyAlignment="1">
      <alignment horizontal="left" wrapText="1"/>
    </xf>
    <xf numFmtId="0" fontId="2" fillId="0" borderId="0" xfId="4" applyAlignment="1">
      <alignment horizontal="left" wrapText="1"/>
    </xf>
    <xf numFmtId="0" fontId="2" fillId="0" borderId="0" xfId="4" quotePrefix="1" applyAlignment="1">
      <alignment horizontal="left" wrapText="1"/>
    </xf>
    <xf numFmtId="0" fontId="2" fillId="0" borderId="0" xfId="4" quotePrefix="1" applyFont="1" applyAlignment="1">
      <alignment horizontal="left" vertical="top" wrapText="1"/>
    </xf>
    <xf numFmtId="22" fontId="7" fillId="0" borderId="0" xfId="4" applyNumberFormat="1" applyFont="1" applyAlignment="1">
      <alignment horizontal="center"/>
    </xf>
    <xf numFmtId="22" fontId="29" fillId="0" borderId="0" xfId="4" applyNumberFormat="1" applyFont="1" applyAlignment="1">
      <alignment horizontal="center"/>
    </xf>
  </cellXfs>
  <cellStyles count="7">
    <cellStyle name="Comma" xfId="1" builtinId="3"/>
    <cellStyle name="Currency" xfId="2" builtinId="4"/>
    <cellStyle name="Normal" xfId="0" builtinId="0"/>
    <cellStyle name="Normal 2" xfId="4"/>
    <cellStyle name="Normal 3" xfId="5"/>
    <cellStyle name="Percent" xfId="3" builtinId="5"/>
    <cellStyle name="Percent 2" xfId="6"/>
  </cellStyles>
  <dxfs count="0"/>
  <tableStyles count="0" defaultTableStyle="TableStyleMedium2" defaultPivotStyle="PivotStyleLight16"/>
  <colors>
    <mruColors>
      <color rgb="FFFFFF99"/>
      <color rgb="FFFFFFCC"/>
      <color rgb="FFFFFF66"/>
      <color rgb="FF0000FF"/>
      <color rgb="FF0066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47"/>
  <sheetViews>
    <sheetView tabSelected="1" view="pageBreakPreview" zoomScale="60" zoomScaleNormal="100" workbookViewId="0">
      <selection activeCell="J301" sqref="J301"/>
    </sheetView>
  </sheetViews>
  <sheetFormatPr defaultColWidth="9.109375" defaultRowHeight="13.2" x14ac:dyDescent="0.25"/>
  <cols>
    <col min="1" max="1" width="16.109375" style="12" customWidth="1"/>
    <col min="2" max="2" width="27.88671875" style="13" customWidth="1"/>
    <col min="3" max="3" width="14.5546875" style="13" customWidth="1"/>
    <col min="4" max="4" width="12.5546875" style="13" customWidth="1"/>
    <col min="5" max="5" width="16.5546875" style="13" customWidth="1"/>
    <col min="6" max="6" width="16" style="13" customWidth="1"/>
    <col min="7" max="7" width="16.5546875" style="13" customWidth="1"/>
    <col min="8" max="8" width="15.44140625" style="13" customWidth="1"/>
    <col min="9" max="9" width="14.109375" style="13" customWidth="1"/>
    <col min="10" max="10" width="16.44140625" style="13" customWidth="1"/>
    <col min="11" max="11" width="12.5546875" style="13" customWidth="1"/>
    <col min="12" max="12" width="16.5546875" style="13" customWidth="1"/>
    <col min="13" max="13" width="17" style="13" hidden="1" customWidth="1"/>
    <col min="14" max="14" width="15.109375" style="13" hidden="1" customWidth="1"/>
    <col min="15" max="16" width="12.44140625" style="13" hidden="1" customWidth="1"/>
    <col min="17" max="17" width="13.5546875" style="13" hidden="1" customWidth="1"/>
    <col min="18" max="18" width="14.44140625" style="13" hidden="1" customWidth="1"/>
    <col min="19" max="19" width="14.88671875" style="13" hidden="1" customWidth="1"/>
    <col min="20" max="20" width="15.109375" style="13" hidden="1" customWidth="1"/>
    <col min="21" max="21" width="14.109375" style="13" hidden="1" customWidth="1"/>
    <col min="22" max="22" width="12.44140625" style="13" hidden="1" customWidth="1"/>
    <col min="23" max="23" width="13.44140625" style="13" hidden="1" customWidth="1"/>
    <col min="24" max="24" width="15.44140625" style="13" hidden="1" customWidth="1"/>
    <col min="25" max="25" width="10.5546875" style="13" hidden="1" customWidth="1"/>
    <col min="26" max="26" width="11.5546875" style="13" hidden="1" customWidth="1"/>
    <col min="27" max="27" width="12.5546875" style="13" hidden="1" customWidth="1"/>
    <col min="28" max="28" width="13.44140625" style="13" hidden="1" customWidth="1"/>
    <col min="29" max="29" width="11" style="13" hidden="1" customWidth="1"/>
    <col min="30" max="30" width="14.109375" style="13" hidden="1" customWidth="1"/>
    <col min="31" max="31" width="9.88671875" style="13" hidden="1" customWidth="1"/>
    <col min="32" max="32" width="9.109375" style="13" hidden="1" customWidth="1"/>
    <col min="33" max="33" width="12" style="13" hidden="1" customWidth="1"/>
    <col min="34" max="36" width="9.109375" style="13" hidden="1" customWidth="1"/>
    <col min="37" max="37" width="9.109375" style="13" customWidth="1"/>
    <col min="38" max="38" width="9.44140625" style="13" customWidth="1"/>
    <col min="39" max="46" width="9.109375" style="13" customWidth="1"/>
    <col min="47" max="48" width="10.88671875" style="13" hidden="1" customWidth="1"/>
    <col min="49" max="49" width="12.44140625" style="13" hidden="1" customWidth="1"/>
    <col min="50" max="50" width="10.88671875" style="13" hidden="1" customWidth="1"/>
    <col min="51" max="51" width="11.44140625" style="13" hidden="1" customWidth="1"/>
    <col min="52" max="52" width="0" style="13" hidden="1" customWidth="1"/>
    <col min="53" max="16384" width="9.109375" style="13"/>
  </cols>
  <sheetData>
    <row r="1" spans="1:26" ht="15.6" x14ac:dyDescent="0.3">
      <c r="B1" s="519" t="s">
        <v>69</v>
      </c>
      <c r="C1" s="519"/>
      <c r="D1" s="519"/>
      <c r="E1" s="519"/>
      <c r="F1" s="519"/>
      <c r="G1" s="519"/>
      <c r="H1" s="519"/>
      <c r="I1" s="519"/>
      <c r="J1" s="519"/>
      <c r="K1" s="519"/>
      <c r="L1" s="519"/>
    </row>
    <row r="2" spans="1:26" ht="15.6" x14ac:dyDescent="0.3">
      <c r="B2" s="519" t="s">
        <v>187</v>
      </c>
      <c r="C2" s="519"/>
      <c r="D2" s="519"/>
      <c r="E2" s="519"/>
      <c r="F2" s="519"/>
      <c r="G2" s="519"/>
      <c r="H2" s="519"/>
      <c r="I2" s="519"/>
      <c r="J2" s="519"/>
      <c r="K2" s="519"/>
      <c r="L2" s="519"/>
    </row>
    <row r="3" spans="1:26" ht="15.6" x14ac:dyDescent="0.3">
      <c r="B3" s="519" t="str">
        <f>'BGS PTY15 Cost Alloc'!$B$3</f>
        <v>2017 BGS Auction Cost and Bid Factor Tables</v>
      </c>
      <c r="C3" s="519"/>
      <c r="D3" s="519"/>
      <c r="E3" s="519"/>
      <c r="F3" s="519"/>
      <c r="G3" s="519"/>
      <c r="H3" s="519"/>
      <c r="I3" s="519"/>
      <c r="J3" s="519"/>
      <c r="K3" s="519"/>
      <c r="L3" s="519"/>
    </row>
    <row r="4" spans="1:26" ht="15.6" x14ac:dyDescent="0.3">
      <c r="B4" s="166"/>
      <c r="C4" s="166"/>
      <c r="D4" s="166"/>
      <c r="E4" s="166"/>
      <c r="F4" s="166"/>
      <c r="G4" s="166"/>
      <c r="H4" s="166"/>
      <c r="I4" s="166"/>
      <c r="J4" s="166"/>
      <c r="K4" s="166"/>
      <c r="L4" s="166"/>
    </row>
    <row r="5" spans="1:26" ht="15.6" x14ac:dyDescent="0.3">
      <c r="B5" s="520" t="s">
        <v>289</v>
      </c>
      <c r="C5" s="520"/>
      <c r="D5" s="520"/>
      <c r="E5" s="520"/>
      <c r="F5" s="520"/>
      <c r="G5" s="520"/>
      <c r="H5" s="520"/>
      <c r="I5" s="520"/>
      <c r="J5" s="520"/>
      <c r="K5" s="520"/>
      <c r="L5" s="520"/>
    </row>
    <row r="6" spans="1:26" x14ac:dyDescent="0.25">
      <c r="L6" s="120" t="s">
        <v>255</v>
      </c>
    </row>
    <row r="8" spans="1:26" ht="15.6" x14ac:dyDescent="0.3">
      <c r="B8" s="14" t="s">
        <v>50</v>
      </c>
    </row>
    <row r="9" spans="1:26" x14ac:dyDescent="0.25">
      <c r="A9" s="15"/>
      <c r="B9" s="16" t="s">
        <v>45</v>
      </c>
    </row>
    <row r="10" spans="1:26" x14ac:dyDescent="0.25">
      <c r="E10" s="17" t="str">
        <f>'BGS PTY15 Cost Alloc'!$E$10</f>
        <v>Based on an average of 2013 through 2015 Load Profile Information</v>
      </c>
    </row>
    <row r="11" spans="1:26" x14ac:dyDescent="0.25">
      <c r="A11" s="18" t="s">
        <v>30</v>
      </c>
      <c r="B11" s="19" t="s">
        <v>47</v>
      </c>
      <c r="C11" s="20"/>
      <c r="E11" s="17" t="s">
        <v>27</v>
      </c>
      <c r="N11" s="19"/>
      <c r="P11" s="21"/>
      <c r="Q11" s="19" t="s">
        <v>212</v>
      </c>
      <c r="R11" s="21"/>
      <c r="S11" s="21"/>
      <c r="T11" s="21"/>
      <c r="U11" s="21"/>
      <c r="V11" s="21"/>
      <c r="W11" s="21"/>
      <c r="X11" s="21"/>
      <c r="Y11" s="21"/>
      <c r="Z11" s="21"/>
    </row>
    <row r="12" spans="1:26" ht="26.4" x14ac:dyDescent="0.25">
      <c r="A12" s="22"/>
      <c r="C12" s="23"/>
      <c r="D12" s="23"/>
      <c r="E12" s="23" t="s">
        <v>24</v>
      </c>
      <c r="F12" s="23" t="s">
        <v>24</v>
      </c>
      <c r="G12" s="23" t="s">
        <v>24</v>
      </c>
      <c r="H12" s="23" t="s">
        <v>24</v>
      </c>
      <c r="I12" s="23" t="s">
        <v>56</v>
      </c>
      <c r="K12" s="23"/>
      <c r="L12" s="23"/>
      <c r="M12" s="23"/>
      <c r="N12" s="17"/>
      <c r="O12" s="23"/>
      <c r="P12" s="23"/>
      <c r="Q12" s="23" t="s">
        <v>24</v>
      </c>
      <c r="R12" s="23" t="s">
        <v>24</v>
      </c>
      <c r="S12" s="23" t="s">
        <v>24</v>
      </c>
      <c r="T12" s="23" t="s">
        <v>24</v>
      </c>
      <c r="U12" s="23" t="s">
        <v>56</v>
      </c>
      <c r="W12" s="23"/>
      <c r="X12" s="23"/>
      <c r="Y12" s="23"/>
      <c r="Z12" s="23"/>
    </row>
    <row r="13" spans="1:26" x14ac:dyDescent="0.25">
      <c r="A13" s="22"/>
      <c r="B13" s="24" t="s">
        <v>190</v>
      </c>
      <c r="C13" s="25"/>
      <c r="D13" s="25"/>
      <c r="E13" s="26" t="s">
        <v>61</v>
      </c>
      <c r="F13" s="26" t="s">
        <v>62</v>
      </c>
      <c r="G13" s="26" t="s">
        <v>65</v>
      </c>
      <c r="H13" s="26" t="s">
        <v>54</v>
      </c>
      <c r="I13" s="26" t="s">
        <v>55</v>
      </c>
      <c r="J13" s="25"/>
      <c r="K13" s="25"/>
      <c r="L13" s="25"/>
      <c r="M13" s="25"/>
      <c r="N13" s="27"/>
      <c r="O13" s="26"/>
      <c r="P13" s="26"/>
      <c r="Q13" s="26" t="str">
        <f>+E13</f>
        <v>RT{1}</v>
      </c>
      <c r="R13" s="26" t="str">
        <f>+F13</f>
        <v>RS{2}</v>
      </c>
      <c r="S13" s="26" t="str">
        <f>+G13</f>
        <v>GS{3}</v>
      </c>
      <c r="T13" s="26" t="str">
        <f>+H13</f>
        <v>GST</v>
      </c>
      <c r="U13" s="26" t="str">
        <f>+I13</f>
        <v>OL/SL</v>
      </c>
      <c r="V13" s="26"/>
      <c r="W13" s="26"/>
      <c r="X13" s="26"/>
      <c r="Y13" s="26"/>
      <c r="Z13" s="26"/>
    </row>
    <row r="14" spans="1:26" x14ac:dyDescent="0.25">
      <c r="A14" s="22"/>
      <c r="O14" s="21"/>
      <c r="P14" s="21"/>
      <c r="Q14" s="21"/>
      <c r="R14" s="21"/>
      <c r="S14" s="21"/>
      <c r="T14" s="21"/>
      <c r="U14" s="21"/>
      <c r="V14" s="21"/>
      <c r="W14" s="21"/>
      <c r="X14" s="21"/>
      <c r="Y14" s="21"/>
      <c r="Z14" s="21"/>
    </row>
    <row r="15" spans="1:26" x14ac:dyDescent="0.25">
      <c r="A15" s="22"/>
      <c r="B15" s="28" t="s">
        <v>1</v>
      </c>
      <c r="C15" s="29"/>
      <c r="D15" s="29"/>
      <c r="E15" s="153">
        <f>'BGS PTY15 Cost Alloc'!E15</f>
        <v>0.49080000000000001</v>
      </c>
      <c r="F15" s="153">
        <f>'BGS PTY15 Cost Alloc'!F15</f>
        <v>0.51570000000000005</v>
      </c>
      <c r="G15" s="153">
        <f>'BGS PTY15 Cost Alloc'!G15</f>
        <v>0.57820000000000005</v>
      </c>
      <c r="H15" s="153">
        <f>'BGS PTY15 Cost Alloc'!H15</f>
        <v>0.55479999999999996</v>
      </c>
      <c r="I15" s="153">
        <f>'BGS PTY15 Cost Alloc'!I15</f>
        <v>0.34320000000000001</v>
      </c>
      <c r="J15" s="29"/>
      <c r="K15" s="30"/>
      <c r="L15" s="30"/>
      <c r="M15" s="30"/>
      <c r="N15" s="31"/>
      <c r="O15" s="32"/>
      <c r="P15" s="32"/>
      <c r="Q15" s="32">
        <f t="shared" ref="Q15:U26" si="0">1-E15</f>
        <v>0.50919999999999999</v>
      </c>
      <c r="R15" s="32">
        <f t="shared" si="0"/>
        <v>0.48429999999999995</v>
      </c>
      <c r="S15" s="32">
        <f t="shared" si="0"/>
        <v>0.42179999999999995</v>
      </c>
      <c r="T15" s="32">
        <f t="shared" si="0"/>
        <v>0.44520000000000004</v>
      </c>
      <c r="U15" s="32">
        <f t="shared" si="0"/>
        <v>0.65680000000000005</v>
      </c>
      <c r="V15" s="32"/>
      <c r="W15" s="32"/>
      <c r="X15" s="32"/>
      <c r="Y15" s="32"/>
      <c r="Z15" s="32"/>
    </row>
    <row r="16" spans="1:26" x14ac:dyDescent="0.25">
      <c r="A16" s="22"/>
      <c r="B16" s="28" t="s">
        <v>2</v>
      </c>
      <c r="C16" s="29"/>
      <c r="D16" s="29"/>
      <c r="E16" s="153">
        <f>'BGS PTY15 Cost Alloc'!E16</f>
        <v>0.4819</v>
      </c>
      <c r="F16" s="153">
        <f>'BGS PTY15 Cost Alloc'!F16</f>
        <v>0.51149999999999995</v>
      </c>
      <c r="G16" s="153">
        <f>'BGS PTY15 Cost Alloc'!G16</f>
        <v>0.57440000000000002</v>
      </c>
      <c r="H16" s="153">
        <f>'BGS PTY15 Cost Alloc'!H16</f>
        <v>0.55359999999999998</v>
      </c>
      <c r="I16" s="153">
        <f>'BGS PTY15 Cost Alloc'!I16</f>
        <v>0.31630000000000003</v>
      </c>
      <c r="J16" s="29"/>
      <c r="K16" s="30"/>
      <c r="L16" s="30"/>
      <c r="M16" s="30"/>
      <c r="N16" s="31"/>
      <c r="O16" s="32"/>
      <c r="P16" s="32"/>
      <c r="Q16" s="32">
        <f t="shared" si="0"/>
        <v>0.5181</v>
      </c>
      <c r="R16" s="32">
        <f t="shared" si="0"/>
        <v>0.48850000000000005</v>
      </c>
      <c r="S16" s="32">
        <f t="shared" si="0"/>
        <v>0.42559999999999998</v>
      </c>
      <c r="T16" s="32">
        <f t="shared" si="0"/>
        <v>0.44640000000000002</v>
      </c>
      <c r="U16" s="32">
        <f t="shared" si="0"/>
        <v>0.68369999999999997</v>
      </c>
      <c r="V16" s="32"/>
      <c r="W16" s="32"/>
      <c r="X16" s="32"/>
      <c r="Y16" s="32"/>
      <c r="Z16" s="32"/>
    </row>
    <row r="17" spans="1:26" x14ac:dyDescent="0.25">
      <c r="A17" s="22"/>
      <c r="B17" s="28" t="s">
        <v>3</v>
      </c>
      <c r="C17" s="29"/>
      <c r="D17" s="29"/>
      <c r="E17" s="153">
        <f>'BGS PTY15 Cost Alloc'!E17</f>
        <v>0.47589999999999999</v>
      </c>
      <c r="F17" s="153">
        <f>'BGS PTY15 Cost Alloc'!F17</f>
        <v>0.49380000000000002</v>
      </c>
      <c r="G17" s="153">
        <f>'BGS PTY15 Cost Alloc'!G17</f>
        <v>0.57830000000000004</v>
      </c>
      <c r="H17" s="153">
        <f>'BGS PTY15 Cost Alloc'!H17</f>
        <v>0.54449999999999998</v>
      </c>
      <c r="I17" s="153">
        <f>'BGS PTY15 Cost Alloc'!I17</f>
        <v>0.2712</v>
      </c>
      <c r="J17" s="29"/>
      <c r="K17" s="30"/>
      <c r="L17" s="30"/>
      <c r="M17" s="30"/>
      <c r="N17" s="31"/>
      <c r="O17" s="32"/>
      <c r="P17" s="32"/>
      <c r="Q17" s="32">
        <f t="shared" si="0"/>
        <v>0.52410000000000001</v>
      </c>
      <c r="R17" s="32">
        <f t="shared" si="0"/>
        <v>0.50619999999999998</v>
      </c>
      <c r="S17" s="32">
        <f t="shared" si="0"/>
        <v>0.42169999999999996</v>
      </c>
      <c r="T17" s="32">
        <f t="shared" si="0"/>
        <v>0.45550000000000002</v>
      </c>
      <c r="U17" s="32">
        <f t="shared" si="0"/>
        <v>0.7288</v>
      </c>
      <c r="V17" s="32"/>
      <c r="W17" s="32"/>
      <c r="X17" s="32"/>
      <c r="Y17" s="32"/>
      <c r="Z17" s="32"/>
    </row>
    <row r="18" spans="1:26" x14ac:dyDescent="0.25">
      <c r="A18" s="22"/>
      <c r="B18" s="28" t="s">
        <v>4</v>
      </c>
      <c r="C18" s="29"/>
      <c r="D18" s="29"/>
      <c r="E18" s="153">
        <f>'BGS PTY15 Cost Alloc'!E18</f>
        <v>0.50480000000000003</v>
      </c>
      <c r="F18" s="153">
        <f>'BGS PTY15 Cost Alloc'!F18</f>
        <v>0.52080000000000004</v>
      </c>
      <c r="G18" s="153">
        <f>'BGS PTY15 Cost Alloc'!G18</f>
        <v>0.61429999999999996</v>
      </c>
      <c r="H18" s="153">
        <f>'BGS PTY15 Cost Alloc'!H18</f>
        <v>0.59</v>
      </c>
      <c r="I18" s="153">
        <f>'BGS PTY15 Cost Alloc'!I18</f>
        <v>0.26250000000000001</v>
      </c>
      <c r="J18" s="29"/>
      <c r="K18" s="30"/>
      <c r="L18" s="30"/>
      <c r="M18" s="30"/>
      <c r="N18" s="31"/>
      <c r="O18" s="32"/>
      <c r="P18" s="32"/>
      <c r="Q18" s="32">
        <f t="shared" si="0"/>
        <v>0.49519999999999997</v>
      </c>
      <c r="R18" s="32">
        <f t="shared" si="0"/>
        <v>0.47919999999999996</v>
      </c>
      <c r="S18" s="32">
        <f t="shared" si="0"/>
        <v>0.38570000000000004</v>
      </c>
      <c r="T18" s="32">
        <f t="shared" si="0"/>
        <v>0.41000000000000003</v>
      </c>
      <c r="U18" s="32">
        <f t="shared" si="0"/>
        <v>0.73750000000000004</v>
      </c>
      <c r="V18" s="32"/>
      <c r="W18" s="32"/>
      <c r="X18" s="32"/>
      <c r="Y18" s="32"/>
      <c r="Z18" s="32"/>
    </row>
    <row r="19" spans="1:26" x14ac:dyDescent="0.25">
      <c r="A19" s="22"/>
      <c r="B19" s="28" t="s">
        <v>5</v>
      </c>
      <c r="C19" s="29"/>
      <c r="D19" s="29"/>
      <c r="E19" s="153">
        <f>'BGS PTY15 Cost Alloc'!E19</f>
        <v>0.48139999999999999</v>
      </c>
      <c r="F19" s="153">
        <f>'BGS PTY15 Cost Alloc'!F19</f>
        <v>0.49299999999999999</v>
      </c>
      <c r="G19" s="153">
        <f>'BGS PTY15 Cost Alloc'!G19</f>
        <v>0.59119999999999995</v>
      </c>
      <c r="H19" s="153">
        <f>'BGS PTY15 Cost Alloc'!H19</f>
        <v>0.57809999999999995</v>
      </c>
      <c r="I19" s="153">
        <f>'BGS PTY15 Cost Alloc'!I19</f>
        <v>0.24210000000000001</v>
      </c>
      <c r="J19" s="29"/>
      <c r="K19" s="30"/>
      <c r="L19" s="30"/>
      <c r="M19" s="30"/>
      <c r="N19" s="31"/>
      <c r="O19" s="32"/>
      <c r="P19" s="32"/>
      <c r="Q19" s="32">
        <f t="shared" si="0"/>
        <v>0.51859999999999995</v>
      </c>
      <c r="R19" s="32">
        <f t="shared" si="0"/>
        <v>0.50700000000000001</v>
      </c>
      <c r="S19" s="32">
        <f t="shared" si="0"/>
        <v>0.40880000000000005</v>
      </c>
      <c r="T19" s="32">
        <f t="shared" si="0"/>
        <v>0.42190000000000005</v>
      </c>
      <c r="U19" s="32">
        <f t="shared" si="0"/>
        <v>0.75790000000000002</v>
      </c>
      <c r="V19" s="32"/>
      <c r="W19" s="32"/>
      <c r="X19" s="32"/>
      <c r="Y19" s="32"/>
      <c r="Z19" s="32"/>
    </row>
    <row r="20" spans="1:26" x14ac:dyDescent="0.25">
      <c r="A20" s="22"/>
      <c r="B20" s="186" t="s">
        <v>6</v>
      </c>
      <c r="C20" s="210"/>
      <c r="D20" s="210"/>
      <c r="E20" s="216">
        <f>'BGS PTY15 Cost Alloc'!E20</f>
        <v>0.51149999999999995</v>
      </c>
      <c r="F20" s="216">
        <f>'BGS PTY15 Cost Alloc'!F20</f>
        <v>0.51590000000000003</v>
      </c>
      <c r="G20" s="216">
        <f>'BGS PTY15 Cost Alloc'!G20</f>
        <v>0.58189999999999997</v>
      </c>
      <c r="H20" s="216">
        <f>'BGS PTY15 Cost Alloc'!H20</f>
        <v>0.58020000000000005</v>
      </c>
      <c r="I20" s="236">
        <f>'BGS PTY15 Cost Alloc'!I20</f>
        <v>0.22559999999999999</v>
      </c>
      <c r="J20" s="29"/>
      <c r="K20" s="30"/>
      <c r="L20" s="30"/>
      <c r="M20" s="30"/>
      <c r="N20" s="31"/>
      <c r="O20" s="32"/>
      <c r="P20" s="32"/>
      <c r="Q20" s="32">
        <f t="shared" si="0"/>
        <v>0.48850000000000005</v>
      </c>
      <c r="R20" s="32">
        <f t="shared" si="0"/>
        <v>0.48409999999999997</v>
      </c>
      <c r="S20" s="32">
        <f t="shared" si="0"/>
        <v>0.41810000000000003</v>
      </c>
      <c r="T20" s="32">
        <f t="shared" si="0"/>
        <v>0.41979999999999995</v>
      </c>
      <c r="U20" s="32">
        <f t="shared" si="0"/>
        <v>0.77439999999999998</v>
      </c>
      <c r="V20" s="32"/>
      <c r="W20" s="32"/>
      <c r="X20" s="32"/>
      <c r="Y20" s="32"/>
      <c r="Z20" s="32"/>
    </row>
    <row r="21" spans="1:26" x14ac:dyDescent="0.25">
      <c r="A21" s="22"/>
      <c r="B21" s="190" t="s">
        <v>7</v>
      </c>
      <c r="C21" s="180"/>
      <c r="D21" s="180"/>
      <c r="E21" s="209">
        <f>'BGS PTY15 Cost Alloc'!E21</f>
        <v>0.53710000000000002</v>
      </c>
      <c r="F21" s="209">
        <f>'BGS PTY15 Cost Alloc'!F21</f>
        <v>0.53549999999999998</v>
      </c>
      <c r="G21" s="209">
        <f>'BGS PTY15 Cost Alloc'!G21</f>
        <v>0.60360000000000003</v>
      </c>
      <c r="H21" s="209">
        <f>'BGS PTY15 Cost Alloc'!H21</f>
        <v>0.59740000000000004</v>
      </c>
      <c r="I21" s="237">
        <f>'BGS PTY15 Cost Alloc'!I21</f>
        <v>0.24129999999999999</v>
      </c>
      <c r="J21" s="29"/>
      <c r="K21" s="30"/>
      <c r="L21" s="30"/>
      <c r="M21" s="30"/>
      <c r="N21" s="31"/>
      <c r="O21" s="32"/>
      <c r="P21" s="32"/>
      <c r="Q21" s="32">
        <f t="shared" si="0"/>
        <v>0.46289999999999998</v>
      </c>
      <c r="R21" s="32">
        <f t="shared" si="0"/>
        <v>0.46450000000000002</v>
      </c>
      <c r="S21" s="32">
        <f t="shared" si="0"/>
        <v>0.39639999999999997</v>
      </c>
      <c r="T21" s="32">
        <f t="shared" si="0"/>
        <v>0.40259999999999996</v>
      </c>
      <c r="U21" s="32">
        <f t="shared" si="0"/>
        <v>0.75870000000000004</v>
      </c>
      <c r="V21" s="32"/>
      <c r="W21" s="32"/>
      <c r="X21" s="32"/>
      <c r="Y21" s="32"/>
      <c r="Z21" s="32"/>
    </row>
    <row r="22" spans="1:26" x14ac:dyDescent="0.25">
      <c r="A22" s="22"/>
      <c r="B22" s="190" t="s">
        <v>8</v>
      </c>
      <c r="C22" s="180"/>
      <c r="D22" s="180"/>
      <c r="E22" s="209">
        <f>'BGS PTY15 Cost Alloc'!E22</f>
        <v>0.50949999999999995</v>
      </c>
      <c r="F22" s="209">
        <f>'BGS PTY15 Cost Alloc'!F22</f>
        <v>0.51019999999999999</v>
      </c>
      <c r="G22" s="209">
        <f>'BGS PTY15 Cost Alloc'!G22</f>
        <v>0.57569999999999999</v>
      </c>
      <c r="H22" s="209">
        <f>'BGS PTY15 Cost Alloc'!H22</f>
        <v>0.5716</v>
      </c>
      <c r="I22" s="237">
        <f>'BGS PTY15 Cost Alloc'!I22</f>
        <v>0.2346</v>
      </c>
      <c r="J22" s="29"/>
      <c r="K22" s="30"/>
      <c r="L22" s="30"/>
      <c r="M22" s="30"/>
      <c r="N22" s="31"/>
      <c r="O22" s="32"/>
      <c r="P22" s="32"/>
      <c r="Q22" s="32">
        <f t="shared" si="0"/>
        <v>0.49050000000000005</v>
      </c>
      <c r="R22" s="32">
        <f t="shared" si="0"/>
        <v>0.48980000000000001</v>
      </c>
      <c r="S22" s="32">
        <f t="shared" si="0"/>
        <v>0.42430000000000001</v>
      </c>
      <c r="T22" s="32">
        <f t="shared" si="0"/>
        <v>0.4284</v>
      </c>
      <c r="U22" s="32">
        <f t="shared" si="0"/>
        <v>0.76539999999999997</v>
      </c>
      <c r="V22" s="32"/>
      <c r="W22" s="32"/>
      <c r="X22" s="32"/>
      <c r="Y22" s="32"/>
      <c r="Z22" s="32"/>
    </row>
    <row r="23" spans="1:26" x14ac:dyDescent="0.25">
      <c r="A23" s="22"/>
      <c r="B23" s="193" t="s">
        <v>9</v>
      </c>
      <c r="C23" s="211"/>
      <c r="D23" s="211"/>
      <c r="E23" s="223">
        <f>'BGS PTY15 Cost Alloc'!E23</f>
        <v>0.49469999999999997</v>
      </c>
      <c r="F23" s="223">
        <f>'BGS PTY15 Cost Alloc'!F23</f>
        <v>0.50290000000000001</v>
      </c>
      <c r="G23" s="223">
        <f>'BGS PTY15 Cost Alloc'!G23</f>
        <v>0.59550000000000003</v>
      </c>
      <c r="H23" s="223">
        <f>'BGS PTY15 Cost Alloc'!H23</f>
        <v>0.58499999999999996</v>
      </c>
      <c r="I23" s="238">
        <f>'BGS PTY15 Cost Alloc'!I23</f>
        <v>0.26889999999999997</v>
      </c>
      <c r="J23" s="29"/>
      <c r="K23" s="30"/>
      <c r="L23" s="30"/>
      <c r="M23" s="30"/>
      <c r="N23" s="31"/>
      <c r="O23" s="32"/>
      <c r="P23" s="32"/>
      <c r="Q23" s="32">
        <f t="shared" si="0"/>
        <v>0.50530000000000008</v>
      </c>
      <c r="R23" s="32">
        <f t="shared" si="0"/>
        <v>0.49709999999999999</v>
      </c>
      <c r="S23" s="32">
        <f t="shared" si="0"/>
        <v>0.40449999999999997</v>
      </c>
      <c r="T23" s="32">
        <f t="shared" si="0"/>
        <v>0.41500000000000004</v>
      </c>
      <c r="U23" s="32">
        <f t="shared" si="0"/>
        <v>0.73110000000000008</v>
      </c>
      <c r="V23" s="32"/>
      <c r="W23" s="32"/>
      <c r="X23" s="32"/>
      <c r="Y23" s="32"/>
      <c r="Z23" s="32"/>
    </row>
    <row r="24" spans="1:26" x14ac:dyDescent="0.25">
      <c r="A24" s="22"/>
      <c r="B24" s="28" t="s">
        <v>10</v>
      </c>
      <c r="C24" s="29"/>
      <c r="D24" s="29"/>
      <c r="E24" s="153">
        <f>'BGS PTY15 Cost Alloc'!E24</f>
        <v>0.49619999999999997</v>
      </c>
      <c r="F24" s="153">
        <f>'BGS PTY15 Cost Alloc'!F24</f>
        <v>0.5171</v>
      </c>
      <c r="G24" s="153">
        <f>'BGS PTY15 Cost Alloc'!G24</f>
        <v>0.60709999999999997</v>
      </c>
      <c r="H24" s="153">
        <f>'BGS PTY15 Cost Alloc'!H24</f>
        <v>0.59560000000000002</v>
      </c>
      <c r="I24" s="153">
        <f>'BGS PTY15 Cost Alloc'!I24</f>
        <v>0.30030000000000001</v>
      </c>
      <c r="J24" s="29"/>
      <c r="K24" s="30"/>
      <c r="L24" s="30"/>
      <c r="M24" s="30"/>
      <c r="N24" s="31"/>
      <c r="O24" s="32"/>
      <c r="P24" s="32"/>
      <c r="Q24" s="32">
        <f t="shared" si="0"/>
        <v>0.50380000000000003</v>
      </c>
      <c r="R24" s="32">
        <f t="shared" si="0"/>
        <v>0.4829</v>
      </c>
      <c r="S24" s="32">
        <f t="shared" si="0"/>
        <v>0.39290000000000003</v>
      </c>
      <c r="T24" s="32">
        <f t="shared" si="0"/>
        <v>0.40439999999999998</v>
      </c>
      <c r="U24" s="32">
        <f t="shared" si="0"/>
        <v>0.69969999999999999</v>
      </c>
      <c r="V24" s="32"/>
      <c r="W24" s="32"/>
      <c r="X24" s="32"/>
      <c r="Y24" s="32"/>
      <c r="Z24" s="32"/>
    </row>
    <row r="25" spans="1:26" x14ac:dyDescent="0.25">
      <c r="A25" s="22"/>
      <c r="B25" s="28" t="s">
        <v>11</v>
      </c>
      <c r="C25" s="29"/>
      <c r="D25" s="29"/>
      <c r="E25" s="153">
        <f>'BGS PTY15 Cost Alloc'!E25</f>
        <v>0.45129999999999998</v>
      </c>
      <c r="F25" s="153">
        <f>'BGS PTY15 Cost Alloc'!F25</f>
        <v>0.47939999999999999</v>
      </c>
      <c r="G25" s="153">
        <f>'BGS PTY15 Cost Alloc'!G25</f>
        <v>0.56240000000000001</v>
      </c>
      <c r="H25" s="153">
        <f>'BGS PTY15 Cost Alloc'!H25</f>
        <v>0.5393</v>
      </c>
      <c r="I25" s="153">
        <f>'BGS PTY15 Cost Alloc'!I25</f>
        <v>0.32100000000000001</v>
      </c>
      <c r="J25" s="29"/>
      <c r="K25" s="30"/>
      <c r="L25" s="30"/>
      <c r="M25" s="30"/>
      <c r="N25" s="31"/>
      <c r="O25" s="32"/>
      <c r="P25" s="32"/>
      <c r="Q25" s="32">
        <f t="shared" si="0"/>
        <v>0.54869999999999997</v>
      </c>
      <c r="R25" s="32">
        <f t="shared" si="0"/>
        <v>0.52059999999999995</v>
      </c>
      <c r="S25" s="32">
        <f t="shared" si="0"/>
        <v>0.43759999999999999</v>
      </c>
      <c r="T25" s="32">
        <f t="shared" si="0"/>
        <v>0.4607</v>
      </c>
      <c r="U25" s="32">
        <f t="shared" si="0"/>
        <v>0.67900000000000005</v>
      </c>
      <c r="V25" s="32"/>
      <c r="W25" s="32"/>
      <c r="X25" s="32"/>
      <c r="Y25" s="32"/>
      <c r="Z25" s="32"/>
    </row>
    <row r="26" spans="1:26" x14ac:dyDescent="0.25">
      <c r="A26" s="22"/>
      <c r="B26" s="28" t="s">
        <v>12</v>
      </c>
      <c r="C26" s="29"/>
      <c r="D26" s="29"/>
      <c r="E26" s="153">
        <f>'BGS PTY15 Cost Alloc'!E26</f>
        <v>0.48820000000000002</v>
      </c>
      <c r="F26" s="153">
        <f>'BGS PTY15 Cost Alloc'!F26</f>
        <v>0.5101</v>
      </c>
      <c r="G26" s="153">
        <f>'BGS PTY15 Cost Alloc'!G26</f>
        <v>0.58230000000000004</v>
      </c>
      <c r="H26" s="153">
        <f>'BGS PTY15 Cost Alloc'!H26</f>
        <v>0.55659999999999998</v>
      </c>
      <c r="I26" s="153">
        <f>'BGS PTY15 Cost Alloc'!I26</f>
        <v>0.34710000000000002</v>
      </c>
      <c r="J26" s="29"/>
      <c r="K26" s="30"/>
      <c r="L26" s="30"/>
      <c r="M26" s="30"/>
      <c r="N26" s="31"/>
      <c r="O26" s="32"/>
      <c r="P26" s="32"/>
      <c r="Q26" s="32">
        <f t="shared" si="0"/>
        <v>0.51180000000000003</v>
      </c>
      <c r="R26" s="32">
        <f t="shared" si="0"/>
        <v>0.4899</v>
      </c>
      <c r="S26" s="32">
        <f t="shared" si="0"/>
        <v>0.41769999999999996</v>
      </c>
      <c r="T26" s="32">
        <f t="shared" si="0"/>
        <v>0.44340000000000002</v>
      </c>
      <c r="U26" s="32">
        <f t="shared" si="0"/>
        <v>0.65290000000000004</v>
      </c>
      <c r="V26" s="32"/>
      <c r="W26" s="32"/>
      <c r="X26" s="32"/>
      <c r="Y26" s="32"/>
      <c r="Z26" s="32"/>
    </row>
    <row r="27" spans="1:26" x14ac:dyDescent="0.25">
      <c r="A27" s="22"/>
      <c r="B27" s="28"/>
      <c r="C27" s="31"/>
      <c r="D27" s="31"/>
      <c r="E27" s="31"/>
      <c r="F27" s="31"/>
      <c r="G27" s="31"/>
      <c r="H27" s="31"/>
      <c r="I27" s="33"/>
      <c r="J27" s="33"/>
      <c r="K27" s="31"/>
      <c r="L27" s="31"/>
      <c r="M27" s="31"/>
      <c r="N27" s="31"/>
      <c r="O27" s="32"/>
      <c r="P27" s="32"/>
      <c r="Q27" s="32"/>
      <c r="R27" s="32"/>
      <c r="S27" s="32"/>
      <c r="T27" s="32"/>
      <c r="U27" s="32"/>
      <c r="V27" s="32"/>
      <c r="W27" s="32"/>
      <c r="X27" s="32"/>
      <c r="Y27" s="32"/>
      <c r="Z27" s="32"/>
    </row>
    <row r="28" spans="1:26" x14ac:dyDescent="0.25">
      <c r="A28" s="22"/>
      <c r="B28" s="28"/>
      <c r="C28" s="31"/>
      <c r="D28" s="31"/>
      <c r="E28" s="31"/>
      <c r="F28" s="31"/>
      <c r="G28" s="31"/>
      <c r="H28" s="31"/>
      <c r="I28" s="33"/>
      <c r="J28" s="33"/>
      <c r="K28" s="31"/>
      <c r="L28" s="31"/>
      <c r="M28" s="31"/>
      <c r="N28" s="31"/>
      <c r="O28" s="32"/>
      <c r="P28" s="32"/>
      <c r="Q28" s="32"/>
      <c r="R28" s="32"/>
      <c r="S28" s="32"/>
      <c r="T28" s="32"/>
      <c r="U28" s="32"/>
      <c r="V28" s="32"/>
      <c r="W28" s="32"/>
      <c r="X28" s="32"/>
      <c r="Y28" s="32"/>
      <c r="Z28" s="32"/>
    </row>
    <row r="29" spans="1:26" x14ac:dyDescent="0.25">
      <c r="A29" s="18" t="s">
        <v>31</v>
      </c>
      <c r="B29" s="19" t="s">
        <v>57</v>
      </c>
      <c r="C29" s="31"/>
      <c r="D29" s="31"/>
      <c r="E29" s="31"/>
      <c r="F29" s="34" t="s">
        <v>46</v>
      </c>
      <c r="G29" s="31"/>
      <c r="H29" s="31"/>
      <c r="I29" s="33"/>
      <c r="J29" s="33"/>
      <c r="K29" s="31"/>
      <c r="L29" s="31"/>
      <c r="M29" s="31"/>
      <c r="N29" s="31"/>
      <c r="O29" s="32"/>
      <c r="P29" s="32"/>
      <c r="Q29" s="32"/>
      <c r="R29" s="32"/>
      <c r="S29" s="32"/>
      <c r="T29" s="32"/>
      <c r="U29" s="32"/>
      <c r="V29" s="32"/>
      <c r="W29" s="32"/>
      <c r="X29" s="32"/>
      <c r="Y29" s="32"/>
      <c r="Z29" s="32"/>
    </row>
    <row r="30" spans="1:26" ht="53.25" customHeight="1" x14ac:dyDescent="0.25">
      <c r="A30" s="22"/>
      <c r="C30" s="23"/>
      <c r="D30" s="23"/>
      <c r="E30" s="23" t="str">
        <f>'BGS PTY15 Cost Alloc'!$E$30</f>
        <v>2016 Forecasted Calendar Month Sales</v>
      </c>
      <c r="F30" s="23" t="s">
        <v>39</v>
      </c>
      <c r="G30" s="23" t="s">
        <v>39</v>
      </c>
      <c r="H30" s="23" t="str">
        <f>'BGS PTY15 Cost Alloc'!$E$30</f>
        <v>2016 Forecasted Calendar Month Sales</v>
      </c>
      <c r="I30" s="23" t="s">
        <v>39</v>
      </c>
      <c r="J30" s="23"/>
      <c r="K30" s="23"/>
      <c r="L30" s="23"/>
      <c r="M30" s="23"/>
      <c r="N30" s="17"/>
      <c r="O30" s="23"/>
      <c r="P30" s="23"/>
      <c r="Q30" s="23" t="str">
        <f>'BGS PTY15 Cost Alloc'!Q30</f>
        <v>2016 Forecasted Calendar Month Sales</v>
      </c>
      <c r="R30" s="23" t="s">
        <v>39</v>
      </c>
      <c r="S30" s="23" t="s">
        <v>39</v>
      </c>
      <c r="T30" s="23" t="str">
        <f>'BGS PTY15 Cost Alloc'!T30</f>
        <v>2016 Forecasted Calendar Month Sales</v>
      </c>
      <c r="U30" s="23" t="s">
        <v>39</v>
      </c>
      <c r="V30" s="23"/>
      <c r="W30" s="23"/>
      <c r="X30" s="23"/>
      <c r="Y30" s="23"/>
      <c r="Z30" s="23"/>
    </row>
    <row r="31" spans="1:26" x14ac:dyDescent="0.25">
      <c r="A31" s="22"/>
      <c r="B31" s="24" t="s">
        <v>190</v>
      </c>
      <c r="C31" s="26"/>
      <c r="D31" s="26"/>
      <c r="E31" s="26" t="str">
        <f>+E$13</f>
        <v>RT{1}</v>
      </c>
      <c r="F31" s="26" t="str">
        <f>+F$13</f>
        <v>RS{2}</v>
      </c>
      <c r="G31" s="26" t="str">
        <f>+G$13</f>
        <v>GS{3}</v>
      </c>
      <c r="H31" s="26" t="str">
        <f>+H$13</f>
        <v>GST</v>
      </c>
      <c r="I31" s="26" t="str">
        <f>+I$13</f>
        <v>OL/SL</v>
      </c>
      <c r="J31" s="26"/>
      <c r="K31" s="26"/>
      <c r="L31" s="26"/>
      <c r="M31" s="26"/>
      <c r="N31" s="27"/>
      <c r="O31" s="26"/>
      <c r="P31" s="26"/>
      <c r="Q31" s="26" t="str">
        <f>+Q$13</f>
        <v>RT{1}</v>
      </c>
      <c r="R31" s="26" t="str">
        <f>+R$13</f>
        <v>RS{2}</v>
      </c>
      <c r="S31" s="26" t="str">
        <f>+S$13</f>
        <v>GS{3}</v>
      </c>
      <c r="T31" s="26" t="str">
        <f>+T$13</f>
        <v>GST</v>
      </c>
      <c r="U31" s="26" t="str">
        <f>+U$13</f>
        <v>OL/SL</v>
      </c>
      <c r="V31" s="26"/>
      <c r="W31" s="26"/>
      <c r="X31" s="26"/>
      <c r="Y31" s="26"/>
      <c r="Z31" s="26"/>
    </row>
    <row r="32" spans="1:26" x14ac:dyDescent="0.25">
      <c r="A32" s="22"/>
      <c r="O32" s="21"/>
      <c r="P32" s="21"/>
      <c r="Q32" s="21"/>
      <c r="R32" s="21"/>
      <c r="S32" s="21"/>
      <c r="T32" s="21"/>
      <c r="U32" s="21"/>
      <c r="V32" s="21"/>
      <c r="W32" s="21"/>
      <c r="X32" s="21"/>
      <c r="Y32" s="21"/>
      <c r="Z32" s="21"/>
    </row>
    <row r="33" spans="1:26" x14ac:dyDescent="0.25">
      <c r="A33" s="22"/>
      <c r="B33" s="28" t="s">
        <v>1</v>
      </c>
      <c r="C33" s="35"/>
      <c r="D33" s="135"/>
      <c r="E33" s="153">
        <f>'BGS PTY15 Cost Alloc'!E33</f>
        <v>0.35449999999999998</v>
      </c>
      <c r="F33" s="156" t="s">
        <v>40</v>
      </c>
      <c r="G33" s="156" t="s">
        <v>40</v>
      </c>
      <c r="H33" s="153">
        <f>'BGS PTY15 Cost Alloc'!H33</f>
        <v>0.4274</v>
      </c>
      <c r="I33" s="156" t="s">
        <v>40</v>
      </c>
      <c r="J33" s="35"/>
      <c r="K33" s="35"/>
      <c r="L33" s="31"/>
      <c r="M33" s="30"/>
      <c r="N33" s="31"/>
      <c r="O33" s="32"/>
      <c r="P33" s="32"/>
      <c r="Q33" s="32">
        <f t="shared" ref="Q33:Q44" si="1">1-E33</f>
        <v>0.64549999999999996</v>
      </c>
      <c r="R33" s="32"/>
      <c r="S33" s="32"/>
      <c r="T33" s="32">
        <f t="shared" ref="T33:T44" si="2">1-H33</f>
        <v>0.5726</v>
      </c>
      <c r="U33" s="32"/>
      <c r="V33" s="32"/>
      <c r="W33" s="32"/>
      <c r="X33" s="32"/>
      <c r="Y33" s="32"/>
      <c r="Z33" s="32"/>
    </row>
    <row r="34" spans="1:26" x14ac:dyDescent="0.25">
      <c r="A34" s="22"/>
      <c r="B34" s="28" t="s">
        <v>2</v>
      </c>
      <c r="C34" s="35"/>
      <c r="D34" s="135"/>
      <c r="E34" s="153">
        <f>'BGS PTY15 Cost Alloc'!E34</f>
        <v>0.35120000000000001</v>
      </c>
      <c r="F34" s="156" t="s">
        <v>40</v>
      </c>
      <c r="G34" s="156" t="s">
        <v>40</v>
      </c>
      <c r="H34" s="153">
        <f>'BGS PTY15 Cost Alloc'!H34</f>
        <v>0.42909999999999998</v>
      </c>
      <c r="I34" s="156" t="s">
        <v>40</v>
      </c>
      <c r="J34" s="35"/>
      <c r="K34" s="35"/>
      <c r="L34" s="31"/>
      <c r="M34" s="30"/>
      <c r="N34" s="31"/>
      <c r="O34" s="32"/>
      <c r="P34" s="32"/>
      <c r="Q34" s="32">
        <f t="shared" si="1"/>
        <v>0.64880000000000004</v>
      </c>
      <c r="R34" s="32"/>
      <c r="S34" s="32"/>
      <c r="T34" s="32">
        <f t="shared" si="2"/>
        <v>0.57089999999999996</v>
      </c>
      <c r="U34" s="32"/>
      <c r="V34" s="32"/>
      <c r="W34" s="32"/>
      <c r="X34" s="32"/>
      <c r="Y34" s="32"/>
      <c r="Z34" s="32"/>
    </row>
    <row r="35" spans="1:26" x14ac:dyDescent="0.25">
      <c r="A35" s="22"/>
      <c r="B35" s="28" t="s">
        <v>3</v>
      </c>
      <c r="C35" s="35"/>
      <c r="D35" s="135"/>
      <c r="E35" s="153">
        <f>'BGS PTY15 Cost Alloc'!E35</f>
        <v>0.34570000000000001</v>
      </c>
      <c r="F35" s="156" t="s">
        <v>40</v>
      </c>
      <c r="G35" s="156" t="s">
        <v>40</v>
      </c>
      <c r="H35" s="153">
        <f>'BGS PTY15 Cost Alloc'!H35</f>
        <v>0.4299</v>
      </c>
      <c r="I35" s="156" t="s">
        <v>40</v>
      </c>
      <c r="J35" s="35"/>
      <c r="K35" s="35"/>
      <c r="L35" s="31"/>
      <c r="M35" s="30"/>
      <c r="N35" s="31"/>
      <c r="O35" s="32"/>
      <c r="P35" s="32"/>
      <c r="Q35" s="32">
        <f t="shared" si="1"/>
        <v>0.65429999999999999</v>
      </c>
      <c r="R35" s="32"/>
      <c r="S35" s="32"/>
      <c r="T35" s="32">
        <f t="shared" si="2"/>
        <v>0.57010000000000005</v>
      </c>
      <c r="U35" s="32"/>
      <c r="V35" s="32"/>
      <c r="W35" s="32"/>
      <c r="X35" s="32"/>
      <c r="Y35" s="32"/>
      <c r="Z35" s="32"/>
    </row>
    <row r="36" spans="1:26" x14ac:dyDescent="0.25">
      <c r="A36" s="22"/>
      <c r="B36" s="28" t="s">
        <v>4</v>
      </c>
      <c r="C36" s="35"/>
      <c r="D36" s="135"/>
      <c r="E36" s="153">
        <f>'BGS PTY15 Cost Alloc'!E36</f>
        <v>0.34710000000000002</v>
      </c>
      <c r="F36" s="156" t="s">
        <v>40</v>
      </c>
      <c r="G36" s="156" t="s">
        <v>40</v>
      </c>
      <c r="H36" s="153">
        <f>'BGS PTY15 Cost Alloc'!H36</f>
        <v>0.44030000000000002</v>
      </c>
      <c r="I36" s="156" t="s">
        <v>40</v>
      </c>
      <c r="J36" s="35"/>
      <c r="K36" s="35"/>
      <c r="L36" s="31"/>
      <c r="M36" s="30"/>
      <c r="N36" s="31"/>
      <c r="O36" s="32"/>
      <c r="P36" s="32"/>
      <c r="Q36" s="32">
        <f t="shared" si="1"/>
        <v>0.65290000000000004</v>
      </c>
      <c r="R36" s="32"/>
      <c r="S36" s="32"/>
      <c r="T36" s="32">
        <f t="shared" si="2"/>
        <v>0.55969999999999998</v>
      </c>
      <c r="U36" s="32"/>
      <c r="V36" s="32"/>
      <c r="W36" s="32"/>
      <c r="X36" s="32"/>
      <c r="Y36" s="32"/>
      <c r="Z36" s="32"/>
    </row>
    <row r="37" spans="1:26" x14ac:dyDescent="0.25">
      <c r="A37" s="22"/>
      <c r="B37" s="28" t="s">
        <v>5</v>
      </c>
      <c r="C37" s="35"/>
      <c r="D37" s="135"/>
      <c r="E37" s="153">
        <f>'BGS PTY15 Cost Alloc'!E37</f>
        <v>0.36709999999999998</v>
      </c>
      <c r="F37" s="156" t="s">
        <v>40</v>
      </c>
      <c r="G37" s="156" t="s">
        <v>40</v>
      </c>
      <c r="H37" s="153">
        <f>'BGS PTY15 Cost Alloc'!H37</f>
        <v>0.45200000000000001</v>
      </c>
      <c r="I37" s="156" t="s">
        <v>40</v>
      </c>
      <c r="J37" s="35"/>
      <c r="K37" s="35"/>
      <c r="L37" s="31"/>
      <c r="M37" s="30"/>
      <c r="N37" s="31"/>
      <c r="O37" s="32"/>
      <c r="P37" s="32"/>
      <c r="Q37" s="32">
        <f t="shared" si="1"/>
        <v>0.63290000000000002</v>
      </c>
      <c r="R37" s="32"/>
      <c r="S37" s="32"/>
      <c r="T37" s="32">
        <f t="shared" si="2"/>
        <v>0.54800000000000004</v>
      </c>
      <c r="U37" s="32"/>
      <c r="V37" s="32"/>
      <c r="W37" s="32"/>
      <c r="X37" s="32"/>
      <c r="Y37" s="32"/>
      <c r="Z37" s="32"/>
    </row>
    <row r="38" spans="1:26" x14ac:dyDescent="0.25">
      <c r="A38" s="22"/>
      <c r="B38" s="28" t="s">
        <v>6</v>
      </c>
      <c r="C38" s="35"/>
      <c r="D38" s="135"/>
      <c r="E38" s="153">
        <f>'BGS PTY15 Cost Alloc'!E38</f>
        <v>0.3952</v>
      </c>
      <c r="F38" s="156" t="s">
        <v>40</v>
      </c>
      <c r="G38" s="156" t="s">
        <v>40</v>
      </c>
      <c r="H38" s="153">
        <f>'BGS PTY15 Cost Alloc'!H38</f>
        <v>0.46529999999999999</v>
      </c>
      <c r="I38" s="156" t="s">
        <v>40</v>
      </c>
      <c r="J38" s="35"/>
      <c r="K38" s="35"/>
      <c r="L38" s="31"/>
      <c r="M38" s="30"/>
      <c r="N38" s="31"/>
      <c r="O38" s="32"/>
      <c r="P38" s="32"/>
      <c r="Q38" s="32">
        <f t="shared" si="1"/>
        <v>0.6048</v>
      </c>
      <c r="R38" s="32"/>
      <c r="S38" s="32"/>
      <c r="T38" s="32">
        <f t="shared" si="2"/>
        <v>0.53469999999999995</v>
      </c>
      <c r="U38" s="32"/>
      <c r="V38" s="32"/>
      <c r="W38" s="32"/>
      <c r="X38" s="32"/>
      <c r="Y38" s="32"/>
      <c r="Z38" s="32"/>
    </row>
    <row r="39" spans="1:26" x14ac:dyDescent="0.25">
      <c r="A39" s="22"/>
      <c r="B39" s="28" t="s">
        <v>7</v>
      </c>
      <c r="C39" s="35"/>
      <c r="D39" s="135"/>
      <c r="E39" s="153">
        <f>'BGS PTY15 Cost Alloc'!E39</f>
        <v>0.41139999999999999</v>
      </c>
      <c r="F39" s="156" t="s">
        <v>40</v>
      </c>
      <c r="G39" s="156" t="s">
        <v>40</v>
      </c>
      <c r="H39" s="153">
        <f>'BGS PTY15 Cost Alloc'!H39</f>
        <v>0.46679999999999999</v>
      </c>
      <c r="I39" s="156" t="s">
        <v>40</v>
      </c>
      <c r="J39" s="35"/>
      <c r="K39" s="35"/>
      <c r="L39" s="31"/>
      <c r="M39" s="30"/>
      <c r="N39" s="31"/>
      <c r="O39" s="32"/>
      <c r="P39" s="32"/>
      <c r="Q39" s="32">
        <f t="shared" si="1"/>
        <v>0.58860000000000001</v>
      </c>
      <c r="R39" s="32"/>
      <c r="S39" s="32"/>
      <c r="T39" s="32">
        <f t="shared" si="2"/>
        <v>0.53320000000000001</v>
      </c>
      <c r="U39" s="32"/>
      <c r="V39" s="32"/>
      <c r="W39" s="32"/>
      <c r="X39" s="32"/>
      <c r="Y39" s="32"/>
      <c r="Z39" s="32"/>
    </row>
    <row r="40" spans="1:26" x14ac:dyDescent="0.25">
      <c r="A40" s="22"/>
      <c r="B40" s="28" t="s">
        <v>8</v>
      </c>
      <c r="C40" s="35"/>
      <c r="D40" s="135"/>
      <c r="E40" s="153">
        <f>'BGS PTY15 Cost Alloc'!E40</f>
        <v>0.41289999999999999</v>
      </c>
      <c r="F40" s="156" t="s">
        <v>40</v>
      </c>
      <c r="G40" s="156" t="s">
        <v>40</v>
      </c>
      <c r="H40" s="153">
        <f>'BGS PTY15 Cost Alloc'!H40</f>
        <v>0.46300000000000002</v>
      </c>
      <c r="I40" s="156" t="s">
        <v>40</v>
      </c>
      <c r="J40" s="35"/>
      <c r="K40" s="35"/>
      <c r="L40" s="31"/>
      <c r="M40" s="30"/>
      <c r="N40" s="31"/>
      <c r="O40" s="32"/>
      <c r="P40" s="32"/>
      <c r="Q40" s="32">
        <f t="shared" si="1"/>
        <v>0.58709999999999996</v>
      </c>
      <c r="R40" s="32"/>
      <c r="S40" s="32"/>
      <c r="T40" s="32">
        <f t="shared" si="2"/>
        <v>0.53699999999999992</v>
      </c>
      <c r="U40" s="32"/>
      <c r="V40" s="32"/>
      <c r="W40" s="32"/>
      <c r="X40" s="32"/>
      <c r="Y40" s="32"/>
      <c r="Z40" s="32"/>
    </row>
    <row r="41" spans="1:26" x14ac:dyDescent="0.25">
      <c r="A41" s="22"/>
      <c r="B41" s="28" t="s">
        <v>9</v>
      </c>
      <c r="C41" s="35"/>
      <c r="D41" s="135"/>
      <c r="E41" s="153">
        <f>'BGS PTY15 Cost Alloc'!E41</f>
        <v>0.39789999999999998</v>
      </c>
      <c r="F41" s="156" t="s">
        <v>40</v>
      </c>
      <c r="G41" s="156" t="s">
        <v>40</v>
      </c>
      <c r="H41" s="153">
        <f>'BGS PTY15 Cost Alloc'!H41</f>
        <v>0.46729999999999999</v>
      </c>
      <c r="I41" s="156" t="s">
        <v>40</v>
      </c>
      <c r="J41" s="35"/>
      <c r="K41" s="35"/>
      <c r="L41" s="31"/>
      <c r="M41" s="30"/>
      <c r="N41" s="31"/>
      <c r="O41" s="32"/>
      <c r="P41" s="32"/>
      <c r="Q41" s="32">
        <f t="shared" si="1"/>
        <v>0.60210000000000008</v>
      </c>
      <c r="R41" s="32"/>
      <c r="S41" s="32"/>
      <c r="T41" s="32">
        <f t="shared" si="2"/>
        <v>0.53269999999999995</v>
      </c>
      <c r="U41" s="32"/>
      <c r="V41" s="32"/>
      <c r="W41" s="32"/>
      <c r="X41" s="32"/>
      <c r="Y41" s="32"/>
      <c r="Z41" s="32"/>
    </row>
    <row r="42" spans="1:26" x14ac:dyDescent="0.25">
      <c r="A42" s="22"/>
      <c r="B42" s="28" t="s">
        <v>10</v>
      </c>
      <c r="C42" s="35"/>
      <c r="D42" s="135"/>
      <c r="E42" s="153">
        <f>'BGS PTY15 Cost Alloc'!E42</f>
        <v>0.3674</v>
      </c>
      <c r="F42" s="156" t="s">
        <v>40</v>
      </c>
      <c r="G42" s="156" t="s">
        <v>40</v>
      </c>
      <c r="H42" s="153">
        <f>'BGS PTY15 Cost Alloc'!H42</f>
        <v>0.46039999999999998</v>
      </c>
      <c r="I42" s="156" t="s">
        <v>40</v>
      </c>
      <c r="J42" s="35"/>
      <c r="K42" s="35"/>
      <c r="L42" s="31"/>
      <c r="M42" s="30"/>
      <c r="N42" s="31"/>
      <c r="O42" s="32"/>
      <c r="P42" s="32"/>
      <c r="Q42" s="32">
        <f t="shared" si="1"/>
        <v>0.63260000000000005</v>
      </c>
      <c r="R42" s="32"/>
      <c r="S42" s="32"/>
      <c r="T42" s="32">
        <f t="shared" si="2"/>
        <v>0.53960000000000008</v>
      </c>
      <c r="U42" s="32"/>
      <c r="V42" s="32"/>
      <c r="W42" s="32"/>
      <c r="X42" s="32"/>
      <c r="Y42" s="32"/>
      <c r="Z42" s="32"/>
    </row>
    <row r="43" spans="1:26" x14ac:dyDescent="0.25">
      <c r="A43" s="22"/>
      <c r="B43" s="28" t="s">
        <v>11</v>
      </c>
      <c r="C43" s="35"/>
      <c r="D43" s="135"/>
      <c r="E43" s="153">
        <f>'BGS PTY15 Cost Alloc'!E43</f>
        <v>0.35170000000000001</v>
      </c>
      <c r="F43" s="156" t="s">
        <v>40</v>
      </c>
      <c r="G43" s="156" t="s">
        <v>40</v>
      </c>
      <c r="H43" s="153">
        <f>'BGS PTY15 Cost Alloc'!H43</f>
        <v>0.44900000000000001</v>
      </c>
      <c r="I43" s="156" t="s">
        <v>40</v>
      </c>
      <c r="J43" s="35"/>
      <c r="K43" s="35"/>
      <c r="L43" s="31"/>
      <c r="M43" s="30"/>
      <c r="N43" s="31"/>
      <c r="O43" s="32"/>
      <c r="P43" s="32"/>
      <c r="Q43" s="32">
        <f t="shared" si="1"/>
        <v>0.64829999999999999</v>
      </c>
      <c r="R43" s="32"/>
      <c r="S43" s="32"/>
      <c r="T43" s="32">
        <f t="shared" si="2"/>
        <v>0.55099999999999993</v>
      </c>
      <c r="U43" s="32"/>
      <c r="V43" s="32"/>
      <c r="W43" s="32"/>
      <c r="X43" s="32"/>
      <c r="Y43" s="32"/>
      <c r="Z43" s="32"/>
    </row>
    <row r="44" spans="1:26" x14ac:dyDescent="0.25">
      <c r="A44" s="22"/>
      <c r="B44" s="28" t="s">
        <v>12</v>
      </c>
      <c r="C44" s="35"/>
      <c r="D44" s="135"/>
      <c r="E44" s="153">
        <f>'BGS PTY15 Cost Alloc'!E44</f>
        <v>0.35239999999999999</v>
      </c>
      <c r="F44" s="156" t="s">
        <v>40</v>
      </c>
      <c r="G44" s="156" t="s">
        <v>40</v>
      </c>
      <c r="H44" s="153">
        <f>'BGS PTY15 Cost Alloc'!H44</f>
        <v>0.42949999999999999</v>
      </c>
      <c r="I44" s="156" t="s">
        <v>40</v>
      </c>
      <c r="J44" s="35"/>
      <c r="K44" s="35"/>
      <c r="L44" s="31"/>
      <c r="M44" s="30"/>
      <c r="N44" s="31"/>
      <c r="O44" s="32"/>
      <c r="P44" s="32"/>
      <c r="Q44" s="32">
        <f t="shared" si="1"/>
        <v>0.64759999999999995</v>
      </c>
      <c r="R44" s="32"/>
      <c r="S44" s="32"/>
      <c r="T44" s="32">
        <f t="shared" si="2"/>
        <v>0.57050000000000001</v>
      </c>
      <c r="U44" s="32"/>
      <c r="V44" s="32"/>
      <c r="W44" s="32"/>
      <c r="X44" s="32"/>
      <c r="Y44" s="32"/>
      <c r="Z44" s="32"/>
    </row>
    <row r="45" spans="1:26" x14ac:dyDescent="0.25">
      <c r="A45" s="22"/>
      <c r="B45" s="28"/>
      <c r="C45" s="35"/>
      <c r="D45" s="35"/>
      <c r="E45" s="35"/>
      <c r="F45" s="35"/>
      <c r="G45" s="35"/>
      <c r="H45" s="35"/>
      <c r="I45" s="35"/>
      <c r="J45" s="35"/>
      <c r="K45" s="35"/>
      <c r="L45" s="31"/>
      <c r="M45" s="30"/>
      <c r="N45" s="31"/>
      <c r="O45" s="32"/>
      <c r="P45" s="32"/>
      <c r="Q45" s="32"/>
      <c r="R45" s="32"/>
      <c r="S45" s="32"/>
      <c r="T45" s="32"/>
      <c r="U45" s="32"/>
      <c r="V45" s="32"/>
      <c r="W45" s="32"/>
      <c r="X45" s="32"/>
      <c r="Y45" s="32"/>
      <c r="Z45" s="32"/>
    </row>
    <row r="46" spans="1:26" x14ac:dyDescent="0.25">
      <c r="A46" s="22"/>
      <c r="B46" s="36" t="s">
        <v>202</v>
      </c>
      <c r="C46" s="35"/>
      <c r="D46" s="35"/>
      <c r="E46" s="35"/>
      <c r="F46" s="35"/>
      <c r="G46" s="35"/>
      <c r="H46" s="35"/>
      <c r="I46" s="35"/>
      <c r="J46" s="35"/>
      <c r="K46" s="35"/>
      <c r="L46" s="31"/>
      <c r="M46" s="30"/>
      <c r="N46" s="31"/>
      <c r="O46" s="32"/>
      <c r="P46" s="32"/>
      <c r="Q46" s="32"/>
      <c r="R46" s="32"/>
      <c r="S46" s="32"/>
      <c r="T46" s="32"/>
      <c r="U46" s="32"/>
      <c r="V46" s="32"/>
      <c r="W46" s="32"/>
      <c r="X46" s="32"/>
      <c r="Y46" s="32"/>
      <c r="Z46" s="32"/>
    </row>
    <row r="47" spans="1:26" x14ac:dyDescent="0.25">
      <c r="A47" s="22"/>
      <c r="B47" s="36" t="s">
        <v>213</v>
      </c>
      <c r="C47" s="31"/>
      <c r="D47" s="31"/>
      <c r="E47" s="31"/>
      <c r="F47" s="31"/>
      <c r="G47" s="31"/>
      <c r="H47" s="31"/>
      <c r="I47" s="33"/>
      <c r="J47" s="33"/>
      <c r="K47" s="31"/>
      <c r="L47" s="31"/>
      <c r="M47" s="31"/>
      <c r="N47" s="31"/>
      <c r="O47" s="32"/>
      <c r="P47" s="32"/>
      <c r="Q47" s="32"/>
      <c r="R47" s="32"/>
      <c r="S47" s="32"/>
      <c r="T47" s="32"/>
      <c r="U47" s="32"/>
      <c r="V47" s="32"/>
      <c r="W47" s="32"/>
      <c r="X47" s="32"/>
      <c r="Y47" s="32"/>
      <c r="Z47" s="32"/>
    </row>
    <row r="48" spans="1:26" x14ac:dyDescent="0.25">
      <c r="A48" s="22"/>
      <c r="B48" s="36" t="s">
        <v>66</v>
      </c>
      <c r="C48" s="31"/>
      <c r="D48" s="31"/>
      <c r="E48" s="31"/>
      <c r="F48" s="31"/>
      <c r="G48" s="31"/>
      <c r="H48" s="31"/>
      <c r="I48" s="33"/>
      <c r="J48" s="33"/>
      <c r="K48" s="31"/>
      <c r="L48" s="31"/>
      <c r="M48" s="31"/>
      <c r="N48" s="31"/>
      <c r="O48" s="32"/>
      <c r="P48" s="32"/>
      <c r="Q48" s="32"/>
      <c r="R48" s="32"/>
      <c r="S48" s="32"/>
      <c r="T48" s="32"/>
      <c r="U48" s="32"/>
      <c r="V48" s="32"/>
      <c r="W48" s="32"/>
      <c r="X48" s="32"/>
      <c r="Y48" s="32"/>
      <c r="Z48" s="32"/>
    </row>
    <row r="49" spans="1:33" x14ac:dyDescent="0.25">
      <c r="A49" s="22"/>
      <c r="B49" s="36" t="s">
        <v>67</v>
      </c>
      <c r="C49" s="31"/>
      <c r="D49" s="31"/>
      <c r="E49" s="31"/>
      <c r="F49" s="31"/>
      <c r="G49" s="31"/>
      <c r="H49" s="31"/>
      <c r="I49" s="33"/>
      <c r="J49" s="33"/>
      <c r="K49" s="31"/>
      <c r="L49" s="31"/>
      <c r="M49" s="31"/>
      <c r="N49" s="31"/>
      <c r="O49" s="32"/>
      <c r="P49" s="32"/>
      <c r="Q49" s="32"/>
      <c r="R49" s="32"/>
      <c r="S49" s="32"/>
      <c r="T49" s="32"/>
      <c r="U49" s="32"/>
      <c r="V49" s="32"/>
      <c r="W49" s="32"/>
      <c r="X49" s="32"/>
      <c r="Y49" s="32"/>
      <c r="Z49" s="32"/>
    </row>
    <row r="50" spans="1:33" x14ac:dyDescent="0.25">
      <c r="A50" s="22"/>
      <c r="B50" s="36" t="s">
        <v>68</v>
      </c>
      <c r="C50" s="31"/>
      <c r="D50" s="31"/>
      <c r="E50" s="31"/>
      <c r="F50" s="31"/>
      <c r="G50" s="31"/>
      <c r="H50" s="31"/>
      <c r="I50" s="33"/>
      <c r="J50" s="33"/>
      <c r="K50" s="31"/>
      <c r="L50" s="31"/>
      <c r="M50" s="31"/>
      <c r="N50" s="31"/>
      <c r="O50" s="32"/>
      <c r="P50" s="32"/>
      <c r="Q50" s="32"/>
      <c r="R50" s="32"/>
      <c r="S50" s="32"/>
      <c r="T50" s="32"/>
      <c r="U50" s="32"/>
      <c r="V50" s="32"/>
      <c r="W50" s="32"/>
      <c r="X50" s="32"/>
      <c r="Y50" s="32"/>
      <c r="Z50" s="32"/>
    </row>
    <row r="51" spans="1:33" x14ac:dyDescent="0.25">
      <c r="A51" s="22"/>
      <c r="B51" s="28"/>
      <c r="C51" s="31"/>
      <c r="D51" s="31"/>
      <c r="E51" s="31"/>
      <c r="F51" s="31"/>
      <c r="G51" s="31"/>
      <c r="H51" s="31"/>
      <c r="I51" s="33"/>
      <c r="J51" s="33"/>
      <c r="K51" s="31"/>
      <c r="L51" s="31"/>
      <c r="M51" s="31"/>
      <c r="N51" s="31"/>
      <c r="O51" s="32"/>
      <c r="P51" s="32"/>
      <c r="Q51" s="32"/>
      <c r="R51" s="32"/>
      <c r="S51" s="32"/>
      <c r="T51" s="32"/>
      <c r="U51" s="32"/>
      <c r="V51" s="32"/>
      <c r="W51" s="32"/>
      <c r="X51" s="32"/>
      <c r="Y51" s="32"/>
      <c r="Z51" s="32"/>
    </row>
    <row r="52" spans="1:33" ht="15.6" x14ac:dyDescent="0.3">
      <c r="A52" s="22"/>
      <c r="B52" s="519" t="str">
        <f>$B$1</f>
        <v xml:space="preserve">Jersey Central Power &amp; Light </v>
      </c>
      <c r="C52" s="519"/>
      <c r="D52" s="519"/>
      <c r="E52" s="519"/>
      <c r="F52" s="519"/>
      <c r="G52" s="519"/>
      <c r="H52" s="519"/>
      <c r="I52" s="519"/>
      <c r="J52" s="519"/>
      <c r="K52" s="519"/>
      <c r="L52" s="519"/>
      <c r="M52" s="31"/>
      <c r="N52" s="31"/>
      <c r="O52" s="32"/>
      <c r="P52" s="32"/>
      <c r="Q52" s="32"/>
      <c r="R52" s="32"/>
      <c r="S52" s="32"/>
      <c r="T52" s="32"/>
      <c r="U52" s="32"/>
      <c r="V52" s="32"/>
      <c r="W52" s="32"/>
      <c r="X52" s="32"/>
      <c r="Y52" s="32"/>
      <c r="Z52" s="32"/>
    </row>
    <row r="53" spans="1:33" ht="15.6" x14ac:dyDescent="0.3">
      <c r="A53" s="22"/>
      <c r="B53" s="519" t="str">
        <f>$B$2</f>
        <v>Attachment 2</v>
      </c>
      <c r="C53" s="519"/>
      <c r="D53" s="519"/>
      <c r="E53" s="519"/>
      <c r="F53" s="519"/>
      <c r="G53" s="519"/>
      <c r="H53" s="519"/>
      <c r="I53" s="519"/>
      <c r="J53" s="519"/>
      <c r="K53" s="519"/>
      <c r="L53" s="519"/>
      <c r="M53" s="31"/>
      <c r="N53" s="31"/>
      <c r="O53" s="32"/>
      <c r="P53" s="32"/>
      <c r="Q53" s="32"/>
      <c r="R53" s="32"/>
      <c r="S53" s="32"/>
      <c r="T53" s="32"/>
      <c r="U53" s="32"/>
      <c r="V53" s="32"/>
      <c r="W53" s="32"/>
      <c r="X53" s="32"/>
      <c r="Y53" s="32"/>
      <c r="Z53" s="32"/>
    </row>
    <row r="54" spans="1:33" x14ac:dyDescent="0.25">
      <c r="A54" s="22"/>
      <c r="B54" s="28"/>
      <c r="C54" s="31"/>
      <c r="D54" s="31"/>
      <c r="E54" s="31"/>
      <c r="F54" s="31"/>
      <c r="G54" s="31"/>
      <c r="H54" s="31"/>
      <c r="I54" s="33"/>
      <c r="J54" s="33"/>
      <c r="K54" s="31"/>
      <c r="L54" s="31"/>
      <c r="M54" s="31"/>
      <c r="N54" s="31"/>
      <c r="O54" s="32"/>
      <c r="P54" s="32"/>
      <c r="Q54" s="32"/>
      <c r="R54" s="32"/>
      <c r="S54" s="32"/>
      <c r="T54" s="32"/>
      <c r="U54" s="32"/>
      <c r="V54" s="32"/>
      <c r="W54" s="32"/>
      <c r="X54" s="32"/>
      <c r="Y54" s="32"/>
      <c r="Z54" s="32"/>
    </row>
    <row r="55" spans="1:33" x14ac:dyDescent="0.25">
      <c r="A55" s="22"/>
      <c r="B55" s="28"/>
      <c r="C55" s="31"/>
      <c r="D55" s="31"/>
      <c r="E55" s="31"/>
      <c r="F55" s="31"/>
      <c r="G55" s="31"/>
      <c r="H55" s="31"/>
      <c r="I55" s="33"/>
      <c r="J55" s="33"/>
      <c r="K55" s="31"/>
      <c r="L55" s="31"/>
      <c r="M55" s="31"/>
      <c r="N55" s="31"/>
      <c r="O55" s="32"/>
      <c r="P55" s="32"/>
      <c r="Q55" s="32"/>
      <c r="R55" s="32"/>
      <c r="S55" s="32"/>
      <c r="T55" s="32"/>
      <c r="U55" s="32"/>
      <c r="V55" s="32"/>
      <c r="W55" s="170" t="str">
        <f>'BGS PTY15 Cost Alloc'!Y55</f>
        <v>Forecast 2017 Delivery MWh</v>
      </c>
      <c r="X55" s="171"/>
      <c r="Y55" s="171"/>
      <c r="Z55" s="31"/>
    </row>
    <row r="56" spans="1:33" x14ac:dyDescent="0.25">
      <c r="A56" s="18" t="s">
        <v>36</v>
      </c>
      <c r="B56" s="37" t="s">
        <v>48</v>
      </c>
      <c r="E56" s="31"/>
      <c r="F56" s="31"/>
      <c r="G56" s="31"/>
      <c r="H56" s="31"/>
      <c r="I56" s="33"/>
      <c r="J56" s="33"/>
      <c r="O56" s="16"/>
      <c r="W56" s="16"/>
      <c r="X56" s="16"/>
      <c r="Z56" s="168" t="s">
        <v>251</v>
      </c>
    </row>
    <row r="57" spans="1:33" x14ac:dyDescent="0.25">
      <c r="A57" s="22"/>
      <c r="B57" s="39" t="str">
        <f>'BGS PTY15 Cost Alloc'!$B$57</f>
        <v>calendar month sales forecasted for 2017</v>
      </c>
      <c r="N57" s="40"/>
      <c r="O57" s="41"/>
      <c r="P57" s="41"/>
      <c r="Q57" s="41" t="s">
        <v>129</v>
      </c>
      <c r="R57" s="41"/>
      <c r="S57" s="41"/>
      <c r="T57" s="41"/>
      <c r="U57" s="42"/>
      <c r="W57" s="26" t="s">
        <v>13</v>
      </c>
    </row>
    <row r="58" spans="1:33" x14ac:dyDescent="0.25">
      <c r="A58" s="22"/>
      <c r="B58" s="17" t="s">
        <v>38</v>
      </c>
      <c r="C58" s="26"/>
      <c r="D58" s="26"/>
      <c r="E58" s="26" t="str">
        <f>+E$13</f>
        <v>RT{1}</v>
      </c>
      <c r="F58" s="26" t="str">
        <f>+F$13</f>
        <v>RS{2}</v>
      </c>
      <c r="G58" s="26" t="str">
        <f>+G$13</f>
        <v>GS{3}</v>
      </c>
      <c r="H58" s="26" t="s">
        <v>203</v>
      </c>
      <c r="I58" s="26" t="str">
        <f>+I$13</f>
        <v>OL/SL</v>
      </c>
      <c r="J58" s="26" t="s">
        <v>13</v>
      </c>
      <c r="K58" s="26"/>
      <c r="L58" s="26"/>
      <c r="M58" s="26" t="s">
        <v>179</v>
      </c>
      <c r="N58" s="43"/>
      <c r="O58" s="44"/>
      <c r="P58" s="44"/>
      <c r="Q58" s="26" t="str">
        <f>+Q$13</f>
        <v>RT{1}</v>
      </c>
      <c r="R58" s="26" t="str">
        <f>+R$13</f>
        <v>RS{2}</v>
      </c>
      <c r="S58" s="26" t="str">
        <f>+S$13</f>
        <v>GS{3}</v>
      </c>
      <c r="T58" s="26" t="str">
        <f>+T$13</f>
        <v>GST</v>
      </c>
      <c r="U58" s="45" t="str">
        <f>+U$13</f>
        <v>OL/SL</v>
      </c>
      <c r="V58" s="26"/>
      <c r="W58" s="26" t="s">
        <v>59</v>
      </c>
      <c r="X58" s="26" t="s">
        <v>64</v>
      </c>
      <c r="Y58" s="26" t="s">
        <v>63</v>
      </c>
      <c r="Z58" s="26" t="s">
        <v>60</v>
      </c>
      <c r="AA58" s="26" t="s">
        <v>52</v>
      </c>
      <c r="AB58" s="26" t="s">
        <v>0</v>
      </c>
      <c r="AC58" s="26" t="s">
        <v>53</v>
      </c>
      <c r="AD58" s="26" t="s">
        <v>53</v>
      </c>
      <c r="AG58" s="26" t="s">
        <v>54</v>
      </c>
    </row>
    <row r="59" spans="1:33" x14ac:dyDescent="0.25">
      <c r="A59" s="22"/>
      <c r="M59" s="16" t="s">
        <v>180</v>
      </c>
      <c r="N59" s="46"/>
      <c r="O59" s="47"/>
      <c r="P59" s="47"/>
      <c r="Q59" s="47"/>
      <c r="R59" s="47"/>
      <c r="S59" s="47"/>
      <c r="T59" s="47"/>
      <c r="U59" s="48"/>
    </row>
    <row r="60" spans="1:33" x14ac:dyDescent="0.25">
      <c r="A60" s="22"/>
      <c r="B60" s="28" t="s">
        <v>1</v>
      </c>
      <c r="C60" s="49"/>
      <c r="D60" s="49"/>
      <c r="E60" s="50">
        <f>'BGS PTY15 Cost Alloc'!E60</f>
        <v>27023</v>
      </c>
      <c r="F60" s="50">
        <f>'BGS PTY15 Cost Alloc'!F60</f>
        <v>763732</v>
      </c>
      <c r="G60" s="50">
        <f>'BGS PTY15 Cost Alloc'!G60</f>
        <v>552503</v>
      </c>
      <c r="H60" s="50">
        <f>'BGS PTY15 Cost Alloc'!H60</f>
        <v>13133</v>
      </c>
      <c r="I60" s="50">
        <f>'BGS PTY15 Cost Alloc'!I60</f>
        <v>9553</v>
      </c>
      <c r="J60" s="50">
        <f t="shared" ref="J60:J72" si="3">SUM(E60:I60)</f>
        <v>1365944</v>
      </c>
      <c r="K60" s="49"/>
      <c r="L60" s="49"/>
      <c r="M60" s="50">
        <f t="shared" ref="M60:M71" si="4">E60-ROUND(SUM($W60/1000),0)</f>
        <v>26511</v>
      </c>
      <c r="N60" s="51" t="s">
        <v>28</v>
      </c>
      <c r="O60" s="52"/>
      <c r="P60" s="53"/>
      <c r="Q60" s="53">
        <f>SUM(E60:E64,E69:E71)</f>
        <v>164662</v>
      </c>
      <c r="R60" s="53">
        <f>SUM(F60:F64,F69:F71)</f>
        <v>5022127</v>
      </c>
      <c r="S60" s="53">
        <f>SUM(G60:G64,G69:G71)</f>
        <v>3781623</v>
      </c>
      <c r="T60" s="53">
        <f>SUM(H60:H64,H69:H71)</f>
        <v>74592</v>
      </c>
      <c r="U60" s="54">
        <f>SUM(I60:I64,I69:I71)</f>
        <v>76214</v>
      </c>
      <c r="V60" s="169">
        <f>'BGS PTY15 Cost Alloc'!V60</f>
        <v>42736</v>
      </c>
      <c r="W60" s="50">
        <f>'BGS PTY15 Cost Alloc'!W60</f>
        <v>512328.67665650003</v>
      </c>
      <c r="X60" s="50">
        <f>'BGS PTY15 Cost Alloc'!X60</f>
        <v>5972.2406739000007</v>
      </c>
      <c r="Y60" s="55">
        <f t="shared" ref="Y60:Y71" si="5">W60-X60</f>
        <v>506356.43598260003</v>
      </c>
      <c r="Z60" s="50">
        <f>'BGS PTY15 Cost Alloc'!Z60</f>
        <v>1884950.7580757001</v>
      </c>
      <c r="AA60" s="50">
        <f>'BGS PTY15 Cost Alloc'!AA60</f>
        <v>26511.0783441395</v>
      </c>
      <c r="AB60" s="50">
        <f>'BGS PTY15 Cost Alloc'!AB60</f>
        <v>761846.93089778395</v>
      </c>
      <c r="AC60" s="50">
        <f>'BGS PTY15 Cost Alloc'!AC60</f>
        <v>552509.16457879392</v>
      </c>
      <c r="AD60" s="50">
        <f>'BGS PTY15 Cost Alloc'!AD60</f>
        <v>606325.98157879396</v>
      </c>
      <c r="AG60" s="50">
        <f>'BGS PTY15 Cost Alloc'!AG60</f>
        <v>13133.320437320604</v>
      </c>
    </row>
    <row r="61" spans="1:33" x14ac:dyDescent="0.25">
      <c r="A61" s="22"/>
      <c r="B61" s="28" t="s">
        <v>2</v>
      </c>
      <c r="C61" s="49"/>
      <c r="D61" s="49"/>
      <c r="E61" s="50">
        <f>'BGS PTY15 Cost Alloc'!E61</f>
        <v>27487</v>
      </c>
      <c r="F61" s="50">
        <f>'BGS PTY15 Cost Alloc'!F61</f>
        <v>721091</v>
      </c>
      <c r="G61" s="50">
        <f>'BGS PTY15 Cost Alloc'!G61</f>
        <v>480666</v>
      </c>
      <c r="H61" s="50">
        <f>'BGS PTY15 Cost Alloc'!H61</f>
        <v>9216</v>
      </c>
      <c r="I61" s="50">
        <f>'BGS PTY15 Cost Alloc'!I61</f>
        <v>9547</v>
      </c>
      <c r="J61" s="50">
        <f t="shared" si="3"/>
        <v>1248007</v>
      </c>
      <c r="K61" s="49"/>
      <c r="L61" s="49"/>
      <c r="M61" s="50">
        <f t="shared" si="4"/>
        <v>26982</v>
      </c>
      <c r="N61" s="51"/>
      <c r="O61" s="52"/>
      <c r="P61" s="114" t="s">
        <v>193</v>
      </c>
      <c r="Q61" s="53">
        <f>SUMPRODUCT(E33:E37,M60:M64)+SUMPRODUCT(E42:E44,M69:M71)</f>
        <v>56845.5003</v>
      </c>
      <c r="R61" s="47"/>
      <c r="S61" s="131" t="s">
        <v>177</v>
      </c>
      <c r="T61" s="53">
        <f>SUMPRODUCT(H33:H37,H60:H64)+SUMPRODUCT(H42:H44,H69:H71)</f>
        <v>32710.3141</v>
      </c>
      <c r="U61" s="48">
        <f>T61/T60</f>
        <v>0.43852308692621195</v>
      </c>
      <c r="V61" s="169">
        <f>'BGS PTY15 Cost Alloc'!V61</f>
        <v>42767</v>
      </c>
      <c r="W61" s="50">
        <f>'BGS PTY15 Cost Alloc'!W61</f>
        <v>505137.36006469995</v>
      </c>
      <c r="X61" s="50">
        <f>'BGS PTY15 Cost Alloc'!X61</f>
        <v>5958.7377296000004</v>
      </c>
      <c r="Y61" s="55">
        <f t="shared" si="5"/>
        <v>499178.62233509996</v>
      </c>
      <c r="Z61" s="50">
        <f>'BGS PTY15 Cost Alloc'!Z61</f>
        <v>1854199.3097881</v>
      </c>
      <c r="AA61" s="50">
        <f>'BGS PTY15 Cost Alloc'!AA61</f>
        <v>26981.641247462197</v>
      </c>
      <c r="AB61" s="50">
        <f>'BGS PTY15 Cost Alloc'!AB61</f>
        <v>719236.92744274996</v>
      </c>
      <c r="AC61" s="50">
        <f>'BGS PTY15 Cost Alloc'!AC61</f>
        <v>480672.33383363299</v>
      </c>
      <c r="AD61" s="50">
        <f>'BGS PTY15 Cost Alloc'!AD61</f>
        <v>538284.28183363297</v>
      </c>
      <c r="AG61" s="50">
        <f>'BGS PTY15 Cost Alloc'!AG61</f>
        <v>9215.8170327590997</v>
      </c>
    </row>
    <row r="62" spans="1:33" x14ac:dyDescent="0.25">
      <c r="A62" s="22"/>
      <c r="B62" s="28" t="s">
        <v>3</v>
      </c>
      <c r="C62" s="49"/>
      <c r="D62" s="49"/>
      <c r="E62" s="50">
        <f>'BGS PTY15 Cost Alloc'!E62</f>
        <v>25189</v>
      </c>
      <c r="F62" s="50">
        <f>'BGS PTY15 Cost Alloc'!F62</f>
        <v>651847</v>
      </c>
      <c r="G62" s="50">
        <f>'BGS PTY15 Cost Alloc'!G62</f>
        <v>506258</v>
      </c>
      <c r="H62" s="50">
        <f>'BGS PTY15 Cost Alloc'!H62</f>
        <v>10072</v>
      </c>
      <c r="I62" s="50">
        <f>'BGS PTY15 Cost Alloc'!I62</f>
        <v>9542</v>
      </c>
      <c r="J62" s="50">
        <f t="shared" si="3"/>
        <v>1202908</v>
      </c>
      <c r="K62" s="49"/>
      <c r="L62" s="49"/>
      <c r="M62" s="50">
        <f t="shared" si="4"/>
        <v>24691</v>
      </c>
      <c r="N62" s="51"/>
      <c r="O62" s="52"/>
      <c r="P62" s="114" t="s">
        <v>194</v>
      </c>
      <c r="Q62" s="53">
        <f>SUMPRODUCT(Q33:Q37,M60:M64)+SUMPRODUCT(Q42:Q44,M69:M71)</f>
        <v>104010.4997</v>
      </c>
      <c r="R62" s="47"/>
      <c r="S62" s="131" t="s">
        <v>178</v>
      </c>
      <c r="T62" s="53">
        <f>+T60-T61</f>
        <v>41881.685899999997</v>
      </c>
      <c r="U62" s="48"/>
      <c r="V62" s="169">
        <f>'BGS PTY15 Cost Alloc'!V62</f>
        <v>42795</v>
      </c>
      <c r="W62" s="50">
        <f>'BGS PTY15 Cost Alloc'!W62</f>
        <v>498467.18304700003</v>
      </c>
      <c r="X62" s="50">
        <f>'BGS PTY15 Cost Alloc'!X62</f>
        <v>5920.6036742999995</v>
      </c>
      <c r="Y62" s="55">
        <f t="shared" si="5"/>
        <v>492546.57937270001</v>
      </c>
      <c r="Z62" s="50">
        <f>'BGS PTY15 Cost Alloc'!Z62</f>
        <v>1675264.8106487999</v>
      </c>
      <c r="AA62" s="50">
        <f>'BGS PTY15 Cost Alloc'!AA62</f>
        <v>24691.276620735302</v>
      </c>
      <c r="AB62" s="50">
        <f>'BGS PTY15 Cost Alloc'!AB62</f>
        <v>650171.65156861604</v>
      </c>
      <c r="AC62" s="50">
        <f>'BGS PTY15 Cost Alloc'!AC62</f>
        <v>506264.33477273304</v>
      </c>
      <c r="AD62" s="50">
        <f>'BGS PTY15 Cost Alloc'!AD62</f>
        <v>563183.28277273302</v>
      </c>
      <c r="AG62" s="50">
        <f>'BGS PTY15 Cost Alloc'!AG62</f>
        <v>10071.835568046898</v>
      </c>
    </row>
    <row r="63" spans="1:33" x14ac:dyDescent="0.25">
      <c r="A63" s="22"/>
      <c r="B63" s="28" t="s">
        <v>4</v>
      </c>
      <c r="C63" s="49"/>
      <c r="D63" s="49"/>
      <c r="E63" s="50">
        <f>'BGS PTY15 Cost Alloc'!E63</f>
        <v>20478</v>
      </c>
      <c r="F63" s="50">
        <f>'BGS PTY15 Cost Alloc'!F63</f>
        <v>567171</v>
      </c>
      <c r="G63" s="50">
        <f>'BGS PTY15 Cost Alloc'!G63</f>
        <v>461012</v>
      </c>
      <c r="H63" s="50">
        <f>'BGS PTY15 Cost Alloc'!H63</f>
        <v>7879</v>
      </c>
      <c r="I63" s="50">
        <f>'BGS PTY15 Cost Alloc'!I63</f>
        <v>9537</v>
      </c>
      <c r="J63" s="50">
        <f t="shared" si="3"/>
        <v>1066077</v>
      </c>
      <c r="K63" s="49"/>
      <c r="L63" s="49"/>
      <c r="M63" s="50">
        <f t="shared" si="4"/>
        <v>19987</v>
      </c>
      <c r="N63" s="46"/>
      <c r="O63" s="47"/>
      <c r="P63" s="114" t="s">
        <v>195</v>
      </c>
      <c r="Q63" s="53">
        <f>SUM(W60:W64,W69:W71)/1000</f>
        <v>3806.4841961645006</v>
      </c>
      <c r="R63" s="47"/>
      <c r="S63" s="47"/>
      <c r="T63" s="47"/>
      <c r="U63" s="48"/>
      <c r="V63" s="169">
        <f>'BGS PTY15 Cost Alloc'!V63</f>
        <v>42826</v>
      </c>
      <c r="W63" s="50">
        <f>'BGS PTY15 Cost Alloc'!W63</f>
        <v>490770.94302790001</v>
      </c>
      <c r="X63" s="50">
        <f>'BGS PTY15 Cost Alloc'!X63</f>
        <v>5915.8251295999999</v>
      </c>
      <c r="Y63" s="55">
        <f t="shared" si="5"/>
        <v>484855.1178983</v>
      </c>
      <c r="Z63" s="50">
        <f>'BGS PTY15 Cost Alloc'!Z63</f>
        <v>1278723.3884104001</v>
      </c>
      <c r="AA63" s="50">
        <f>'BGS PTY15 Cost Alloc'!AA63</f>
        <v>19987.073399312601</v>
      </c>
      <c r="AB63" s="50">
        <f>'BGS PTY15 Cost Alloc'!AB63</f>
        <v>565891.90721227706</v>
      </c>
      <c r="AC63" s="50">
        <f>'BGS PTY15 Cost Alloc'!AC63</f>
        <v>461017.54433645599</v>
      </c>
      <c r="AD63" s="50">
        <f>'BGS PTY15 Cost Alloc'!AD63</f>
        <v>521406.75333645602</v>
      </c>
      <c r="AG63" s="50">
        <f>'BGS PTY15 Cost Alloc'!AG63</f>
        <v>7878.6989951024052</v>
      </c>
    </row>
    <row r="64" spans="1:33" x14ac:dyDescent="0.25">
      <c r="A64" s="22"/>
      <c r="B64" s="28" t="s">
        <v>5</v>
      </c>
      <c r="C64" s="49"/>
      <c r="D64" s="49"/>
      <c r="E64" s="50">
        <f>'BGS PTY15 Cost Alloc'!E64</f>
        <v>15236</v>
      </c>
      <c r="F64" s="50">
        <f>'BGS PTY15 Cost Alloc'!F64</f>
        <v>522005</v>
      </c>
      <c r="G64" s="50">
        <f>'BGS PTY15 Cost Alloc'!G64</f>
        <v>434013</v>
      </c>
      <c r="H64" s="50">
        <f>'BGS PTY15 Cost Alloc'!H64</f>
        <v>8804</v>
      </c>
      <c r="I64" s="50">
        <f>'BGS PTY15 Cost Alloc'!I64</f>
        <v>9532</v>
      </c>
      <c r="J64" s="50">
        <f t="shared" si="3"/>
        <v>989590</v>
      </c>
      <c r="K64" s="49"/>
      <c r="L64" s="49"/>
      <c r="M64" s="50">
        <f t="shared" si="4"/>
        <v>14753</v>
      </c>
      <c r="N64" s="51" t="s">
        <v>29</v>
      </c>
      <c r="O64" s="52"/>
      <c r="P64" s="53"/>
      <c r="Q64" s="53">
        <f>+SUM(E65:E68)</f>
        <v>78854</v>
      </c>
      <c r="R64" s="53">
        <f>+SUM(F65:F68)</f>
        <v>3577228</v>
      </c>
      <c r="S64" s="53">
        <f>+SUM(G65:G68)</f>
        <v>2175930</v>
      </c>
      <c r="T64" s="53">
        <f>+SUM(H65:H68)</f>
        <v>34920</v>
      </c>
      <c r="U64" s="54">
        <f>+SUM(I65:I68)</f>
        <v>38075</v>
      </c>
      <c r="V64" s="169">
        <f>'BGS PTY15 Cost Alloc'!V64</f>
        <v>42856</v>
      </c>
      <c r="W64" s="50">
        <f>'BGS PTY15 Cost Alloc'!W64</f>
        <v>483004.9709442</v>
      </c>
      <c r="X64" s="50">
        <f>'BGS PTY15 Cost Alloc'!X64</f>
        <v>5922.3972072000006</v>
      </c>
      <c r="Y64" s="55">
        <f t="shared" si="5"/>
        <v>477082.573737</v>
      </c>
      <c r="Z64" s="50">
        <f>'BGS PTY15 Cost Alloc'!Z64</f>
        <v>925075.73007000005</v>
      </c>
      <c r="AA64" s="50">
        <f>'BGS PTY15 Cost Alloc'!AA64</f>
        <v>14752.871929717099</v>
      </c>
      <c r="AB64" s="50">
        <f>'BGS PTY15 Cost Alloc'!AB64</f>
        <v>521079.865340213</v>
      </c>
      <c r="AC64" s="50">
        <f>'BGS PTY15 Cost Alloc'!AC64</f>
        <v>434019.25773103401</v>
      </c>
      <c r="AD64" s="50">
        <f>'BGS PTY15 Cost Alloc'!AD64</f>
        <v>492911.394731034</v>
      </c>
      <c r="AG64" s="50">
        <f>'BGS PTY15 Cost Alloc'!AG64</f>
        <v>8804.0465103553979</v>
      </c>
    </row>
    <row r="65" spans="1:34" x14ac:dyDescent="0.25">
      <c r="A65" s="22"/>
      <c r="B65" s="28" t="s">
        <v>6</v>
      </c>
      <c r="C65" s="49"/>
      <c r="D65" s="49"/>
      <c r="E65" s="50">
        <f>'BGS PTY15 Cost Alloc'!E65</f>
        <v>16845</v>
      </c>
      <c r="F65" s="50">
        <f>'BGS PTY15 Cost Alloc'!F65</f>
        <v>688865</v>
      </c>
      <c r="G65" s="50">
        <f>'BGS PTY15 Cost Alloc'!G65</f>
        <v>502396</v>
      </c>
      <c r="H65" s="50">
        <f>'BGS PTY15 Cost Alloc'!H65</f>
        <v>7878</v>
      </c>
      <c r="I65" s="50">
        <f>'BGS PTY15 Cost Alloc'!I65</f>
        <v>9527</v>
      </c>
      <c r="J65" s="50">
        <f t="shared" si="3"/>
        <v>1225511</v>
      </c>
      <c r="K65" s="49"/>
      <c r="L65" s="50"/>
      <c r="M65" s="50">
        <f t="shared" si="4"/>
        <v>16370</v>
      </c>
      <c r="N65" s="51"/>
      <c r="O65" s="52"/>
      <c r="P65" s="157" t="s">
        <v>151</v>
      </c>
      <c r="Q65" s="158">
        <f>SUMPRODUCT(E38:E41,M65:M68)</f>
        <v>31192.8747</v>
      </c>
      <c r="R65" s="158">
        <f>'BGS PTY15 Cost Alloc'!R65</f>
        <v>1918973.8678962339</v>
      </c>
      <c r="S65" s="131" t="s">
        <v>177</v>
      </c>
      <c r="T65" s="53">
        <f>+SUMPRODUCT(H38:H41,H65:H68)</f>
        <v>16257.8182</v>
      </c>
      <c r="U65" s="56">
        <f>T65/T64</f>
        <v>0.46557325887743412</v>
      </c>
      <c r="V65" s="169">
        <f>'BGS PTY15 Cost Alloc'!V65</f>
        <v>42887</v>
      </c>
      <c r="W65" s="50">
        <f>'BGS PTY15 Cost Alloc'!W65</f>
        <v>475160.23876950005</v>
      </c>
      <c r="X65" s="50">
        <f>'BGS PTY15 Cost Alloc'!X65</f>
        <v>5917.9455939999998</v>
      </c>
      <c r="Y65" s="55">
        <f t="shared" si="5"/>
        <v>469242.29317550006</v>
      </c>
      <c r="Z65" s="50">
        <f>'BGS PTY15 Cost Alloc'!Z65</f>
        <v>1020365.9151083999</v>
      </c>
      <c r="AA65" s="50">
        <f>'BGS PTY15 Cost Alloc'!AA65</f>
        <v>15348.778122343101</v>
      </c>
      <c r="AB65" s="50">
        <f>'BGS PTY15 Cost Alloc'!AB65</f>
        <v>688865.18296254799</v>
      </c>
      <c r="AC65" s="50">
        <f>'BGS PTY15 Cost Alloc'!AC65</f>
        <v>502402.42463403905</v>
      </c>
      <c r="AD65" s="50">
        <f>'BGS PTY15 Cost Alloc'!AD65</f>
        <v>560966.69463403907</v>
      </c>
      <c r="AG65" s="50">
        <f>'BGS PTY15 Cost Alloc'!AG65</f>
        <v>7878.4735150011029</v>
      </c>
    </row>
    <row r="66" spans="1:34" x14ac:dyDescent="0.25">
      <c r="A66" s="22"/>
      <c r="B66" s="28" t="s">
        <v>7</v>
      </c>
      <c r="C66" s="49"/>
      <c r="D66" s="49"/>
      <c r="E66" s="50">
        <f>'BGS PTY15 Cost Alloc'!E66</f>
        <v>20605</v>
      </c>
      <c r="F66" s="50">
        <f>'BGS PTY15 Cost Alloc'!F66</f>
        <v>953644</v>
      </c>
      <c r="G66" s="50">
        <f>'BGS PTY15 Cost Alloc'!G66</f>
        <v>561805</v>
      </c>
      <c r="H66" s="50">
        <f>'BGS PTY15 Cost Alloc'!H66</f>
        <v>10987</v>
      </c>
      <c r="I66" s="50">
        <f>'BGS PTY15 Cost Alloc'!I66</f>
        <v>9521</v>
      </c>
      <c r="J66" s="50">
        <f t="shared" si="3"/>
        <v>1556562</v>
      </c>
      <c r="K66" s="49"/>
      <c r="L66" s="50"/>
      <c r="M66" s="50">
        <f t="shared" si="4"/>
        <v>20137</v>
      </c>
      <c r="N66" s="51"/>
      <c r="O66" s="52"/>
      <c r="P66" s="157" t="s">
        <v>152</v>
      </c>
      <c r="Q66" s="158">
        <f>SUMPRODUCT(Q38:Q41,M65:M68)</f>
        <v>45805.125300000007</v>
      </c>
      <c r="R66" s="158">
        <f>'BGS PTY15 Cost Alloc'!R66</f>
        <v>1658254.1321037663</v>
      </c>
      <c r="S66" s="131" t="s">
        <v>178</v>
      </c>
      <c r="T66" s="53">
        <f>+T64-T65</f>
        <v>18662.181799999998</v>
      </c>
      <c r="U66" s="48"/>
      <c r="V66" s="169">
        <f>'BGS PTY15 Cost Alloc'!V66</f>
        <v>42917</v>
      </c>
      <c r="W66" s="50">
        <f>'BGS PTY15 Cost Alloc'!W66</f>
        <v>467804.12626260007</v>
      </c>
      <c r="X66" s="50">
        <f>'BGS PTY15 Cost Alloc'!X66</f>
        <v>5871.1349178999999</v>
      </c>
      <c r="Y66" s="55">
        <f t="shared" si="5"/>
        <v>461932.99134470004</v>
      </c>
      <c r="Z66" s="50">
        <f>'BGS PTY15 Cost Alloc'!Z66</f>
        <v>1202871.6010984001</v>
      </c>
      <c r="AA66" s="50">
        <f>'BGS PTY15 Cost Alloc'!AA66</f>
        <v>18933.888761488499</v>
      </c>
      <c r="AB66" s="50">
        <f>'BGS PTY15 Cost Alloc'!AB66</f>
        <v>953643.82963741303</v>
      </c>
      <c r="AC66" s="50">
        <f>'BGS PTY15 Cost Alloc'!AC66</f>
        <v>561811.44278228702</v>
      </c>
      <c r="AD66" s="50">
        <f>'BGS PTY15 Cost Alloc'!AD66</f>
        <v>627859.71278228704</v>
      </c>
      <c r="AG66" s="50">
        <f>'BGS PTY15 Cost Alloc'!AG66</f>
        <v>10986.688543943197</v>
      </c>
    </row>
    <row r="67" spans="1:34" x14ac:dyDescent="0.25">
      <c r="A67" s="22"/>
      <c r="B67" s="28" t="s">
        <v>8</v>
      </c>
      <c r="C67" s="49"/>
      <c r="D67" s="49"/>
      <c r="E67" s="50">
        <f>'BGS PTY15 Cost Alloc'!E67</f>
        <v>22308</v>
      </c>
      <c r="F67" s="50">
        <f>'BGS PTY15 Cost Alloc'!F67</f>
        <v>1052047</v>
      </c>
      <c r="G67" s="50">
        <f>'BGS PTY15 Cost Alloc'!G67</f>
        <v>575694</v>
      </c>
      <c r="H67" s="50">
        <f>'BGS PTY15 Cost Alloc'!H67</f>
        <v>9081</v>
      </c>
      <c r="I67" s="50">
        <f>'BGS PTY15 Cost Alloc'!I67</f>
        <v>9516</v>
      </c>
      <c r="J67" s="50">
        <f t="shared" si="3"/>
        <v>1668646</v>
      </c>
      <c r="K67" s="49"/>
      <c r="L67" s="49"/>
      <c r="M67" s="50">
        <f t="shared" si="4"/>
        <v>21848</v>
      </c>
      <c r="N67" s="57"/>
      <c r="O67" s="58"/>
      <c r="P67" s="114" t="s">
        <v>195</v>
      </c>
      <c r="Q67" s="53">
        <f>SUM(W65:W68)/1000</f>
        <v>1856.3194371117004</v>
      </c>
      <c r="R67" s="66"/>
      <c r="S67" s="58"/>
      <c r="T67" s="58"/>
      <c r="U67" s="59"/>
      <c r="V67" s="169">
        <f>'BGS PTY15 Cost Alloc'!V67</f>
        <v>42948</v>
      </c>
      <c r="W67" s="50">
        <f>'BGS PTY15 Cost Alloc'!W67</f>
        <v>460373.23291780002</v>
      </c>
      <c r="X67" s="50">
        <f>'BGS PTY15 Cost Alloc'!X67</f>
        <v>5848.3550629000001</v>
      </c>
      <c r="Y67" s="55">
        <f t="shared" si="5"/>
        <v>454524.87785490003</v>
      </c>
      <c r="Z67" s="50">
        <f>'BGS PTY15 Cost Alloc'!Z67</f>
        <v>1285361.1229739001</v>
      </c>
      <c r="AA67" s="50">
        <f>'BGS PTY15 Cost Alloc'!AA67</f>
        <v>20561.611102725295</v>
      </c>
      <c r="AB67" s="50">
        <f>'BGS PTY15 Cost Alloc'!AB67</f>
        <v>1052047.2317742999</v>
      </c>
      <c r="AC67" s="50">
        <f>'BGS PTY15 Cost Alloc'!AC67</f>
        <v>575699.86236243497</v>
      </c>
      <c r="AD67" s="50">
        <f>'BGS PTY15 Cost Alloc'!AD67</f>
        <v>644654.26536243502</v>
      </c>
      <c r="AG67" s="50">
        <f>'BGS PTY15 Cost Alloc'!AG67</f>
        <v>9080.9945991096047</v>
      </c>
    </row>
    <row r="68" spans="1:34" x14ac:dyDescent="0.25">
      <c r="A68" s="22"/>
      <c r="B68" s="28" t="s">
        <v>9</v>
      </c>
      <c r="C68" s="49"/>
      <c r="D68" s="49"/>
      <c r="E68" s="50">
        <f>'BGS PTY15 Cost Alloc'!E68</f>
        <v>19096</v>
      </c>
      <c r="F68" s="50">
        <f>'BGS PTY15 Cost Alloc'!F68</f>
        <v>882672</v>
      </c>
      <c r="G68" s="50">
        <f>'BGS PTY15 Cost Alloc'!G68</f>
        <v>536035</v>
      </c>
      <c r="H68" s="50">
        <f>'BGS PTY15 Cost Alloc'!H68</f>
        <v>6974</v>
      </c>
      <c r="I68" s="50">
        <f>'BGS PTY15 Cost Alloc'!I68</f>
        <v>9511</v>
      </c>
      <c r="J68" s="50">
        <f t="shared" si="3"/>
        <v>1454288</v>
      </c>
      <c r="K68" s="49"/>
      <c r="L68" s="49"/>
      <c r="M68" s="50">
        <f t="shared" si="4"/>
        <v>18643</v>
      </c>
      <c r="N68" s="40"/>
      <c r="O68" s="41"/>
      <c r="P68" s="41"/>
      <c r="Q68" s="41" t="s">
        <v>130</v>
      </c>
      <c r="R68" s="41"/>
      <c r="S68" s="41"/>
      <c r="T68" s="41"/>
      <c r="U68" s="42"/>
      <c r="V68" s="169">
        <f>'BGS PTY15 Cost Alloc'!V68</f>
        <v>42979</v>
      </c>
      <c r="W68" s="50">
        <f>'BGS PTY15 Cost Alloc'!W68</f>
        <v>452981.8391618001</v>
      </c>
      <c r="X68" s="50">
        <f>'BGS PTY15 Cost Alloc'!X68</f>
        <v>5842.6624395999997</v>
      </c>
      <c r="Y68" s="55">
        <f t="shared" si="5"/>
        <v>447139.17672220012</v>
      </c>
      <c r="Z68" s="50">
        <f>'BGS PTY15 Cost Alloc'!Z68</f>
        <v>1125687.2011235</v>
      </c>
      <c r="AA68" s="50">
        <f>'BGS PTY15 Cost Alloc'!AA68</f>
        <v>17517.232770394399</v>
      </c>
      <c r="AB68" s="50">
        <f>'BGS PTY15 Cost Alloc'!AB68</f>
        <v>882672.45002848201</v>
      </c>
      <c r="AC68" s="50">
        <f>'BGS PTY15 Cost Alloc'!AC68</f>
        <v>536041.15971753804</v>
      </c>
      <c r="AD68" s="50">
        <f>'BGS PTY15 Cost Alloc'!AD68</f>
        <v>605068.07871753804</v>
      </c>
      <c r="AG68" s="50">
        <f>'BGS PTY15 Cost Alloc'!AG68</f>
        <v>6973.5088072957997</v>
      </c>
    </row>
    <row r="69" spans="1:34" x14ac:dyDescent="0.25">
      <c r="A69" s="22"/>
      <c r="B69" s="28" t="s">
        <v>10</v>
      </c>
      <c r="C69" s="49"/>
      <c r="D69" s="49"/>
      <c r="E69" s="50">
        <f>'BGS PTY15 Cost Alloc'!E69</f>
        <v>13873</v>
      </c>
      <c r="F69" s="50">
        <f>'BGS PTY15 Cost Alloc'!F69</f>
        <v>602455</v>
      </c>
      <c r="G69" s="50">
        <f>'BGS PTY15 Cost Alloc'!G69</f>
        <v>478374</v>
      </c>
      <c r="H69" s="50">
        <f>'BGS PTY15 Cost Alloc'!H69</f>
        <v>9312</v>
      </c>
      <c r="I69" s="50">
        <f>'BGS PTY15 Cost Alloc'!I69</f>
        <v>9506</v>
      </c>
      <c r="J69" s="50">
        <f t="shared" si="3"/>
        <v>1113520</v>
      </c>
      <c r="K69" s="49"/>
      <c r="L69" s="49"/>
      <c r="M69" s="50">
        <f t="shared" si="4"/>
        <v>13427</v>
      </c>
      <c r="N69" s="43"/>
      <c r="O69" s="44"/>
      <c r="P69" s="44"/>
      <c r="Q69" s="44" t="str">
        <f>+Q$13</f>
        <v>RT{1}</v>
      </c>
      <c r="R69" s="44"/>
      <c r="S69" s="44"/>
      <c r="T69" s="44" t="str">
        <f>+T$13</f>
        <v>GST</v>
      </c>
      <c r="U69" s="45"/>
      <c r="V69" s="169">
        <f>'BGS PTY15 Cost Alloc'!V69</f>
        <v>43009</v>
      </c>
      <c r="W69" s="50">
        <f>'BGS PTY15 Cost Alloc'!W69</f>
        <v>445966.08368579997</v>
      </c>
      <c r="X69" s="50">
        <f>'BGS PTY15 Cost Alloc'!X69</f>
        <v>5862.8538829999998</v>
      </c>
      <c r="Y69" s="55">
        <f t="shared" si="5"/>
        <v>440103.22980279999</v>
      </c>
      <c r="Z69" s="50">
        <f>'BGS PTY15 Cost Alloc'!Z69</f>
        <v>882396.9562748</v>
      </c>
      <c r="AA69" s="50">
        <f>'BGS PTY15 Cost Alloc'!AA69</f>
        <v>13426.7470064262</v>
      </c>
      <c r="AB69" s="50">
        <f>'BGS PTY15 Cost Alloc'!AB69</f>
        <v>601572.80703729903</v>
      </c>
      <c r="AC69" s="50">
        <f>'BGS PTY15 Cost Alloc'!AC69</f>
        <v>478379.81466621498</v>
      </c>
      <c r="AD69" s="50">
        <f>'BGS PTY15 Cost Alloc'!AD69</f>
        <v>539740.52566621499</v>
      </c>
      <c r="AG69" s="50">
        <f>'BGS PTY15 Cost Alloc'!AG69</f>
        <v>9312.1415514660039</v>
      </c>
    </row>
    <row r="70" spans="1:34" x14ac:dyDescent="0.25">
      <c r="A70" s="22"/>
      <c r="B70" s="28" t="s">
        <v>11</v>
      </c>
      <c r="C70" s="49"/>
      <c r="D70" s="49"/>
      <c r="E70" s="50">
        <f>'BGS PTY15 Cost Alloc'!E70</f>
        <v>15242</v>
      </c>
      <c r="F70" s="50">
        <f>'BGS PTY15 Cost Alloc'!F70</f>
        <v>553786</v>
      </c>
      <c r="G70" s="50">
        <f>'BGS PTY15 Cost Alloc'!G70</f>
        <v>417640</v>
      </c>
      <c r="H70" s="50">
        <f>'BGS PTY15 Cost Alloc'!H70</f>
        <v>6634</v>
      </c>
      <c r="I70" s="50">
        <f>'BGS PTY15 Cost Alloc'!I70</f>
        <v>9501</v>
      </c>
      <c r="J70" s="50">
        <f t="shared" si="3"/>
        <v>1002803</v>
      </c>
      <c r="K70" s="49"/>
      <c r="L70" s="49"/>
      <c r="M70" s="50">
        <f t="shared" si="4"/>
        <v>14803</v>
      </c>
      <c r="N70" s="46"/>
      <c r="O70" s="47"/>
      <c r="P70" s="47"/>
      <c r="Q70" s="47"/>
      <c r="R70" s="47"/>
      <c r="S70" s="47"/>
      <c r="T70" s="47"/>
      <c r="U70" s="48"/>
      <c r="V70" s="169">
        <f>'BGS PTY15 Cost Alloc'!V70</f>
        <v>43040</v>
      </c>
      <c r="W70" s="50">
        <f>'BGS PTY15 Cost Alloc'!W70</f>
        <v>438846.80242830003</v>
      </c>
      <c r="X70" s="50">
        <f>'BGS PTY15 Cost Alloc'!X70</f>
        <v>5854.1225477999997</v>
      </c>
      <c r="Y70" s="55">
        <f t="shared" si="5"/>
        <v>432992.67988050001</v>
      </c>
      <c r="Z70" s="50">
        <f>'BGS PTY15 Cost Alloc'!Z70</f>
        <v>1044357.1498209999</v>
      </c>
      <c r="AA70" s="50">
        <f>'BGS PTY15 Cost Alloc'!AA70</f>
        <v>14803.2619973324</v>
      </c>
      <c r="AB70" s="50">
        <f>'BGS PTY15 Cost Alloc'!AB70</f>
        <v>552741.82685284701</v>
      </c>
      <c r="AC70" s="50">
        <f>'BGS PTY15 Cost Alloc'!AC70</f>
        <v>417645.75918968703</v>
      </c>
      <c r="AD70" s="50">
        <f>'BGS PTY15 Cost Alloc'!AD70</f>
        <v>472707.90518968704</v>
      </c>
      <c r="AE70" s="13">
        <f>'BGS PTY15 Cost Alloc'!AE70</f>
        <v>0</v>
      </c>
      <c r="AG70" s="50">
        <f>'BGS PTY15 Cost Alloc'!AG70</f>
        <v>6633.778012933597</v>
      </c>
      <c r="AH70" s="13">
        <f>'BGS PTY15 Cost Alloc'!AH70</f>
        <v>0</v>
      </c>
    </row>
    <row r="71" spans="1:34" x14ac:dyDescent="0.25">
      <c r="A71" s="22"/>
      <c r="B71" s="28" t="s">
        <v>12</v>
      </c>
      <c r="C71" s="49"/>
      <c r="D71" s="49"/>
      <c r="E71" s="50">
        <f>'BGS PTY15 Cost Alloc'!E71</f>
        <v>20134</v>
      </c>
      <c r="F71" s="50">
        <f>'BGS PTY15 Cost Alloc'!F71</f>
        <v>640040</v>
      </c>
      <c r="G71" s="50">
        <f>'BGS PTY15 Cost Alloc'!G71</f>
        <v>451157</v>
      </c>
      <c r="H71" s="50">
        <f>'BGS PTY15 Cost Alloc'!H71</f>
        <v>9542</v>
      </c>
      <c r="I71" s="50">
        <f>'BGS PTY15 Cost Alloc'!I71</f>
        <v>9496</v>
      </c>
      <c r="J71" s="50">
        <f t="shared" si="3"/>
        <v>1130369</v>
      </c>
      <c r="K71" s="49"/>
      <c r="L71" s="49"/>
      <c r="M71" s="50">
        <f t="shared" si="4"/>
        <v>19702</v>
      </c>
      <c r="N71" s="51"/>
      <c r="O71" s="52"/>
      <c r="P71" s="115" t="s">
        <v>148</v>
      </c>
      <c r="Q71" s="53">
        <f>SUM(E60:E64,E69:E71)</f>
        <v>164662</v>
      </c>
      <c r="R71" s="53"/>
      <c r="S71" s="115" t="s">
        <v>148</v>
      </c>
      <c r="T71" s="53">
        <f>SUM(H60:H64,H69:H71)</f>
        <v>74592</v>
      </c>
      <c r="U71" s="54"/>
      <c r="V71" s="169">
        <f>'BGS PTY15 Cost Alloc'!V71</f>
        <v>43070</v>
      </c>
      <c r="W71" s="50">
        <f>'BGS PTY15 Cost Alloc'!W71</f>
        <v>431962.17631009995</v>
      </c>
      <c r="X71" s="50">
        <f>'BGS PTY15 Cost Alloc'!X71</f>
        <v>5823.9826819999998</v>
      </c>
      <c r="Y71" s="55">
        <f t="shared" si="5"/>
        <v>426138.19362809998</v>
      </c>
      <c r="Z71" s="50">
        <f>'BGS PTY15 Cost Alloc'!Z71</f>
        <v>1380320.4882654001</v>
      </c>
      <c r="AA71" s="50">
        <f>'BGS PTY15 Cost Alloc'!AA71</f>
        <v>19701.765860396899</v>
      </c>
      <c r="AB71" s="50">
        <f>'BGS PTY15 Cost Alloc'!AB71</f>
        <v>638660.08565133798</v>
      </c>
      <c r="AC71" s="50">
        <f>'BGS PTY15 Cost Alloc'!AC71</f>
        <v>451163.24256468198</v>
      </c>
      <c r="AD71" s="50">
        <f>'BGS PTY15 Cost Alloc'!AD71</f>
        <v>506285.85056468198</v>
      </c>
      <c r="AE71" s="13">
        <f>'BGS PTY15 Cost Alloc'!AE71</f>
        <v>0</v>
      </c>
      <c r="AG71" s="50">
        <f>'BGS PTY15 Cost Alloc'!AG71</f>
        <v>9542.2905637295989</v>
      </c>
      <c r="AH71" s="13">
        <f>'BGS PTY15 Cost Alloc'!AH71</f>
        <v>0</v>
      </c>
    </row>
    <row r="72" spans="1:34" x14ac:dyDescent="0.25">
      <c r="A72" s="22"/>
      <c r="B72" s="60" t="s">
        <v>13</v>
      </c>
      <c r="C72" s="55"/>
      <c r="D72" s="55"/>
      <c r="E72" s="55">
        <f>SUM(E60:E71)</f>
        <v>243516</v>
      </c>
      <c r="F72" s="55">
        <f>SUM(F60:F71)</f>
        <v>8599355</v>
      </c>
      <c r="G72" s="55">
        <f>SUM(G60:G71)</f>
        <v>5957553</v>
      </c>
      <c r="H72" s="55">
        <f>SUM(H60:H71)</f>
        <v>109512</v>
      </c>
      <c r="I72" s="55">
        <f>SUM(I60:I71)</f>
        <v>114289</v>
      </c>
      <c r="J72" s="55">
        <f t="shared" si="3"/>
        <v>15024225</v>
      </c>
      <c r="K72" s="55"/>
      <c r="L72" s="55"/>
      <c r="M72" s="55">
        <f>SUM(M60:M71)</f>
        <v>237854</v>
      </c>
      <c r="N72" s="51"/>
      <c r="O72" s="52"/>
      <c r="P72" s="114" t="s">
        <v>146</v>
      </c>
      <c r="Q72" s="53">
        <f>SUMPRODUCT(E15:E19,E60:E64)+SUMPRODUCT(E24:E26,E69:E71)</f>
        <v>79760.139599999995</v>
      </c>
      <c r="R72" s="47">
        <f>Q72/Q71</f>
        <v>0.48438704497698315</v>
      </c>
      <c r="S72" s="114" t="s">
        <v>177</v>
      </c>
      <c r="T72" s="53">
        <f>SUMPRODUCT(H15:H19,H60:H64)+SUMPRODUCT(H24:H26,H69:H71)</f>
        <v>42045.592999999993</v>
      </c>
      <c r="U72" s="48">
        <f>T72/T71</f>
        <v>0.56367429483054476</v>
      </c>
      <c r="W72" s="55">
        <f t="shared" ref="W72:AD72" si="6">SUM(W60:W71)</f>
        <v>5662803.6332761999</v>
      </c>
      <c r="X72" s="55">
        <f t="shared" si="6"/>
        <v>70710.861541799997</v>
      </c>
      <c r="Y72" s="55">
        <f t="shared" si="6"/>
        <v>5592092.7717344007</v>
      </c>
      <c r="Z72" s="55">
        <f t="shared" si="6"/>
        <v>15559574.431658402</v>
      </c>
      <c r="AA72" s="55">
        <f t="shared" si="6"/>
        <v>233217.22716247346</v>
      </c>
      <c r="AB72" s="55">
        <f t="shared" si="6"/>
        <v>8588430.6964058671</v>
      </c>
      <c r="AC72" s="55">
        <f t="shared" si="6"/>
        <v>5957626.3411695333</v>
      </c>
      <c r="AD72" s="55">
        <f t="shared" si="6"/>
        <v>6679394.7271695333</v>
      </c>
      <c r="AE72" s="13">
        <f>'BGS PTY15 Cost Alloc'!AE72</f>
        <v>0</v>
      </c>
      <c r="AG72" s="55">
        <f>SUM(AG60:AG71)</f>
        <v>109511.59413706331</v>
      </c>
      <c r="AH72" s="13">
        <f>'BGS PTY15 Cost Alloc'!AH72</f>
        <v>0</v>
      </c>
    </row>
    <row r="73" spans="1:34" x14ac:dyDescent="0.25">
      <c r="A73" s="22"/>
      <c r="B73" s="28"/>
      <c r="J73" s="61"/>
      <c r="N73" s="51"/>
      <c r="O73" s="52"/>
      <c r="P73" s="114" t="s">
        <v>145</v>
      </c>
      <c r="Q73" s="53">
        <f>+Q71-Q72</f>
        <v>84901.860400000005</v>
      </c>
      <c r="R73" s="47"/>
      <c r="S73" s="114" t="s">
        <v>178</v>
      </c>
      <c r="T73" s="53">
        <f>+T71-T72</f>
        <v>32546.407000000007</v>
      </c>
      <c r="U73" s="48"/>
    </row>
    <row r="74" spans="1:34" ht="15.6" x14ac:dyDescent="0.3">
      <c r="A74" s="22"/>
      <c r="N74" s="46"/>
      <c r="O74" s="47"/>
      <c r="P74" s="47"/>
      <c r="Q74" s="47"/>
      <c r="R74" s="47"/>
      <c r="S74" s="47"/>
      <c r="T74" s="47"/>
      <c r="U74" s="48"/>
      <c r="V74" s="71" t="s">
        <v>181</v>
      </c>
      <c r="W74" s="13" t="s">
        <v>185</v>
      </c>
      <c r="X74" s="13" t="s">
        <v>184</v>
      </c>
      <c r="Y74" s="13" t="s">
        <v>182</v>
      </c>
      <c r="Z74" s="13" t="s">
        <v>183</v>
      </c>
      <c r="AB74" s="13" t="s">
        <v>186</v>
      </c>
      <c r="AC74" s="13" t="s">
        <v>211</v>
      </c>
      <c r="AE74" s="14"/>
    </row>
    <row r="75" spans="1:34" x14ac:dyDescent="0.25">
      <c r="A75" s="18" t="s">
        <v>37</v>
      </c>
      <c r="B75" s="16" t="s">
        <v>19</v>
      </c>
      <c r="G75" s="62" t="s">
        <v>32</v>
      </c>
      <c r="H75" s="16" t="s">
        <v>175</v>
      </c>
      <c r="N75" s="51"/>
      <c r="O75" s="52"/>
      <c r="P75" s="116" t="s">
        <v>149</v>
      </c>
      <c r="Q75" s="53">
        <f>+SUM(E65:E68)</f>
        <v>78854</v>
      </c>
      <c r="R75" s="44"/>
      <c r="S75" s="116" t="s">
        <v>149</v>
      </c>
      <c r="T75" s="53">
        <f>+SUM(H65:H68)</f>
        <v>34920</v>
      </c>
      <c r="U75" s="45"/>
      <c r="V75" s="55">
        <f t="shared" ref="V75:V86" si="7">W60-W75</f>
        <v>1181.6766565000289</v>
      </c>
      <c r="W75" s="55">
        <f t="shared" ref="W75:W86" si="8">SUM(X75:Z75)</f>
        <v>511147</v>
      </c>
      <c r="X75" s="50">
        <f>'BGS PTY15 Cost Alloc'!X75</f>
        <v>12853</v>
      </c>
      <c r="Y75" s="50">
        <f>'BGS PTY15 Cost Alloc'!Y75</f>
        <v>492504</v>
      </c>
      <c r="Z75" s="50">
        <f>'BGS PTY15 Cost Alloc'!Z75</f>
        <v>5790</v>
      </c>
      <c r="AA75" s="55"/>
      <c r="AB75" s="13">
        <f t="shared" ref="AB75:AB86" si="9">(V75*$AA$94+W75*$AA$95)/1000</f>
        <v>145.53906120910713</v>
      </c>
      <c r="AC75" s="13">
        <f t="shared" ref="AC75:AC86" si="10">(W60/1000)-AB75</f>
        <v>366.78961544739298</v>
      </c>
    </row>
    <row r="76" spans="1:34" s="63" customFormat="1" x14ac:dyDescent="0.25">
      <c r="A76" s="22"/>
      <c r="B76" s="17" t="s">
        <v>21</v>
      </c>
      <c r="G76" s="21"/>
      <c r="H76" s="127" t="s">
        <v>174</v>
      </c>
      <c r="N76" s="51"/>
      <c r="O76" s="52"/>
      <c r="P76" s="114" t="s">
        <v>146</v>
      </c>
      <c r="Q76" s="53">
        <f>+SUMPRODUCT(E20:E23,E65:E68)</f>
        <v>40495.8802</v>
      </c>
      <c r="R76" s="47">
        <f>Q76/Q75</f>
        <v>0.51355518046009074</v>
      </c>
      <c r="S76" s="131" t="s">
        <v>177</v>
      </c>
      <c r="T76" s="53">
        <f>+SUMPRODUCT(H20:H23,H65:H68)</f>
        <v>20404.939000000002</v>
      </c>
      <c r="U76" s="48">
        <f>T76/T75</f>
        <v>0.58433387743413523</v>
      </c>
      <c r="V76" s="55">
        <f t="shared" si="7"/>
        <v>-2131.6399353000452</v>
      </c>
      <c r="W76" s="55">
        <f t="shared" si="8"/>
        <v>507269</v>
      </c>
      <c r="X76" s="50">
        <f>'BGS PTY15 Cost Alloc'!X76</f>
        <v>12767</v>
      </c>
      <c r="Y76" s="50">
        <f>'BGS PTY15 Cost Alloc'!Y76</f>
        <v>488751</v>
      </c>
      <c r="Z76" s="50">
        <f>'BGS PTY15 Cost Alloc'!Z76</f>
        <v>5751</v>
      </c>
      <c r="AA76" s="55"/>
      <c r="AB76" s="13">
        <f t="shared" si="9"/>
        <v>144.04150177052287</v>
      </c>
      <c r="AC76" s="13">
        <f t="shared" si="10"/>
        <v>361.09585829417711</v>
      </c>
      <c r="AD76" s="13"/>
    </row>
    <row r="77" spans="1:34" x14ac:dyDescent="0.25">
      <c r="A77" s="22"/>
      <c r="C77" s="26" t="s">
        <v>222</v>
      </c>
      <c r="D77" s="26" t="s">
        <v>218</v>
      </c>
      <c r="E77" s="26" t="s">
        <v>222</v>
      </c>
      <c r="F77" s="26" t="s">
        <v>218</v>
      </c>
      <c r="G77" s="26"/>
      <c r="N77" s="64"/>
      <c r="O77" s="65"/>
      <c r="P77" s="117" t="s">
        <v>145</v>
      </c>
      <c r="Q77" s="66">
        <f>Q75-Q76</f>
        <v>38358.1198</v>
      </c>
      <c r="R77" s="58"/>
      <c r="S77" s="132" t="s">
        <v>178</v>
      </c>
      <c r="T77" s="66">
        <f>T75-T76</f>
        <v>14515.060999999998</v>
      </c>
      <c r="U77" s="59"/>
      <c r="V77" s="55">
        <f t="shared" si="7"/>
        <v>-5198.8169529999723</v>
      </c>
      <c r="W77" s="55">
        <f t="shared" si="8"/>
        <v>503666</v>
      </c>
      <c r="X77" s="50">
        <f>'BGS PTY15 Cost Alloc'!X77</f>
        <v>12686</v>
      </c>
      <c r="Y77" s="50">
        <f>'BGS PTY15 Cost Alloc'!Y77</f>
        <v>485266</v>
      </c>
      <c r="Z77" s="50">
        <f>'BGS PTY15 Cost Alloc'!Z77</f>
        <v>5714</v>
      </c>
      <c r="AA77" s="55"/>
      <c r="AB77" s="13">
        <f t="shared" si="9"/>
        <v>142.65146982244505</v>
      </c>
      <c r="AC77" s="13">
        <f t="shared" si="10"/>
        <v>355.815713224555</v>
      </c>
      <c r="AD77" s="55">
        <f>SUM(AB65:AB68)</f>
        <v>3577228.6944027427</v>
      </c>
    </row>
    <row r="78" spans="1:34" x14ac:dyDescent="0.25">
      <c r="A78" s="22"/>
      <c r="C78" s="26" t="s">
        <v>14</v>
      </c>
      <c r="D78" s="26" t="s">
        <v>14</v>
      </c>
      <c r="E78" s="26" t="s">
        <v>15</v>
      </c>
      <c r="F78" s="26" t="s">
        <v>15</v>
      </c>
      <c r="H78" s="26" t="s">
        <v>14</v>
      </c>
      <c r="I78" s="26" t="s">
        <v>15</v>
      </c>
      <c r="N78" s="46"/>
      <c r="O78" s="47"/>
      <c r="P78" s="47"/>
      <c r="Q78" s="47" t="s">
        <v>58</v>
      </c>
      <c r="R78" s="47"/>
      <c r="S78" s="47"/>
      <c r="T78" s="47"/>
      <c r="U78" s="48"/>
      <c r="V78" s="55">
        <f t="shared" si="7"/>
        <v>-9073.056972099992</v>
      </c>
      <c r="W78" s="55">
        <f t="shared" si="8"/>
        <v>499844</v>
      </c>
      <c r="X78" s="50">
        <f>'BGS PTY15 Cost Alloc'!X78</f>
        <v>12600</v>
      </c>
      <c r="Y78" s="50">
        <f>'BGS PTY15 Cost Alloc'!Y78</f>
        <v>481569</v>
      </c>
      <c r="Z78" s="50">
        <f>'BGS PTY15 Cost Alloc'!Z78</f>
        <v>5675</v>
      </c>
      <c r="AA78" s="55"/>
      <c r="AB78" s="13">
        <f t="shared" si="9"/>
        <v>141.10306327255219</v>
      </c>
      <c r="AC78" s="13">
        <f t="shared" si="10"/>
        <v>349.66787975534783</v>
      </c>
    </row>
    <row r="79" spans="1:34" x14ac:dyDescent="0.25">
      <c r="A79" s="22"/>
      <c r="B79" s="28" t="s">
        <v>1</v>
      </c>
      <c r="C79" s="67">
        <v>58.41</v>
      </c>
      <c r="D79" s="162">
        <f>ROUND(C79*$H$306,3)</f>
        <v>70.028000000000006</v>
      </c>
      <c r="E79" s="67">
        <v>42.37</v>
      </c>
      <c r="F79" s="162">
        <f>ROUND(E79*$H$306,3)</f>
        <v>50.796999999999997</v>
      </c>
      <c r="H79" s="33">
        <v>1.0787001131051976</v>
      </c>
      <c r="I79" s="33">
        <v>1.0640903022731527</v>
      </c>
      <c r="L79" s="50"/>
      <c r="N79" s="43"/>
      <c r="O79" s="44"/>
      <c r="P79" s="26"/>
      <c r="Q79" s="26" t="str">
        <f>+Q$13</f>
        <v>RT{1}</v>
      </c>
      <c r="R79" s="26"/>
      <c r="S79" s="26"/>
      <c r="T79" s="26" t="str">
        <f>+T$13</f>
        <v>GST</v>
      </c>
      <c r="U79" s="45"/>
      <c r="V79" s="55">
        <f t="shared" si="7"/>
        <v>-13167.029055799998</v>
      </c>
      <c r="W79" s="55">
        <f t="shared" si="8"/>
        <v>496172</v>
      </c>
      <c r="X79" s="50">
        <f>'BGS PTY15 Cost Alloc'!X79</f>
        <v>12518</v>
      </c>
      <c r="Y79" s="50">
        <f>'BGS PTY15 Cost Alloc'!Y79</f>
        <v>478017</v>
      </c>
      <c r="Z79" s="50">
        <f>'BGS PTY15 Cost Alloc'!Z79</f>
        <v>5637</v>
      </c>
      <c r="AA79" s="55"/>
      <c r="AB79" s="13">
        <f t="shared" si="9"/>
        <v>139.57116641277108</v>
      </c>
      <c r="AC79" s="13">
        <f t="shared" si="10"/>
        <v>343.4338045314289</v>
      </c>
    </row>
    <row r="80" spans="1:34" x14ac:dyDescent="0.25">
      <c r="A80" s="22"/>
      <c r="B80" s="28" t="s">
        <v>2</v>
      </c>
      <c r="C80" s="67">
        <v>53.32</v>
      </c>
      <c r="D80" s="162">
        <f>ROUND(C80*$H$306,3)</f>
        <v>63.924999999999997</v>
      </c>
      <c r="E80" s="67">
        <v>38.677</v>
      </c>
      <c r="F80" s="162">
        <f>ROUND(E80*$H$306,3)</f>
        <v>46.37</v>
      </c>
      <c r="H80" s="177">
        <f>H79</f>
        <v>1.0787001131051976</v>
      </c>
      <c r="I80" s="177">
        <f>I79</f>
        <v>1.0640903022731527</v>
      </c>
      <c r="L80" s="139"/>
      <c r="N80" s="46"/>
      <c r="O80" s="47"/>
      <c r="P80" s="47"/>
      <c r="Q80" s="47"/>
      <c r="R80" s="47"/>
      <c r="S80" s="47"/>
      <c r="T80" s="47"/>
      <c r="U80" s="48"/>
      <c r="V80" s="55">
        <f t="shared" si="7"/>
        <v>-17245.761230499949</v>
      </c>
      <c r="W80" s="55">
        <f t="shared" si="8"/>
        <v>492406</v>
      </c>
      <c r="X80" s="50">
        <f>'BGS PTY15 Cost Alloc'!X80</f>
        <v>12433</v>
      </c>
      <c r="Y80" s="50">
        <f>'BGS PTY15 Cost Alloc'!Y80</f>
        <v>474375</v>
      </c>
      <c r="Z80" s="50">
        <f>'BGS PTY15 Cost Alloc'!Z80</f>
        <v>5598</v>
      </c>
      <c r="AA80" s="55"/>
      <c r="AB80" s="13">
        <f t="shared" si="9"/>
        <v>138.0143450458196</v>
      </c>
      <c r="AC80" s="13">
        <f t="shared" si="10"/>
        <v>337.14589372368044</v>
      </c>
    </row>
    <row r="81" spans="1:29" x14ac:dyDescent="0.25">
      <c r="A81" s="22"/>
      <c r="B81" s="28" t="s">
        <v>3</v>
      </c>
      <c r="C81" s="67">
        <v>44.98</v>
      </c>
      <c r="D81" s="162">
        <f>ROUND(C81*$H$306,3)</f>
        <v>53.926000000000002</v>
      </c>
      <c r="E81" s="67">
        <v>32.628</v>
      </c>
      <c r="F81" s="162">
        <f>ROUND(E81*$H$306,3)</f>
        <v>39.118000000000002</v>
      </c>
      <c r="H81" s="177">
        <f>H79</f>
        <v>1.0787001131051976</v>
      </c>
      <c r="I81" s="177">
        <f>I79</f>
        <v>1.0640903022731527</v>
      </c>
      <c r="L81" s="139"/>
      <c r="N81" s="51"/>
      <c r="O81" s="52"/>
      <c r="P81" s="115" t="s">
        <v>26</v>
      </c>
      <c r="Q81" s="53"/>
      <c r="R81" s="53"/>
      <c r="S81" s="115" t="s">
        <v>26</v>
      </c>
      <c r="T81" s="53"/>
      <c r="U81" s="54"/>
      <c r="V81" s="55">
        <f t="shared" si="7"/>
        <v>-20984.873737399932</v>
      </c>
      <c r="W81" s="55">
        <f t="shared" si="8"/>
        <v>488789</v>
      </c>
      <c r="X81" s="50">
        <f>'BGS PTY15 Cost Alloc'!X81</f>
        <v>12352</v>
      </c>
      <c r="Y81" s="50">
        <f>'BGS PTY15 Cost Alloc'!Y81</f>
        <v>470876</v>
      </c>
      <c r="Z81" s="50">
        <f>'BGS PTY15 Cost Alloc'!Z81</f>
        <v>5561</v>
      </c>
      <c r="AA81" s="55"/>
      <c r="AB81" s="13">
        <f t="shared" si="9"/>
        <v>136.54033840580405</v>
      </c>
      <c r="AC81" s="13">
        <f t="shared" si="10"/>
        <v>331.263787856796</v>
      </c>
    </row>
    <row r="82" spans="1:29" x14ac:dyDescent="0.25">
      <c r="A82" s="22"/>
      <c r="B82" s="28" t="s">
        <v>4</v>
      </c>
      <c r="C82" s="67">
        <v>41.27</v>
      </c>
      <c r="D82" s="162">
        <f>ROUND(C82*$H$306,3)</f>
        <v>49.478999999999999</v>
      </c>
      <c r="E82" s="67">
        <v>29.937000000000001</v>
      </c>
      <c r="F82" s="162">
        <f>ROUND(E82*$H$306,3)</f>
        <v>35.890999999999998</v>
      </c>
      <c r="H82" s="177">
        <f>H79</f>
        <v>1.0787001131051976</v>
      </c>
      <c r="I82" s="177">
        <f>I79</f>
        <v>1.0640903022731527</v>
      </c>
      <c r="L82" s="139"/>
      <c r="N82" s="51"/>
      <c r="O82" s="52"/>
      <c r="P82" s="114" t="s">
        <v>147</v>
      </c>
      <c r="Q82" s="53">
        <f>Q72-Q61</f>
        <v>22914.639299999995</v>
      </c>
      <c r="R82" s="47"/>
      <c r="S82" s="114" t="s">
        <v>147</v>
      </c>
      <c r="T82" s="53">
        <f>T72-T61</f>
        <v>9335.2788999999939</v>
      </c>
      <c r="U82" s="48"/>
      <c r="V82" s="55">
        <f t="shared" si="7"/>
        <v>-24706.767082199978</v>
      </c>
      <c r="W82" s="55">
        <f t="shared" si="8"/>
        <v>485080</v>
      </c>
      <c r="X82" s="50">
        <f>'BGS PTY15 Cost Alloc'!X82</f>
        <v>12269</v>
      </c>
      <c r="Y82" s="50">
        <f>'BGS PTY15 Cost Alloc'!Y82</f>
        <v>467288</v>
      </c>
      <c r="Z82" s="50">
        <f>'BGS PTY15 Cost Alloc'!Z82</f>
        <v>5523</v>
      </c>
      <c r="AA82" s="55"/>
      <c r="AB82" s="13">
        <f t="shared" si="9"/>
        <v>135.0422117942436</v>
      </c>
      <c r="AC82" s="13">
        <f t="shared" si="10"/>
        <v>325.33102112355641</v>
      </c>
    </row>
    <row r="83" spans="1:29" x14ac:dyDescent="0.25">
      <c r="A83" s="22"/>
      <c r="B83" s="28" t="s">
        <v>5</v>
      </c>
      <c r="C83" s="67">
        <v>40.36</v>
      </c>
      <c r="D83" s="162">
        <f>ROUND(C83*$H$306,3)</f>
        <v>48.387999999999998</v>
      </c>
      <c r="E83" s="67">
        <v>29.276</v>
      </c>
      <c r="F83" s="162">
        <f>ROUND(E83*$H$306,3)</f>
        <v>35.098999999999997</v>
      </c>
      <c r="H83" s="177">
        <f>H79</f>
        <v>1.0787001131051976</v>
      </c>
      <c r="I83" s="177">
        <f>I79</f>
        <v>1.0640903022731527</v>
      </c>
      <c r="L83" s="139"/>
      <c r="N83" s="51"/>
      <c r="O83" s="52"/>
      <c r="P83" s="114" t="s">
        <v>150</v>
      </c>
      <c r="Q83" s="140">
        <f>Q82*(E117-E118)</f>
        <v>434509.25932130485</v>
      </c>
      <c r="R83" s="47"/>
      <c r="S83" s="114" t="s">
        <v>150</v>
      </c>
      <c r="T83" s="140">
        <f>T82*(H117-H118)</f>
        <v>171248.45803817071</v>
      </c>
      <c r="U83" s="48"/>
      <c r="V83" s="55">
        <f t="shared" si="7"/>
        <v>-28417.160838199896</v>
      </c>
      <c r="W83" s="55">
        <f t="shared" si="8"/>
        <v>481399</v>
      </c>
      <c r="X83" s="50">
        <f>'BGS PTY15 Cost Alloc'!X83</f>
        <v>12186</v>
      </c>
      <c r="Y83" s="50">
        <f>'BGS PTY15 Cost Alloc'!Y83</f>
        <v>463728</v>
      </c>
      <c r="Z83" s="50">
        <f>'BGS PTY15 Cost Alloc'!Z83</f>
        <v>5485</v>
      </c>
      <c r="AA83" s="55"/>
      <c r="AB83" s="13">
        <f t="shared" si="9"/>
        <v>133.55341892493956</v>
      </c>
      <c r="AC83" s="13">
        <f t="shared" si="10"/>
        <v>319.42842023686057</v>
      </c>
    </row>
    <row r="84" spans="1:29" x14ac:dyDescent="0.25">
      <c r="A84" s="22"/>
      <c r="B84" s="186" t="s">
        <v>6</v>
      </c>
      <c r="C84" s="227">
        <v>44.16</v>
      </c>
      <c r="D84" s="228">
        <f>ROUND(C84*$H$305,3)</f>
        <v>57.180999999999997</v>
      </c>
      <c r="E84" s="227">
        <v>27.492000000000001</v>
      </c>
      <c r="F84" s="229">
        <f>ROUND(E84*$H$305,3)</f>
        <v>35.597999999999999</v>
      </c>
      <c r="H84" s="128">
        <v>1.0718716485916355</v>
      </c>
      <c r="I84" s="129">
        <v>1.0592688404562014</v>
      </c>
      <c r="L84" s="139"/>
      <c r="N84" s="46"/>
      <c r="O84" s="47"/>
      <c r="P84" s="47"/>
      <c r="Q84" s="68"/>
      <c r="R84" s="47"/>
      <c r="S84" s="47"/>
      <c r="T84" s="68"/>
      <c r="U84" s="48"/>
      <c r="V84" s="55">
        <f t="shared" si="7"/>
        <v>-31896.916314200033</v>
      </c>
      <c r="W84" s="55">
        <f t="shared" si="8"/>
        <v>477863</v>
      </c>
      <c r="X84" s="50">
        <f>'BGS PTY15 Cost Alloc'!X84</f>
        <v>12106</v>
      </c>
      <c r="Y84" s="50">
        <f>'BGS PTY15 Cost Alloc'!Y84</f>
        <v>460308</v>
      </c>
      <c r="Z84" s="50">
        <f>'BGS PTY15 Cost Alloc'!Z84</f>
        <v>5449</v>
      </c>
      <c r="AA84" s="55"/>
      <c r="AB84" s="13">
        <f t="shared" si="9"/>
        <v>132.13332898732051</v>
      </c>
      <c r="AC84" s="13">
        <f t="shared" si="10"/>
        <v>313.83275469847945</v>
      </c>
    </row>
    <row r="85" spans="1:29" x14ac:dyDescent="0.25">
      <c r="A85" s="22"/>
      <c r="B85" s="190" t="s">
        <v>7</v>
      </c>
      <c r="C85" s="230">
        <v>59.16</v>
      </c>
      <c r="D85" s="231">
        <f>ROUND(C85*$H$305,3)</f>
        <v>76.602999999999994</v>
      </c>
      <c r="E85" s="230">
        <v>36.83</v>
      </c>
      <c r="F85" s="232">
        <f>ROUND(E85*$H$305,3)</f>
        <v>47.689</v>
      </c>
      <c r="H85" s="175">
        <f>H84</f>
        <v>1.0718716485916355</v>
      </c>
      <c r="I85" s="272">
        <f>I84</f>
        <v>1.0592688404562014</v>
      </c>
      <c r="L85" s="139"/>
      <c r="N85" s="51"/>
      <c r="O85" s="52"/>
      <c r="P85" s="116" t="s">
        <v>25</v>
      </c>
      <c r="Q85" s="68"/>
      <c r="R85" s="44"/>
      <c r="S85" s="116" t="s">
        <v>25</v>
      </c>
      <c r="T85" s="68"/>
      <c r="U85" s="45"/>
      <c r="V85" s="55">
        <f t="shared" si="7"/>
        <v>-35390.197571699973</v>
      </c>
      <c r="W85" s="55">
        <f t="shared" si="8"/>
        <v>474237</v>
      </c>
      <c r="X85" s="50">
        <f>'BGS PTY15 Cost Alloc'!X85</f>
        <v>12025</v>
      </c>
      <c r="Y85" s="50">
        <f>'BGS PTY15 Cost Alloc'!Y85</f>
        <v>456800</v>
      </c>
      <c r="Z85" s="50">
        <f>'BGS PTY15 Cost Alloc'!Z85</f>
        <v>5412</v>
      </c>
      <c r="AA85" s="55"/>
      <c r="AB85" s="13">
        <f t="shared" si="9"/>
        <v>130.68602787607966</v>
      </c>
      <c r="AC85" s="13">
        <f t="shared" si="10"/>
        <v>308.16077455222035</v>
      </c>
    </row>
    <row r="86" spans="1:29" x14ac:dyDescent="0.25">
      <c r="A86" s="22"/>
      <c r="B86" s="190" t="s">
        <v>8</v>
      </c>
      <c r="C86" s="230">
        <v>50.18</v>
      </c>
      <c r="D86" s="231">
        <f>ROUND(C86*$H$305,3)</f>
        <v>64.975999999999999</v>
      </c>
      <c r="E86" s="230">
        <v>31.24</v>
      </c>
      <c r="F86" s="232">
        <f>ROUND(E86*$H$305,3)</f>
        <v>40.451000000000001</v>
      </c>
      <c r="H86" s="175">
        <f>H84</f>
        <v>1.0718716485916355</v>
      </c>
      <c r="I86" s="272">
        <f>I84</f>
        <v>1.0592688404562014</v>
      </c>
      <c r="L86" s="139"/>
      <c r="N86" s="51"/>
      <c r="O86" s="52"/>
      <c r="P86" s="114" t="s">
        <v>147</v>
      </c>
      <c r="Q86" s="53">
        <f>Q76-Q65</f>
        <v>9303.0054999999993</v>
      </c>
      <c r="R86" s="47"/>
      <c r="S86" s="114" t="s">
        <v>147</v>
      </c>
      <c r="T86" s="53">
        <f>T76-T65</f>
        <v>4147.1208000000024</v>
      </c>
      <c r="U86" s="48"/>
      <c r="V86" s="55">
        <f t="shared" si="7"/>
        <v>-38791.823689900048</v>
      </c>
      <c r="W86" s="55">
        <f t="shared" si="8"/>
        <v>470754</v>
      </c>
      <c r="X86" s="50">
        <f>'BGS PTY15 Cost Alloc'!X86</f>
        <v>11946</v>
      </c>
      <c r="Y86" s="50">
        <f>'BGS PTY15 Cost Alloc'!Y86</f>
        <v>453432</v>
      </c>
      <c r="Z86" s="50">
        <f>'BGS PTY15 Cost Alloc'!Z86</f>
        <v>5376</v>
      </c>
      <c r="AA86" s="55"/>
      <c r="AB86" s="13">
        <f t="shared" si="9"/>
        <v>129.29031517427927</v>
      </c>
      <c r="AC86" s="13">
        <f t="shared" si="10"/>
        <v>302.67186113582068</v>
      </c>
    </row>
    <row r="87" spans="1:29" x14ac:dyDescent="0.25">
      <c r="A87" s="22"/>
      <c r="B87" s="193" t="s">
        <v>9</v>
      </c>
      <c r="C87" s="233">
        <v>39.18</v>
      </c>
      <c r="D87" s="234">
        <f>ROUND(C87*$H$305,3)</f>
        <v>50.731999999999999</v>
      </c>
      <c r="E87" s="233">
        <v>24.391999999999999</v>
      </c>
      <c r="F87" s="235">
        <f>ROUND(E87*$H$305,3)</f>
        <v>31.584</v>
      </c>
      <c r="H87" s="176">
        <f>H84</f>
        <v>1.0718716485916355</v>
      </c>
      <c r="I87" s="273">
        <f>I84</f>
        <v>1.0592688404562014</v>
      </c>
      <c r="L87" s="139"/>
      <c r="N87" s="64"/>
      <c r="O87" s="65"/>
      <c r="P87" s="117" t="s">
        <v>150</v>
      </c>
      <c r="Q87" s="141">
        <f>Q86*(E113-E114)</f>
        <v>274819.57916565542</v>
      </c>
      <c r="R87" s="58"/>
      <c r="S87" s="117" t="s">
        <v>150</v>
      </c>
      <c r="T87" s="141">
        <f>T86*(H113-H114)</f>
        <v>123282.2857191004</v>
      </c>
      <c r="U87" s="59"/>
      <c r="AA87" s="55"/>
    </row>
    <row r="88" spans="1:29" x14ac:dyDescent="0.25">
      <c r="A88" s="22"/>
      <c r="B88" s="28" t="s">
        <v>10</v>
      </c>
      <c r="C88" s="67">
        <v>37.01</v>
      </c>
      <c r="D88" s="162">
        <f>ROUND(C88*$H$306,3)</f>
        <v>44.371000000000002</v>
      </c>
      <c r="E88" s="67">
        <v>26.846</v>
      </c>
      <c r="F88" s="162">
        <f>ROUND(E88*$H$306,3)</f>
        <v>32.186</v>
      </c>
      <c r="H88" s="177">
        <f>H79</f>
        <v>1.0787001131051976</v>
      </c>
      <c r="I88" s="177">
        <f>I79</f>
        <v>1.0640903022731527</v>
      </c>
      <c r="L88" s="139"/>
    </row>
    <row r="89" spans="1:29" x14ac:dyDescent="0.25">
      <c r="A89" s="22"/>
      <c r="B89" s="28" t="s">
        <v>11</v>
      </c>
      <c r="C89" s="67">
        <v>37.57</v>
      </c>
      <c r="D89" s="162">
        <f>ROUND(C89*$H$306,3)</f>
        <v>45.042999999999999</v>
      </c>
      <c r="E89" s="67">
        <v>27.253</v>
      </c>
      <c r="F89" s="162">
        <f>ROUND(E89*$H$306,3)</f>
        <v>32.673999999999999</v>
      </c>
      <c r="H89" s="177">
        <f>H79</f>
        <v>1.0787001131051976</v>
      </c>
      <c r="I89" s="177">
        <f>I79</f>
        <v>1.0640903022731527</v>
      </c>
      <c r="L89" s="139"/>
    </row>
    <row r="90" spans="1:29" x14ac:dyDescent="0.25">
      <c r="A90" s="22"/>
      <c r="B90" s="28" t="s">
        <v>12</v>
      </c>
      <c r="C90" s="67">
        <v>41.6</v>
      </c>
      <c r="D90" s="162">
        <f>ROUND(C90*$H$306,3)</f>
        <v>49.874000000000002</v>
      </c>
      <c r="E90" s="67">
        <v>30.175999999999998</v>
      </c>
      <c r="F90" s="162">
        <f>ROUND(E90*$H$306,3)</f>
        <v>36.177999999999997</v>
      </c>
      <c r="G90" s="70"/>
      <c r="H90" s="177">
        <f>H79</f>
        <v>1.0787001131051976</v>
      </c>
      <c r="I90" s="177">
        <f>I79</f>
        <v>1.0640903022731527</v>
      </c>
      <c r="L90" s="139"/>
    </row>
    <row r="91" spans="1:29" x14ac:dyDescent="0.25">
      <c r="A91" s="22"/>
      <c r="B91" s="28"/>
      <c r="C91" s="69"/>
      <c r="D91" s="69"/>
      <c r="G91" s="70"/>
      <c r="K91" s="70"/>
      <c r="X91" s="13" t="s">
        <v>210</v>
      </c>
    </row>
    <row r="92" spans="1:29" x14ac:dyDescent="0.25">
      <c r="A92" s="18" t="s">
        <v>33</v>
      </c>
      <c r="B92" s="37" t="s">
        <v>22</v>
      </c>
      <c r="C92" s="26"/>
      <c r="D92" s="26"/>
      <c r="E92" s="26" t="str">
        <f>+E$13</f>
        <v>RT{1}</v>
      </c>
      <c r="F92" s="26" t="str">
        <f>+F$13</f>
        <v>RS{2}</v>
      </c>
      <c r="G92" s="26" t="str">
        <f>+G$13</f>
        <v>GS{3}</v>
      </c>
      <c r="H92" s="26" t="str">
        <f>+H$58</f>
        <v>GST {4}</v>
      </c>
      <c r="I92" s="26" t="str">
        <f>+I$13</f>
        <v>OL/SL</v>
      </c>
      <c r="J92" s="26"/>
      <c r="K92" s="26"/>
      <c r="L92" s="26"/>
      <c r="M92" s="26"/>
      <c r="X92" s="13" t="s">
        <v>205</v>
      </c>
      <c r="Y92" s="71" t="s">
        <v>13</v>
      </c>
      <c r="Z92" s="71" t="s">
        <v>13</v>
      </c>
      <c r="AA92" s="71" t="s">
        <v>207</v>
      </c>
    </row>
    <row r="93" spans="1:29" x14ac:dyDescent="0.25">
      <c r="A93" s="22"/>
      <c r="C93" s="71"/>
      <c r="D93" s="71"/>
      <c r="E93" s="71"/>
      <c r="F93" s="71"/>
      <c r="X93" s="133" t="s">
        <v>206</v>
      </c>
      <c r="Y93" s="38" t="s">
        <v>207</v>
      </c>
      <c r="Z93" s="38" t="s">
        <v>208</v>
      </c>
      <c r="AA93" s="38" t="s">
        <v>209</v>
      </c>
    </row>
    <row r="94" spans="1:29" x14ac:dyDescent="0.25">
      <c r="A94" s="22"/>
      <c r="B94" s="28" t="s">
        <v>23</v>
      </c>
      <c r="C94" s="72"/>
      <c r="D94" s="72"/>
      <c r="E94" s="154">
        <f>'BGS PTY15 Cost Alloc'!E94</f>
        <v>0.105545</v>
      </c>
      <c r="F94" s="154">
        <f>'BGS PTY15 Cost Alloc'!F94</f>
        <v>0.105545</v>
      </c>
      <c r="G94" s="154">
        <f>'BGS PTY15 Cost Alloc'!G94</f>
        <v>0.105545</v>
      </c>
      <c r="H94" s="154">
        <f>'BGS PTY15 Cost Alloc'!H94</f>
        <v>0.105545</v>
      </c>
      <c r="I94" s="154">
        <f>'BGS PTY15 Cost Alloc'!I94</f>
        <v>0.105545</v>
      </c>
      <c r="J94" s="72"/>
      <c r="K94" s="72"/>
      <c r="L94" s="72"/>
      <c r="M94" s="72"/>
      <c r="W94" s="13" t="s">
        <v>181</v>
      </c>
      <c r="X94" s="13">
        <v>4</v>
      </c>
      <c r="Y94" s="13">
        <f>X94*365*5/7</f>
        <v>1042.8571428571429</v>
      </c>
      <c r="Z94" s="13">
        <f>365*24</f>
        <v>8760</v>
      </c>
      <c r="AA94" s="13">
        <f>Y94/Z94</f>
        <v>0.11904761904761905</v>
      </c>
    </row>
    <row r="95" spans="1:29" x14ac:dyDescent="0.25">
      <c r="A95" s="22"/>
      <c r="B95" s="13" t="s">
        <v>20</v>
      </c>
      <c r="C95" s="73"/>
      <c r="D95" s="73"/>
      <c r="E95" s="73">
        <f>1/(1-E94)</f>
        <v>1.1179992285805322</v>
      </c>
      <c r="F95" s="73">
        <f>1/(1-F94)</f>
        <v>1.1179992285805322</v>
      </c>
      <c r="G95" s="73">
        <f>1/(1-G94)</f>
        <v>1.1179992285805322</v>
      </c>
      <c r="H95" s="73">
        <f>1/(1-H94)</f>
        <v>1.1179992285805322</v>
      </c>
      <c r="I95" s="73">
        <f>1/(1-I94)</f>
        <v>1.1179992285805322</v>
      </c>
      <c r="J95" s="73"/>
      <c r="K95" s="73"/>
      <c r="L95" s="73"/>
      <c r="M95" s="73"/>
      <c r="W95" s="13" t="s">
        <v>204</v>
      </c>
      <c r="X95" s="13">
        <f>(9*23+10*29)/52</f>
        <v>9.5576923076923084</v>
      </c>
      <c r="Y95" s="13">
        <f>X95*365*5/7</f>
        <v>2491.8269230769229</v>
      </c>
      <c r="Z95" s="13">
        <f>365*24</f>
        <v>8760</v>
      </c>
      <c r="AA95" s="13">
        <f>Y95/Z95</f>
        <v>0.28445512820512819</v>
      </c>
    </row>
    <row r="96" spans="1:29" x14ac:dyDescent="0.25">
      <c r="A96" s="22"/>
      <c r="C96" s="73"/>
      <c r="D96" s="73"/>
      <c r="E96" s="73"/>
      <c r="F96" s="73"/>
      <c r="G96" s="73"/>
      <c r="H96" s="73"/>
      <c r="I96" s="73"/>
      <c r="J96" s="73"/>
      <c r="K96" s="73"/>
      <c r="L96" s="73"/>
      <c r="M96" s="73"/>
    </row>
    <row r="97" spans="1:22" x14ac:dyDescent="0.25">
      <c r="A97" s="22"/>
      <c r="B97" s="241" t="s">
        <v>267</v>
      </c>
      <c r="C97" s="246"/>
      <c r="D97" s="246"/>
      <c r="E97" s="250">
        <v>9.6174999999999997E-2</v>
      </c>
      <c r="F97" s="250">
        <v>9.6174999999999997E-2</v>
      </c>
      <c r="G97" s="250">
        <v>9.6174999999999997E-2</v>
      </c>
      <c r="H97" s="250">
        <v>9.6174999999999997E-2</v>
      </c>
      <c r="I97" s="250">
        <v>9.6174999999999997E-2</v>
      </c>
      <c r="J97" s="73"/>
      <c r="K97" s="73"/>
      <c r="L97" s="73"/>
      <c r="M97" s="73"/>
    </row>
    <row r="98" spans="1:22" x14ac:dyDescent="0.25">
      <c r="A98" s="22"/>
      <c r="B98" s="241" t="s">
        <v>266</v>
      </c>
      <c r="C98" s="246"/>
      <c r="D98" s="246"/>
      <c r="E98" s="246">
        <v>1.1064088926520721</v>
      </c>
      <c r="F98" s="246">
        <v>1.1064088926520721</v>
      </c>
      <c r="G98" s="246">
        <v>1.1064088926520721</v>
      </c>
      <c r="H98" s="246">
        <v>1.1064088926520721</v>
      </c>
      <c r="I98" s="246">
        <v>1.1064088926520721</v>
      </c>
      <c r="J98" s="73"/>
      <c r="K98" s="73"/>
      <c r="L98" s="73"/>
      <c r="M98" s="47"/>
      <c r="N98" s="47"/>
      <c r="O98" s="47"/>
      <c r="P98" s="47"/>
      <c r="Q98" s="158"/>
      <c r="R98" s="158"/>
      <c r="S98" s="158"/>
      <c r="T98" s="53"/>
      <c r="U98" s="47"/>
      <c r="V98" s="47"/>
    </row>
    <row r="99" spans="1:22" x14ac:dyDescent="0.25">
      <c r="A99" s="22"/>
      <c r="C99" s="73"/>
      <c r="D99" s="73"/>
      <c r="E99" s="73" t="s">
        <v>255</v>
      </c>
      <c r="F99" s="73"/>
      <c r="G99" s="73"/>
      <c r="H99" s="73"/>
      <c r="I99" s="73"/>
      <c r="J99" s="73"/>
      <c r="K99" s="73"/>
      <c r="L99" s="73"/>
      <c r="M99" s="47"/>
      <c r="N99" s="47"/>
      <c r="O99" s="47"/>
      <c r="P99" s="47"/>
      <c r="Q99" s="158"/>
      <c r="R99" s="158"/>
      <c r="S99" s="158"/>
      <c r="T99" s="53"/>
      <c r="U99" s="47"/>
      <c r="V99" s="47"/>
    </row>
    <row r="100" spans="1:22" x14ac:dyDescent="0.25">
      <c r="A100" s="22"/>
      <c r="C100" s="73"/>
      <c r="D100" s="73"/>
      <c r="E100" s="73"/>
      <c r="F100" s="73"/>
      <c r="G100" s="73"/>
      <c r="H100" s="73"/>
      <c r="I100" s="73"/>
      <c r="J100" s="73"/>
      <c r="K100" s="73"/>
      <c r="L100" s="73"/>
      <c r="M100" s="47"/>
      <c r="N100" s="47"/>
      <c r="O100" s="47"/>
      <c r="P100" s="47"/>
      <c r="Q100" s="47"/>
      <c r="R100" s="47"/>
      <c r="S100" s="47"/>
      <c r="T100" s="47"/>
      <c r="U100" s="47"/>
      <c r="V100" s="47"/>
    </row>
    <row r="101" spans="1:22" x14ac:dyDescent="0.25">
      <c r="A101" s="22"/>
      <c r="B101" s="36" t="s">
        <v>286</v>
      </c>
      <c r="C101" s="73"/>
      <c r="D101" s="73"/>
      <c r="E101" s="73"/>
      <c r="F101" s="73"/>
      <c r="G101" s="73"/>
      <c r="H101" s="73"/>
      <c r="I101" s="73"/>
      <c r="J101" s="73"/>
      <c r="K101" s="73"/>
      <c r="L101" s="73"/>
      <c r="M101" s="47"/>
      <c r="N101" s="47"/>
      <c r="O101" s="47"/>
      <c r="P101" s="47"/>
      <c r="Q101" s="47"/>
      <c r="R101" s="47"/>
      <c r="S101" s="47"/>
      <c r="T101" s="47"/>
      <c r="U101" s="47"/>
      <c r="V101" s="47"/>
    </row>
    <row r="102" spans="1:22" x14ac:dyDescent="0.25">
      <c r="A102" s="22"/>
      <c r="B102" s="36" t="str">
        <f>'BGS PTY15 Cost Alloc'!$B$102</f>
        <v xml:space="preserve"> </v>
      </c>
      <c r="M102" s="47"/>
      <c r="N102" s="47"/>
      <c r="O102" s="47"/>
      <c r="P102" s="47"/>
      <c r="Q102" s="47"/>
      <c r="R102" s="47"/>
      <c r="S102" s="47"/>
      <c r="T102" s="47"/>
      <c r="U102" s="47"/>
      <c r="V102" s="47"/>
    </row>
    <row r="103" spans="1:22" ht="15.6" x14ac:dyDescent="0.3">
      <c r="A103" s="22"/>
      <c r="B103" s="519" t="str">
        <f>$B$1</f>
        <v xml:space="preserve">Jersey Central Power &amp; Light </v>
      </c>
      <c r="C103" s="519"/>
      <c r="D103" s="519"/>
      <c r="E103" s="519"/>
      <c r="F103" s="519"/>
      <c r="G103" s="519"/>
      <c r="H103" s="519"/>
      <c r="I103" s="519"/>
      <c r="J103" s="519"/>
      <c r="K103" s="519"/>
      <c r="L103" s="519"/>
      <c r="M103" s="47"/>
      <c r="N103" s="47"/>
      <c r="O103" s="47"/>
      <c r="P103" s="47"/>
      <c r="Q103" s="47"/>
      <c r="R103" s="47"/>
      <c r="S103" s="47"/>
      <c r="T103" s="47"/>
      <c r="U103" s="47"/>
      <c r="V103" s="47"/>
    </row>
    <row r="104" spans="1:22" ht="15.6" x14ac:dyDescent="0.3">
      <c r="A104" s="22"/>
      <c r="B104" s="519" t="str">
        <f>$B$2</f>
        <v>Attachment 2</v>
      </c>
      <c r="C104" s="519"/>
      <c r="D104" s="519"/>
      <c r="E104" s="519"/>
      <c r="F104" s="519"/>
      <c r="G104" s="519"/>
      <c r="H104" s="519"/>
      <c r="I104" s="519"/>
      <c r="J104" s="519"/>
      <c r="K104" s="519"/>
      <c r="L104" s="519"/>
      <c r="M104" s="47"/>
      <c r="N104" s="47"/>
      <c r="O104" s="47"/>
      <c r="P104" s="47"/>
      <c r="Q104" s="47"/>
      <c r="R104" s="47"/>
      <c r="S104" s="47"/>
      <c r="T104" s="47"/>
      <c r="U104" s="47"/>
      <c r="V104" s="47"/>
    </row>
    <row r="105" spans="1:22" x14ac:dyDescent="0.25">
      <c r="A105" s="22"/>
      <c r="M105" s="47"/>
      <c r="N105" s="47"/>
      <c r="O105" s="47"/>
      <c r="P105" s="47"/>
      <c r="Q105" s="47"/>
      <c r="R105" s="47"/>
      <c r="S105" s="47"/>
      <c r="T105" s="47"/>
      <c r="U105" s="47"/>
      <c r="V105" s="47"/>
    </row>
    <row r="106" spans="1:22" x14ac:dyDescent="0.25">
      <c r="A106" s="22"/>
      <c r="M106" s="47"/>
      <c r="N106" s="47"/>
      <c r="O106" s="47"/>
      <c r="P106" s="47"/>
      <c r="Q106" s="47"/>
      <c r="R106" s="47"/>
      <c r="S106" s="47"/>
      <c r="T106" s="47"/>
      <c r="U106" s="47"/>
      <c r="V106" s="47"/>
    </row>
    <row r="107" spans="1:22" x14ac:dyDescent="0.25">
      <c r="A107" s="18" t="s">
        <v>34</v>
      </c>
      <c r="B107" s="16" t="s">
        <v>51</v>
      </c>
      <c r="M107" s="47"/>
      <c r="N107" s="47"/>
      <c r="O107" s="47"/>
      <c r="P107" s="47"/>
      <c r="Q107" s="47"/>
      <c r="R107" s="47"/>
      <c r="S107" s="47"/>
      <c r="T107" s="47"/>
      <c r="U107" s="47"/>
      <c r="V107" s="47"/>
    </row>
    <row r="108" spans="1:22" x14ac:dyDescent="0.25">
      <c r="A108" s="22"/>
      <c r="B108" s="17" t="s">
        <v>171</v>
      </c>
      <c r="M108" s="47"/>
      <c r="N108" s="47"/>
      <c r="O108" s="47"/>
      <c r="P108" s="47"/>
      <c r="Q108" s="47"/>
      <c r="R108" s="47"/>
      <c r="S108" s="477"/>
      <c r="T108" s="47"/>
      <c r="U108" s="47"/>
      <c r="V108" s="47"/>
    </row>
    <row r="109" spans="1:22" x14ac:dyDescent="0.25">
      <c r="A109" s="22"/>
      <c r="B109" s="17" t="s">
        <v>21</v>
      </c>
      <c r="M109" s="47"/>
      <c r="N109" s="47"/>
      <c r="O109" s="47"/>
      <c r="P109" s="47"/>
      <c r="Q109" s="47"/>
      <c r="R109" s="47"/>
      <c r="S109" s="467"/>
      <c r="T109" s="47"/>
      <c r="U109" s="47"/>
      <c r="V109" s="47"/>
    </row>
    <row r="110" spans="1:22" x14ac:dyDescent="0.25">
      <c r="A110" s="22"/>
      <c r="B110" s="16"/>
      <c r="C110" s="26"/>
      <c r="D110" s="26"/>
      <c r="E110" s="26" t="str">
        <f>+E$13</f>
        <v>RT{1}</v>
      </c>
      <c r="F110" s="26" t="str">
        <f>+F$13</f>
        <v>RS{2}</v>
      </c>
      <c r="G110" s="26" t="str">
        <f>+G$13</f>
        <v>GS{3}</v>
      </c>
      <c r="H110" s="26" t="str">
        <f>+H$58</f>
        <v>GST {4}</v>
      </c>
      <c r="I110" s="26" t="str">
        <f>+I$13</f>
        <v>OL/SL</v>
      </c>
      <c r="J110" s="26"/>
      <c r="K110" s="26"/>
      <c r="L110" s="26"/>
      <c r="M110" s="44"/>
      <c r="N110" s="478"/>
      <c r="O110" s="47"/>
      <c r="P110" s="131"/>
      <c r="Q110" s="47"/>
      <c r="R110" s="47"/>
      <c r="S110" s="47"/>
      <c r="T110" s="47"/>
      <c r="U110" s="47"/>
      <c r="V110" s="47"/>
    </row>
    <row r="111" spans="1:22" x14ac:dyDescent="0.25">
      <c r="A111" s="22"/>
      <c r="M111" s="47"/>
      <c r="N111" s="47"/>
      <c r="O111" s="47"/>
      <c r="P111" s="47"/>
      <c r="Q111" s="47"/>
      <c r="R111" s="114"/>
      <c r="S111" s="479"/>
      <c r="T111" s="47"/>
      <c r="U111" s="47"/>
      <c r="V111" s="47"/>
    </row>
    <row r="112" spans="1:22" x14ac:dyDescent="0.25">
      <c r="A112" s="22"/>
      <c r="B112" s="28" t="s">
        <v>17</v>
      </c>
      <c r="C112" s="74"/>
      <c r="D112" s="74"/>
      <c r="E112" s="75">
        <f>(SUMPRODUCT(E20:E23,E65:E68,$D84:$D87,$H84:$H87)*E95+SUMPRODUCT(Q20:Q23,E65:E68,$F84:$F87,$I84:$I87)*E95)/SUM(E65:E68)</f>
        <v>61.332422546166036</v>
      </c>
      <c r="F112" s="75">
        <f>(SUMPRODUCT(F20:F23,F65:F68,$D84:$D87,$H84:$H87)*F95+SUMPRODUCT(R20:R23,F65:F68,$F84:$F87,$I84:$I87)*F95)/SUM(F65:F68)</f>
        <v>61.551495291532788</v>
      </c>
      <c r="G112" s="75">
        <f>(SUMPRODUCT(G20:G23,G65:G68,$D84:$D87,$H84:$H87)*G95+SUMPRODUCT(S20:S23,G65:G68,$F84:$F87,$I84:$I87)*G95)/SUM(G65:G68)</f>
        <v>63.24552584027262</v>
      </c>
      <c r="H112" s="75">
        <f>(SUMPRODUCT(H20:H23,H65:H68,$D84:$D87,$H84:$H87)*H95+SUMPRODUCT(T20:T23,H65:H68,$F84:$F87,$I84:$I87)*H95)/SUM(H65:H68)</f>
        <v>64.484066782859955</v>
      </c>
      <c r="I112" s="75">
        <f>(SUMPRODUCT(I20:I23,I65:I68,$D84:$D87,$H84:$H87)*I95+SUMPRODUCT(U20:U23,I65:I68,$F84:$F87,$I84:$I87)*I95)/SUM(I65:I68)</f>
        <v>52.934232357670112</v>
      </c>
      <c r="J112" s="76"/>
      <c r="K112" s="74"/>
      <c r="L112" s="74"/>
      <c r="M112" s="480"/>
      <c r="N112" s="47"/>
      <c r="O112" s="47"/>
      <c r="P112" s="47"/>
      <c r="Q112" s="47"/>
      <c r="R112" s="47"/>
      <c r="S112" s="47"/>
      <c r="T112" s="47"/>
      <c r="U112" s="47"/>
      <c r="V112" s="47"/>
    </row>
    <row r="113" spans="1:22" x14ac:dyDescent="0.25">
      <c r="A113" s="22"/>
      <c r="B113" s="77" t="s">
        <v>41</v>
      </c>
      <c r="C113" s="74"/>
      <c r="D113" s="74"/>
      <c r="E113" s="75">
        <f>(SUMPRODUCT(E20:E23,E65:E68,$D84:$D87,$H84:$H87)*E95)/SUMPRODUCT(E20:E23,E65:E68)</f>
        <v>75.702462485760933</v>
      </c>
      <c r="F113" s="75">
        <f>(SUMPRODUCT(F20:F23,F65:F68,$D84:$D87,$H84:$H87)*F95)/SUMPRODUCT(F20:F23,F65:F68)</f>
        <v>75.816494541940628</v>
      </c>
      <c r="G113" s="75">
        <f>(SUMPRODUCT(G20:G23,G65:G68,$D84:$D87,$H84:$H87)*G95)/SUMPRODUCT(G20:G23,G65:G68)</f>
        <v>75.169525391744656</v>
      </c>
      <c r="H113" s="75">
        <f>(SUMPRODUCT(H20:H23,H65:H68,$D84:$D87,$H84:$H87)*H95)/SUMPRODUCT(H20:H23,H65:H68)</f>
        <v>76.840656368076651</v>
      </c>
      <c r="I113" s="75">
        <f>(SUMPRODUCT(I20:I23,I65:I68,$D84:$D87,$H84:$H87)*I95)/SUMPRODUCT(I20:I23,I65:I68)</f>
        <v>74.429817186110554</v>
      </c>
      <c r="J113" s="76"/>
      <c r="K113" s="74"/>
      <c r="L113" s="74"/>
      <c r="M113" s="480"/>
      <c r="N113" s="47"/>
      <c r="O113" s="47"/>
      <c r="P113" s="47"/>
      <c r="Q113" s="47"/>
      <c r="R113" s="47"/>
      <c r="S113" s="484"/>
      <c r="T113" s="47"/>
      <c r="U113" s="47"/>
      <c r="V113" s="47"/>
    </row>
    <row r="114" spans="1:22" x14ac:dyDescent="0.25">
      <c r="A114" s="22"/>
      <c r="B114" s="77" t="s">
        <v>42</v>
      </c>
      <c r="C114" s="74"/>
      <c r="D114" s="74"/>
      <c r="E114" s="75">
        <f>(SUMPRODUCT(Q20:Q23,E65:E68,$F84:$F87,$I84:$I87)*E95)/SUMPRODUCT(Q20:Q23,E65:E68)</f>
        <v>46.161516910091279</v>
      </c>
      <c r="F114" s="75">
        <f>(SUMPRODUCT(R20:R23,F65:F68,$F84:$F87,$I84:$I87)*F95)/SUMPRODUCT(R20:R23,F65:F68)</f>
        <v>46.328669477986644</v>
      </c>
      <c r="G114" s="75">
        <f>(SUMPRODUCT(S20:S23,G65:G68,$F84:$F87,$I84:$I87)*G95)/SUMPRODUCT(S20:S23,G65:G68)</f>
        <v>46.142338337072637</v>
      </c>
      <c r="H114" s="75">
        <f>(SUMPRODUCT(T20:T23,H65:H68,$F84:$F87,$I84:$I87)*H95)/SUMPRODUCT(T20:T23,H65:H68)</f>
        <v>47.113457266690375</v>
      </c>
      <c r="I114" s="75">
        <f>(SUMPRODUCT(U20:U23,I65:I68,$F84:$F87,$I84:$I87)*I95)/SUMPRODUCT(U20:U23,I65:I68)</f>
        <v>46.04938072037659</v>
      </c>
      <c r="J114" s="76"/>
      <c r="K114" s="74"/>
      <c r="L114" s="74"/>
      <c r="M114" s="44"/>
      <c r="N114" s="478"/>
      <c r="O114" s="47"/>
      <c r="P114" s="131"/>
      <c r="Q114" s="47"/>
      <c r="R114" s="47"/>
      <c r="S114" s="47"/>
      <c r="T114" s="47"/>
      <c r="U114" s="47"/>
      <c r="V114" s="47"/>
    </row>
    <row r="115" spans="1:22" x14ac:dyDescent="0.25">
      <c r="A115" s="22"/>
      <c r="C115" s="142"/>
      <c r="D115" s="142"/>
      <c r="E115" s="143"/>
      <c r="F115" s="143"/>
      <c r="G115" s="143"/>
      <c r="H115" s="143"/>
      <c r="I115" s="143"/>
      <c r="J115" s="76"/>
      <c r="K115" s="142"/>
      <c r="L115" s="142"/>
      <c r="M115" s="47"/>
      <c r="N115" s="47"/>
      <c r="O115" s="47"/>
      <c r="P115" s="47"/>
      <c r="Q115" s="47"/>
      <c r="R115" s="114"/>
      <c r="S115" s="479"/>
      <c r="T115" s="47"/>
      <c r="U115" s="47"/>
      <c r="V115" s="47"/>
    </row>
    <row r="116" spans="1:22" x14ac:dyDescent="0.25">
      <c r="A116" s="22"/>
      <c r="B116" s="28" t="s">
        <v>18</v>
      </c>
      <c r="C116" s="74"/>
      <c r="D116" s="74"/>
      <c r="E116" s="75">
        <f>(SUMPRODUCT(E15:E19,E60:E64,$D79:$D83,$H79:$H83)*E95+SUMPRODUCT(Q15:Q19,E60:E64,$F79:$F83,$I79:$I83)*E95+SUMPRODUCT(E24:E26,E69:E71,$D88:$D90,$H88:$H90)*E95+SUMPRODUCT(Q24:Q26,E69:E71,$F88:$F90,$I88:$I90)*E95)/SUM(E60:E64,E69:E71)</f>
        <v>56.658684903707652</v>
      </c>
      <c r="F116" s="75">
        <f>(SUMPRODUCT(F15:F19,F60:F64,$D79:$D83,$H79:$H83)*F95+SUMPRODUCT(R15:R19,F60:F64,$F79:$F83,$I79:$I83)*F95+SUMPRODUCT(F24:F26,F69:F71,$D88:$D90,$H88:$H90)*F95+SUMPRODUCT(R24:R26,F69:F71,$F88:$F90,$I88:$I90)*F95)/SUM(F60:F64,F69:F71)</f>
        <v>56.079525225514381</v>
      </c>
      <c r="G116" s="75">
        <f>(SUMPRODUCT(G15:G19,G60:G64,$D79:$D83,$H79:$H83)*G95+SUMPRODUCT(S15:S19,G60:G64,$F79:$F83,$I79:$I83)*G95+SUMPRODUCT(G24:G26,G69:G71,$D88:$D90,$H88:$H90)*G95+SUMPRODUCT(S24:S26,G69:G71,$F88:$F90,$I88:$I90)*G95)/SUM(G60:G64,G69:G71)</f>
        <v>57.116252986572668</v>
      </c>
      <c r="H116" s="75">
        <f>(SUMPRODUCT(H15:H19,H60:H64,$D79:$D83,$H79:$H83)*H95+SUMPRODUCT(T15:T19,H60:H64,$F79:$F83,$I79:$I83)*H95+SUMPRODUCT(H24:H26,H69:H71,$D88:$D90,$H88:$H90)*H95+SUMPRODUCT(T24:T26,H69:H71,$F88:$F90,$I88:$I90)*H95)/SUM(H60:H64,H69:H71)</f>
        <v>57.408058425034902</v>
      </c>
      <c r="I116" s="75">
        <f>(SUMPRODUCT(I15:I19,I60:I64,$D79:$D83,$H79:$H83)*I95+SUMPRODUCT(U15:U19,I60:I64,$F79:$F83,$I79:$I83)*I95+SUMPRODUCT(I24:I26,I69:I71,$D88:$D90,$H88:$H90)*I95+SUMPRODUCT(U24:U26,I69:I71,$F88:$F90,$I88:$I90)*I95)/SUM(I60:I64,I69:I71)</f>
        <v>51.379328356062125</v>
      </c>
      <c r="J116" s="76"/>
      <c r="K116" s="74"/>
      <c r="L116" s="74"/>
      <c r="M116" s="481"/>
      <c r="N116" s="47"/>
      <c r="O116" s="47"/>
      <c r="P116" s="47"/>
      <c r="Q116" s="47"/>
      <c r="R116" s="47"/>
      <c r="S116" s="47"/>
      <c r="T116" s="47"/>
      <c r="U116" s="47"/>
      <c r="V116" s="47"/>
    </row>
    <row r="117" spans="1:22" x14ac:dyDescent="0.25">
      <c r="A117" s="22"/>
      <c r="B117" s="77" t="s">
        <v>41</v>
      </c>
      <c r="C117" s="74"/>
      <c r="D117" s="74"/>
      <c r="E117" s="75">
        <f>(SUMPRODUCT(E15:E19,E60:E64,$D79:$D83,$H79:$H83)*E95+SUMPRODUCT(E24:E26,E69:E71,$D88:$D90,$H88:$H90)*E95)/(SUMPRODUCT(E15:E19,E60:E64)+SUMPRODUCT(E24:E26,E69:E71))</f>
        <v>66.435779810173003</v>
      </c>
      <c r="F117" s="75">
        <f>(SUMPRODUCT(F15:F19,F60:F64,$D79:$D83,$H79:$H83)*F95+SUMPRODUCT(F24:F26,F69:F71,$D88:$D90,$H88:$H90)*F95)/(SUMPRODUCT(F15:F19,F60:F64)+SUMPRODUCT(F24:F26,F69:F71))</f>
        <v>65.334563405060806</v>
      </c>
      <c r="G117" s="75">
        <f>(SUMPRODUCT(G15:G19,G60:G64,$D79:$D83,$H79:$H83)*G95+SUMPRODUCT(G24:G26,G69:G71,$D88:$D90,$H88:$H90)*G95)/(SUMPRODUCT(G15:G19,G60:G64)+SUMPRODUCT(G24:G26,G69:G71))</f>
        <v>64.652128285013475</v>
      </c>
      <c r="H117" s="75">
        <f>(SUMPRODUCT(H15:H19,H60:H64,$D79:$D83,$H79:$H83)*H95+SUMPRODUCT(H24:H26,H69:H71,$D88:$D90,$H88:$H90)*H95)/(SUMPRODUCT(H15:H19,H60:H64)+SUMPRODUCT(H24:H26,H69:H71))</f>
        <v>65.412115402131406</v>
      </c>
      <c r="I117" s="75">
        <f>(SUMPRODUCT(I15:I19,I60:I64,$D79:$D83,$H79:$H83)*I95+SUMPRODUCT(I24:I26,I69:I71,$D88:$D90,$H88:$H90)*I95)/(SUMPRODUCT(I15:I19,I60:I64)+SUMPRODUCT(I24:I26,I69:I71))</f>
        <v>64.578397663610502</v>
      </c>
      <c r="J117" s="76"/>
      <c r="K117" s="74"/>
      <c r="L117" s="74"/>
      <c r="M117" s="480"/>
      <c r="N117" s="47"/>
      <c r="O117" s="47"/>
      <c r="P117" s="47"/>
      <c r="Q117" s="47"/>
      <c r="R117" s="47"/>
      <c r="S117" s="484"/>
      <c r="T117" s="47"/>
      <c r="U117" s="47"/>
      <c r="V117" s="47"/>
    </row>
    <row r="118" spans="1:22" x14ac:dyDescent="0.25">
      <c r="A118" s="22"/>
      <c r="B118" s="77" t="s">
        <v>42</v>
      </c>
      <c r="C118" s="74"/>
      <c r="D118" s="74"/>
      <c r="E118" s="75">
        <f>(SUMPRODUCT(Q15:Q19,E60:E64,$F79:$F83,$I79:$I83)*E95+SUMPRODUCT(Q24:Q26,E69:E71,$F88:$F90,$I88:$I90)*E95)/(SUMPRODUCT(Q15:Q19,E60:E64)+SUMPRODUCT(Q24:Q26,E69:E71))</f>
        <v>47.473698250315984</v>
      </c>
      <c r="F118" s="75">
        <f>(SUMPRODUCT(R15:R19,F60:F64,$F79:$F83,$I79:$I83)*F95+SUMPRODUCT(R24:R26,F69:F71,$F88:$F90,$I88:$I90)*F95)/(SUMPRODUCT(R15:R19,F60:F64)+SUMPRODUCT(R24:R26,F69:F71))</f>
        <v>46.602609626767361</v>
      </c>
      <c r="G118" s="75">
        <f>(SUMPRODUCT(S15:S19,G60:G64,$F79:$F83,$I79:$I83)*G95+SUMPRODUCT(S24:S26,G69:G71,$F88:$F90,$I88:$I90)*G95)/(SUMPRODUCT(S15:S19,G60:G64)+SUMPRODUCT(S24:S26,G69:G71))</f>
        <v>46.448505671680429</v>
      </c>
      <c r="H118" s="75">
        <f>(SUMPRODUCT(T15:T19,H60:H64,$F79:$F83,$I79:$I83)*H95+SUMPRODUCT(T24:T26,H69:H71,$F88:$F90,$I88:$I90)*H95)/(SUMPRODUCT(T15:T19,H60:H64)+SUMPRODUCT(T24:T26,H69:H71))</f>
        <v>47.067890245862017</v>
      </c>
      <c r="I118" s="75">
        <f>(SUMPRODUCT(U15:U19,I60:I64,$F79:$F83,$I79:$I83)*I95+SUMPRODUCT(U24:U26,I69:I71,$F88:$F90,$I88:$I90)*I95)/(SUMPRODUCT(U15:U19,I60:I64)+SUMPRODUCT(U24:U26,I69:I71))</f>
        <v>45.710704855381451</v>
      </c>
      <c r="J118" s="76"/>
      <c r="K118" s="74"/>
      <c r="L118" s="74"/>
      <c r="M118" s="44"/>
      <c r="N118" s="478"/>
      <c r="O118" s="47"/>
      <c r="P118" s="131"/>
      <c r="Q118" s="47"/>
      <c r="R118" s="47"/>
      <c r="S118" s="47"/>
      <c r="T118" s="47"/>
      <c r="U118" s="47"/>
      <c r="V118" s="47"/>
    </row>
    <row r="119" spans="1:22" x14ac:dyDescent="0.25">
      <c r="A119" s="22"/>
      <c r="C119" s="142"/>
      <c r="D119" s="142"/>
      <c r="E119" s="143"/>
      <c r="F119" s="143"/>
      <c r="G119" s="143"/>
      <c r="H119" s="143"/>
      <c r="I119" s="143"/>
      <c r="J119" s="76"/>
      <c r="K119" s="142"/>
      <c r="L119" s="142"/>
      <c r="M119" s="47"/>
      <c r="N119" s="47"/>
      <c r="O119" s="47"/>
      <c r="P119" s="47"/>
      <c r="Q119" s="47"/>
      <c r="R119" s="114"/>
      <c r="S119" s="479"/>
      <c r="T119" s="47"/>
      <c r="U119" s="47"/>
      <c r="V119" s="47"/>
    </row>
    <row r="120" spans="1:22" x14ac:dyDescent="0.25">
      <c r="A120" s="22"/>
      <c r="B120" s="13" t="s">
        <v>16</v>
      </c>
      <c r="C120" s="74"/>
      <c r="D120" s="78"/>
      <c r="E120" s="79">
        <f>(E112*SUM(E65:E68)+E116*SUM(E60:E64,E69:E71))/E72</f>
        <v>58.172108695402706</v>
      </c>
      <c r="F120" s="79">
        <f>(F112*SUM(F65:F68)+F116*SUM(F60:F64,F69:F71))/F72</f>
        <v>58.35579879897692</v>
      </c>
      <c r="G120" s="79">
        <f>(G112*SUM(G65:G68)+G116*SUM(G60:G64,G69:G71))/G72</f>
        <v>59.354901754036646</v>
      </c>
      <c r="H120" s="79">
        <f>(H112*SUM(H65:H68)+H116*SUM(H60:H64,H69:H71))/H72</f>
        <v>59.664379301790426</v>
      </c>
      <c r="I120" s="79">
        <f>(I112*SUM(I65:I68)+I116*SUM(I60:I64,I69:I71))/I72</f>
        <v>51.8973394495289</v>
      </c>
      <c r="J120" s="76"/>
      <c r="K120" s="78"/>
      <c r="L120" s="78"/>
      <c r="M120" s="480"/>
      <c r="N120" s="47"/>
      <c r="O120" s="47"/>
      <c r="P120" s="47"/>
      <c r="Q120" s="47"/>
      <c r="R120" s="47"/>
      <c r="S120" s="47"/>
      <c r="T120" s="47"/>
      <c r="U120" s="47"/>
      <c r="V120" s="47"/>
    </row>
    <row r="121" spans="1:22" x14ac:dyDescent="0.25">
      <c r="A121" s="22"/>
      <c r="C121" s="74"/>
      <c r="D121" s="78"/>
      <c r="E121" s="78"/>
      <c r="F121" s="78"/>
      <c r="G121" s="78"/>
      <c r="H121" s="78"/>
      <c r="I121" s="78"/>
      <c r="J121" s="78"/>
      <c r="K121" s="78"/>
      <c r="L121" s="78"/>
      <c r="M121" s="480"/>
      <c r="N121" s="47"/>
      <c r="O121" s="47"/>
      <c r="P121" s="47"/>
      <c r="Q121" s="47"/>
      <c r="R121" s="47"/>
      <c r="S121" s="484"/>
      <c r="T121" s="47"/>
      <c r="U121" s="47"/>
      <c r="V121" s="47"/>
    </row>
    <row r="122" spans="1:22" x14ac:dyDescent="0.25">
      <c r="A122" s="22"/>
      <c r="B122" s="13" t="s">
        <v>44</v>
      </c>
      <c r="C122" s="80">
        <f>SUMPRODUCT(C120:I120,C72:I72)/SUM(C72:I72)</f>
        <v>58.709404508116528</v>
      </c>
      <c r="D122" s="78"/>
      <c r="E122" s="78"/>
      <c r="F122" s="78"/>
      <c r="G122" s="78"/>
      <c r="H122" s="78"/>
      <c r="I122" s="78"/>
      <c r="J122" s="78"/>
      <c r="K122" s="78"/>
      <c r="L122" s="78"/>
      <c r="M122" s="44"/>
      <c r="N122" s="478"/>
      <c r="O122" s="47"/>
      <c r="P122" s="131"/>
      <c r="Q122" s="47"/>
      <c r="R122" s="47"/>
      <c r="S122" s="47"/>
      <c r="T122" s="47"/>
      <c r="U122" s="47"/>
      <c r="V122" s="47"/>
    </row>
    <row r="123" spans="1:22" x14ac:dyDescent="0.25">
      <c r="A123" s="22"/>
      <c r="C123" s="74"/>
      <c r="D123" s="78"/>
      <c r="E123" s="78"/>
      <c r="F123" s="78"/>
      <c r="G123" s="78"/>
      <c r="H123" s="78"/>
      <c r="I123" s="78"/>
      <c r="J123" s="78"/>
      <c r="K123" s="78"/>
      <c r="L123" s="78"/>
      <c r="M123" s="47"/>
      <c r="N123" s="47"/>
      <c r="O123" s="47"/>
      <c r="P123" s="47"/>
      <c r="Q123" s="47"/>
      <c r="R123" s="114"/>
      <c r="S123" s="479"/>
      <c r="T123" s="47"/>
      <c r="U123" s="47"/>
      <c r="V123" s="47"/>
    </row>
    <row r="124" spans="1:22" x14ac:dyDescent="0.25">
      <c r="A124" s="22"/>
      <c r="C124" s="78"/>
      <c r="D124" s="78"/>
      <c r="E124" s="78"/>
      <c r="F124" s="78"/>
      <c r="G124" s="78"/>
      <c r="H124" s="78"/>
      <c r="I124" s="78"/>
      <c r="J124" s="78"/>
      <c r="K124" s="78"/>
      <c r="L124" s="78"/>
      <c r="M124" s="480"/>
      <c r="N124" s="47"/>
      <c r="O124" s="47"/>
      <c r="P124" s="47"/>
      <c r="Q124" s="47"/>
      <c r="R124" s="47"/>
      <c r="S124" s="47"/>
      <c r="T124" s="47"/>
      <c r="U124" s="47"/>
      <c r="V124" s="47"/>
    </row>
    <row r="125" spans="1:22" x14ac:dyDescent="0.25">
      <c r="A125" s="18" t="s">
        <v>35</v>
      </c>
      <c r="B125" s="16" t="s">
        <v>49</v>
      </c>
      <c r="C125" s="78"/>
      <c r="D125" s="78"/>
      <c r="E125" s="78"/>
      <c r="F125" s="78"/>
      <c r="G125" s="78"/>
      <c r="H125" s="78"/>
      <c r="I125" s="78"/>
      <c r="J125" s="78"/>
      <c r="K125" s="78"/>
      <c r="L125" s="78"/>
      <c r="M125" s="480"/>
      <c r="N125" s="47"/>
      <c r="O125" s="47"/>
      <c r="P125" s="47"/>
      <c r="Q125" s="47"/>
      <c r="R125" s="47"/>
      <c r="S125" s="484"/>
      <c r="T125" s="47"/>
      <c r="U125" s="47"/>
      <c r="V125" s="47"/>
    </row>
    <row r="126" spans="1:22" x14ac:dyDescent="0.25">
      <c r="A126" s="22"/>
      <c r="B126" s="17" t="s">
        <v>172</v>
      </c>
      <c r="C126" s="78"/>
      <c r="D126" s="78"/>
      <c r="E126" s="78"/>
      <c r="F126" s="78"/>
      <c r="G126" s="78"/>
      <c r="H126" s="78"/>
      <c r="I126" s="78"/>
      <c r="J126" s="78"/>
      <c r="K126" s="78"/>
      <c r="L126" s="78"/>
      <c r="M126" s="44"/>
      <c r="N126" s="478"/>
      <c r="O126" s="47"/>
      <c r="P126" s="131"/>
      <c r="Q126" s="47"/>
      <c r="R126" s="47"/>
      <c r="S126" s="47"/>
      <c r="T126" s="47"/>
      <c r="U126" s="47"/>
      <c r="V126" s="47"/>
    </row>
    <row r="127" spans="1:22" x14ac:dyDescent="0.25">
      <c r="A127" s="22"/>
      <c r="B127" s="17" t="s">
        <v>43</v>
      </c>
      <c r="C127" s="78"/>
      <c r="D127" s="78"/>
      <c r="E127" s="78"/>
      <c r="F127" s="78"/>
      <c r="G127" s="78"/>
      <c r="H127" s="78"/>
      <c r="I127" s="78"/>
      <c r="J127" s="78"/>
      <c r="K127" s="78"/>
      <c r="L127" s="78"/>
      <c r="M127" s="47"/>
      <c r="N127" s="47"/>
      <c r="O127" s="47"/>
      <c r="P127" s="47"/>
      <c r="Q127" s="47"/>
      <c r="R127" s="114"/>
      <c r="S127" s="479"/>
      <c r="T127" s="47"/>
      <c r="U127" s="47"/>
      <c r="V127" s="47"/>
    </row>
    <row r="128" spans="1:22" x14ac:dyDescent="0.25">
      <c r="A128" s="22"/>
      <c r="B128" s="16"/>
      <c r="C128" s="26"/>
      <c r="D128" s="26"/>
      <c r="E128" s="26" t="str">
        <f>+E$13</f>
        <v>RT{1}</v>
      </c>
      <c r="F128" s="26" t="str">
        <f>+F$13</f>
        <v>RS{2}</v>
      </c>
      <c r="G128" s="26" t="str">
        <f>+G$13</f>
        <v>GS{3}</v>
      </c>
      <c r="H128" s="26" t="str">
        <f>+H$58</f>
        <v>GST {4}</v>
      </c>
      <c r="I128" s="26" t="str">
        <f>+I$13</f>
        <v>OL/SL</v>
      </c>
      <c r="J128" s="26" t="s">
        <v>13</v>
      </c>
      <c r="K128" s="26"/>
      <c r="L128" s="26"/>
      <c r="M128" s="44"/>
      <c r="N128" s="47"/>
      <c r="O128" s="47"/>
      <c r="P128" s="47"/>
      <c r="Q128" s="47"/>
      <c r="R128" s="47"/>
      <c r="S128" s="47"/>
      <c r="T128" s="47"/>
      <c r="U128" s="47"/>
      <c r="V128" s="47"/>
    </row>
    <row r="129" spans="1:22" x14ac:dyDescent="0.25">
      <c r="A129" s="22"/>
      <c r="C129" s="81"/>
      <c r="M129" s="483"/>
      <c r="N129" s="47"/>
      <c r="O129" s="47"/>
      <c r="P129" s="47"/>
      <c r="Q129" s="47"/>
      <c r="R129" s="47"/>
      <c r="S129" s="484"/>
      <c r="T129" s="47"/>
      <c r="U129" s="47"/>
      <c r="V129" s="47"/>
    </row>
    <row r="130" spans="1:22" x14ac:dyDescent="0.25">
      <c r="A130" s="22"/>
      <c r="B130" s="28" t="s">
        <v>17</v>
      </c>
      <c r="C130" s="76"/>
      <c r="D130" s="76"/>
      <c r="E130" s="76">
        <f>SUM(E65:E68)*E112/1000</f>
        <v>4836.3068474553766</v>
      </c>
      <c r="F130" s="76">
        <f>SUM(F65:F68)*F112/1000</f>
        <v>220183.73239873926</v>
      </c>
      <c r="G130" s="76">
        <f>SUM(G65:G68)*G112/1000</f>
        <v>137617.83704162439</v>
      </c>
      <c r="H130" s="76">
        <f>SUM(H65:H68)*H112/1000</f>
        <v>2251.7836120574698</v>
      </c>
      <c r="I130" s="76">
        <f>SUM(I65:I68)*I112/1000</f>
        <v>2015.4708970182894</v>
      </c>
      <c r="J130" s="76">
        <f>SUM(E130:I130)</f>
        <v>366905.13079689472</v>
      </c>
      <c r="K130" s="76"/>
      <c r="L130" s="76"/>
      <c r="M130" s="44"/>
      <c r="N130" s="478"/>
      <c r="O130" s="47"/>
      <c r="P130" s="131"/>
      <c r="Q130" s="47"/>
      <c r="R130" s="47"/>
      <c r="S130" s="47"/>
      <c r="T130" s="47"/>
      <c r="U130" s="47"/>
      <c r="V130" s="47"/>
    </row>
    <row r="131" spans="1:22" x14ac:dyDescent="0.25">
      <c r="A131" s="22"/>
      <c r="B131" s="77" t="s">
        <v>41</v>
      </c>
      <c r="C131" s="76"/>
      <c r="D131" s="76"/>
      <c r="E131" s="76">
        <f>SUMPRODUCT(E65:E68,E20:E23)*E113/1000</f>
        <v>3065.637851668369</v>
      </c>
      <c r="F131" s="76">
        <f>SUMPRODUCT(F65:F68,F20:F23)*F113/1000</f>
        <v>140011.22600006763</v>
      </c>
      <c r="G131" s="76">
        <f>SUMPRODUCT(G65:G68,G20:G23)*G113/1000</f>
        <v>96373.766717565057</v>
      </c>
      <c r="H131" s="76">
        <f>SUMPRODUCT(H65:H68,H20:H23)*H113/1000</f>
        <v>1567.9289059105658</v>
      </c>
      <c r="I131" s="76">
        <f>SUMPRODUCT(I65:I68,I20:I23)*I113/1000</f>
        <v>687.48365950843174</v>
      </c>
      <c r="J131" s="76">
        <f>SUM(E131:I131)</f>
        <v>241706.04313472009</v>
      </c>
      <c r="K131" s="76"/>
      <c r="L131" s="76"/>
      <c r="M131" s="47"/>
      <c r="N131" s="47"/>
      <c r="O131" s="47"/>
      <c r="P131" s="47"/>
      <c r="Q131" s="47"/>
      <c r="R131" s="114"/>
      <c r="S131" s="479"/>
      <c r="T131" s="47"/>
      <c r="U131" s="47"/>
      <c r="V131" s="47"/>
    </row>
    <row r="132" spans="1:22" x14ac:dyDescent="0.25">
      <c r="A132" s="22"/>
      <c r="B132" s="77" t="s">
        <v>42</v>
      </c>
      <c r="C132" s="76"/>
      <c r="D132" s="76"/>
      <c r="E132" s="76">
        <f>SUMPRODUCT(E65:E68,Q20:Q23)*E114/1000</f>
        <v>1770.6689957870071</v>
      </c>
      <c r="F132" s="76">
        <f>SUMPRODUCT(F65:F68,R20:R23)*F114/1000</f>
        <v>80172.506398671627</v>
      </c>
      <c r="G132" s="76">
        <f>SUMPRODUCT(G65:G68,S20:S23)*G114/1000</f>
        <v>41244.070324059343</v>
      </c>
      <c r="H132" s="76">
        <f>SUMPRODUCT(H65:H68,T20:T23)*H114/1000</f>
        <v>683.85470614690394</v>
      </c>
      <c r="I132" s="76">
        <f>SUMPRODUCT(I65:I68,U20:U23)*I114/1000</f>
        <v>1327.9872375098576</v>
      </c>
      <c r="J132" s="76">
        <f>SUM(E132:I132)</f>
        <v>125199.08766217474</v>
      </c>
      <c r="K132" s="76"/>
      <c r="L132" s="76"/>
      <c r="M132" s="501"/>
      <c r="N132" s="47"/>
      <c r="O132" s="47"/>
      <c r="P132" s="47"/>
      <c r="Q132" s="47"/>
      <c r="R132" s="47"/>
      <c r="S132" s="47"/>
      <c r="T132" s="47"/>
      <c r="U132" s="47"/>
      <c r="V132" s="47"/>
    </row>
    <row r="133" spans="1:22" x14ac:dyDescent="0.25">
      <c r="A133" s="22"/>
      <c r="C133" s="82"/>
      <c r="D133" s="82"/>
      <c r="E133" s="82"/>
      <c r="F133" s="82"/>
      <c r="G133" s="82"/>
      <c r="H133" s="82"/>
      <c r="I133" s="82"/>
      <c r="J133" s="76"/>
      <c r="K133" s="82"/>
      <c r="L133" s="82"/>
      <c r="M133" s="483"/>
      <c r="N133" s="47"/>
      <c r="O133" s="47"/>
      <c r="P133" s="47"/>
      <c r="Q133" s="47"/>
      <c r="R133" s="47"/>
      <c r="S133" s="484"/>
      <c r="T133" s="47"/>
      <c r="U133" s="47"/>
      <c r="V133" s="47"/>
    </row>
    <row r="134" spans="1:22" x14ac:dyDescent="0.25">
      <c r="A134" s="22"/>
      <c r="B134" s="28" t="s">
        <v>18</v>
      </c>
      <c r="C134" s="82"/>
      <c r="D134" s="82"/>
      <c r="E134" s="82">
        <f>SUM(E60:E64,E69:E71)*E116/1000</f>
        <v>9329.5323736143091</v>
      </c>
      <c r="F134" s="82">
        <f>SUM(F60:F64,F69:F71)*F116/1000</f>
        <v>281638.4977822369</v>
      </c>
      <c r="G134" s="82">
        <f>SUM(G60:G64,G69:G71)*G116/1000</f>
        <v>215992.1359678419</v>
      </c>
      <c r="H134" s="82">
        <f>SUM(H60:H64,H69:H71)*H116/1000</f>
        <v>4282.1818940402036</v>
      </c>
      <c r="I134" s="82">
        <f>SUM(I60:I64,I69:I71)*I116/1000</f>
        <v>3915.8241313289191</v>
      </c>
      <c r="J134" s="76">
        <f>SUM(E134:I134)</f>
        <v>515158.17214906221</v>
      </c>
      <c r="K134" s="82"/>
      <c r="L134" s="82"/>
      <c r="M134" s="44"/>
      <c r="N134" s="478"/>
      <c r="O134" s="47"/>
      <c r="P134" s="131"/>
      <c r="Q134" s="47"/>
      <c r="R134" s="47"/>
      <c r="S134" s="47"/>
      <c r="T134" s="47"/>
      <c r="U134" s="47"/>
      <c r="V134" s="47"/>
    </row>
    <row r="135" spans="1:22" x14ac:dyDescent="0.25">
      <c r="A135" s="22"/>
      <c r="B135" s="77" t="s">
        <v>41</v>
      </c>
      <c r="C135" s="76"/>
      <c r="D135" s="76"/>
      <c r="E135" s="76">
        <f>(SUMPRODUCT(E60:E64,E15:E19)+SUMPRODUCT(E69:E71,E24:E26))*E117/1000</f>
        <v>5298.9270720942595</v>
      </c>
      <c r="F135" s="76">
        <f>(SUMPRODUCT(F60:F64,F15:F19)+SUMPRODUCT(F69:F71,F24:F26))*F117/1000</f>
        <v>166002.49658488936</v>
      </c>
      <c r="G135" s="76">
        <f>(SUMPRODUCT(G60:G64,G15:G19)+SUMPRODUCT(G69:G71,G24:G26))*G117/1000</f>
        <v>143276.82644026584</v>
      </c>
      <c r="H135" s="76">
        <f>(SUMPRODUCT(H60:H64,H15:H19)+SUMPRODUCT(H69:H71,H24:H26))*H117/1000</f>
        <v>2750.2911814670479</v>
      </c>
      <c r="I135" s="76">
        <f>(SUMPRODUCT(I60:I64,I15:I19)+SUMPRODUCT(I69:I71,I24:I26))*I117/1000</f>
        <v>1478.7026011535236</v>
      </c>
      <c r="J135" s="76">
        <f>SUM(E135:I135)</f>
        <v>318807.24387987005</v>
      </c>
      <c r="K135" s="76"/>
      <c r="L135" s="76"/>
      <c r="M135" s="47"/>
      <c r="N135" s="47"/>
      <c r="O135" s="47"/>
      <c r="P135" s="397"/>
      <c r="Q135" s="47"/>
      <c r="R135" s="114"/>
      <c r="S135" s="479"/>
      <c r="T135" s="47"/>
      <c r="U135" s="47"/>
      <c r="V135" s="47"/>
    </row>
    <row r="136" spans="1:22" x14ac:dyDescent="0.25">
      <c r="A136" s="22"/>
      <c r="B136" s="77" t="s">
        <v>42</v>
      </c>
      <c r="C136" s="76"/>
      <c r="D136" s="76"/>
      <c r="E136" s="76">
        <f>+(SUMPRODUCT(E60:E64,Q15:Q19)+SUMPRODUCT(E69:E71,Q24:Q26))*E118/1000</f>
        <v>4030.6053015200523</v>
      </c>
      <c r="F136" s="76">
        <f>+(SUMPRODUCT(F60:F64,R15:R19)+SUMPRODUCT(F69:F71,R24:R26))*F118/1000</f>
        <v>115636.00119734752</v>
      </c>
      <c r="G136" s="76">
        <f>+(SUMPRODUCT(G60:G64,S15:S19)+SUMPRODUCT(G69:G71,S24:S26))*G118/1000</f>
        <v>72715.309527576086</v>
      </c>
      <c r="H136" s="76">
        <f>+(SUMPRODUCT(H60:H64,T15:T19)+SUMPRODUCT(H69:H71,T24:T26))*H118/1000</f>
        <v>1531.8907125731555</v>
      </c>
      <c r="I136" s="76">
        <f>+(SUMPRODUCT(I60:I64,U15:U19)+SUMPRODUCT(I69:I71,U24:U26))*I118/1000</f>
        <v>2437.1215301753959</v>
      </c>
      <c r="J136" s="76">
        <f>SUM(E136:I136)</f>
        <v>196350.9282691922</v>
      </c>
      <c r="K136" s="76"/>
      <c r="L136" s="76"/>
      <c r="M136" s="482"/>
      <c r="N136" s="47"/>
      <c r="O136" s="47"/>
      <c r="P136" s="47"/>
      <c r="Q136" s="47"/>
      <c r="R136" s="47"/>
      <c r="S136" s="47"/>
      <c r="T136" s="47"/>
      <c r="U136" s="47"/>
      <c r="V136" s="47"/>
    </row>
    <row r="137" spans="1:22" x14ac:dyDescent="0.25">
      <c r="A137" s="22"/>
      <c r="C137" s="142"/>
      <c r="D137" s="142"/>
      <c r="E137" s="142"/>
      <c r="F137" s="142"/>
      <c r="G137" s="142"/>
      <c r="H137" s="142"/>
      <c r="I137" s="142"/>
      <c r="J137" s="76"/>
      <c r="K137" s="142"/>
      <c r="L137" s="142"/>
      <c r="M137" s="502"/>
      <c r="N137" s="47"/>
      <c r="O137" s="47"/>
      <c r="P137" s="47"/>
      <c r="Q137" s="47"/>
      <c r="R137" s="47"/>
      <c r="S137" s="47"/>
      <c r="T137" s="47"/>
      <c r="U137" s="47"/>
      <c r="V137" s="47"/>
    </row>
    <row r="138" spans="1:22" x14ac:dyDescent="0.25">
      <c r="A138" s="22"/>
      <c r="B138" s="13" t="s">
        <v>16</v>
      </c>
      <c r="C138" s="82"/>
      <c r="D138" s="82"/>
      <c r="E138" s="82">
        <f>+E130+E134</f>
        <v>14165.839221069686</v>
      </c>
      <c r="F138" s="82">
        <f>+F130+F134</f>
        <v>501822.23018097616</v>
      </c>
      <c r="G138" s="82">
        <f>+G130+G134</f>
        <v>353609.97300946631</v>
      </c>
      <c r="H138" s="82">
        <f>+H130+H134</f>
        <v>6533.9655060976729</v>
      </c>
      <c r="I138" s="82">
        <f>+I130+I134</f>
        <v>5931.2950283472082</v>
      </c>
      <c r="J138" s="76">
        <f>SUM(E138:I138)</f>
        <v>882063.30294595705</v>
      </c>
      <c r="K138" s="82"/>
      <c r="L138" s="82"/>
      <c r="M138" s="503"/>
      <c r="N138" s="47"/>
      <c r="O138" s="47"/>
      <c r="P138" s="47"/>
      <c r="Q138" s="47"/>
      <c r="R138" s="47"/>
      <c r="S138" s="47"/>
      <c r="T138" s="47"/>
      <c r="U138" s="47"/>
      <c r="V138" s="47"/>
    </row>
    <row r="139" spans="1:22" x14ac:dyDescent="0.25">
      <c r="A139" s="22"/>
      <c r="M139" s="47"/>
      <c r="N139" s="47"/>
      <c r="O139" s="47"/>
      <c r="P139" s="47"/>
      <c r="Q139" s="47"/>
      <c r="R139" s="47"/>
      <c r="S139" s="47"/>
      <c r="T139" s="47"/>
      <c r="U139" s="47"/>
      <c r="V139" s="47"/>
    </row>
    <row r="140" spans="1:22" x14ac:dyDescent="0.25">
      <c r="A140" s="22"/>
      <c r="B140" s="13" t="s">
        <v>44</v>
      </c>
      <c r="C140" s="76">
        <f>SUM(C138:I138)</f>
        <v>882063.30294595705</v>
      </c>
      <c r="E140" s="83"/>
      <c r="F140" s="74"/>
    </row>
    <row r="141" spans="1:22" x14ac:dyDescent="0.25">
      <c r="A141" s="22"/>
    </row>
    <row r="142" spans="1:22" x14ac:dyDescent="0.25">
      <c r="A142" s="22"/>
    </row>
    <row r="143" spans="1:22" ht="15.6" x14ac:dyDescent="0.3">
      <c r="A143" s="22"/>
      <c r="B143" s="519" t="str">
        <f>$B$1</f>
        <v xml:space="preserve">Jersey Central Power &amp; Light </v>
      </c>
      <c r="C143" s="519"/>
      <c r="D143" s="519"/>
      <c r="E143" s="519"/>
      <c r="F143" s="519"/>
      <c r="G143" s="519"/>
      <c r="H143" s="519"/>
      <c r="I143" s="519"/>
      <c r="J143" s="519"/>
      <c r="K143" s="519"/>
      <c r="L143" s="519"/>
    </row>
    <row r="144" spans="1:22" ht="15.6" x14ac:dyDescent="0.3">
      <c r="A144" s="22"/>
      <c r="B144" s="519" t="str">
        <f>$B$2</f>
        <v>Attachment 2</v>
      </c>
      <c r="C144" s="519"/>
      <c r="D144" s="519"/>
      <c r="E144" s="519"/>
      <c r="F144" s="519"/>
      <c r="G144" s="519"/>
      <c r="H144" s="519"/>
      <c r="I144" s="519"/>
      <c r="J144" s="519"/>
      <c r="K144" s="519"/>
      <c r="L144" s="519"/>
    </row>
    <row r="145" spans="1:51" x14ac:dyDescent="0.25">
      <c r="A145" s="22"/>
    </row>
    <row r="146" spans="1:51" x14ac:dyDescent="0.25">
      <c r="A146" s="22"/>
    </row>
    <row r="147" spans="1:51" x14ac:dyDescent="0.25">
      <c r="A147" s="18" t="s">
        <v>70</v>
      </c>
      <c r="B147" s="16" t="s">
        <v>71</v>
      </c>
      <c r="C147" s="78"/>
      <c r="Q147" s="13" t="s">
        <v>126</v>
      </c>
      <c r="T147" s="13" t="s">
        <v>122</v>
      </c>
      <c r="W147" s="13" t="s">
        <v>123</v>
      </c>
      <c r="Z147" s="13" t="s">
        <v>124</v>
      </c>
    </row>
    <row r="148" spans="1:51" x14ac:dyDescent="0.25">
      <c r="A148" s="22"/>
      <c r="B148" s="17" t="s">
        <v>173</v>
      </c>
      <c r="C148" s="78"/>
      <c r="W148" s="13" t="s">
        <v>127</v>
      </c>
      <c r="Z148" s="13" t="s">
        <v>128</v>
      </c>
      <c r="AC148" s="13" t="s">
        <v>125</v>
      </c>
    </row>
    <row r="149" spans="1:51" x14ac:dyDescent="0.25">
      <c r="A149" s="22"/>
      <c r="B149" s="17" t="s">
        <v>21</v>
      </c>
      <c r="C149" s="78"/>
    </row>
    <row r="150" spans="1:51" x14ac:dyDescent="0.25">
      <c r="A150" s="22"/>
      <c r="B150" s="16"/>
      <c r="C150" s="26"/>
      <c r="D150" s="26"/>
      <c r="E150" s="26" t="str">
        <f>+E$13</f>
        <v>RT{1}</v>
      </c>
      <c r="F150" s="26" t="str">
        <f>+F$13</f>
        <v>RS{2}</v>
      </c>
      <c r="G150" s="26" t="str">
        <f>+G$13</f>
        <v>GS{3}</v>
      </c>
      <c r="H150" s="26" t="str">
        <f>+H$58</f>
        <v>GST {4}</v>
      </c>
      <c r="I150" s="26" t="str">
        <f>+I$13</f>
        <v>OL/SL</v>
      </c>
      <c r="J150" s="26"/>
      <c r="K150" s="26"/>
      <c r="L150" s="26"/>
      <c r="M150" s="26"/>
      <c r="Q150" s="26" t="str">
        <f>+$H150</f>
        <v>GST {4}</v>
      </c>
      <c r="R150" s="26"/>
      <c r="S150" s="26"/>
      <c r="T150" s="26" t="str">
        <f>+$H150</f>
        <v>GST {4}</v>
      </c>
      <c r="U150" s="26"/>
      <c r="V150" s="26"/>
      <c r="W150" s="26" t="str">
        <f>+$H150</f>
        <v>GST {4}</v>
      </c>
      <c r="X150" s="26"/>
      <c r="Z150" s="26" t="str">
        <f>+$H150</f>
        <v>GST {4}</v>
      </c>
      <c r="AA150" s="26"/>
      <c r="AC150" s="26" t="str">
        <f>+$H150</f>
        <v>GST {4}</v>
      </c>
      <c r="AD150" s="26"/>
      <c r="AU150" s="26" t="str">
        <f>+E$13</f>
        <v>RT{1}</v>
      </c>
      <c r="AV150" s="26" t="str">
        <f>+F$13</f>
        <v>RS{2}</v>
      </c>
      <c r="AW150" s="26" t="str">
        <f>+G$13</f>
        <v>GS{3}</v>
      </c>
      <c r="AX150" s="26" t="str">
        <f>+H$13</f>
        <v>GST</v>
      </c>
      <c r="AY150" s="26" t="str">
        <f>+I$13</f>
        <v>OL/SL</v>
      </c>
    </row>
    <row r="151" spans="1:51" x14ac:dyDescent="0.25">
      <c r="A151" s="22"/>
      <c r="C151" s="81"/>
    </row>
    <row r="152" spans="1:51" x14ac:dyDescent="0.25">
      <c r="A152" s="22"/>
      <c r="B152" s="28" t="s">
        <v>17</v>
      </c>
      <c r="C152" s="80"/>
      <c r="D152" s="80"/>
      <c r="E152" s="75">
        <f>+E130/SUM(E65:E68)*1000</f>
        <v>61.332422546166036</v>
      </c>
      <c r="F152" s="75">
        <f>+F130/SUM(F65:F68)*1000</f>
        <v>61.551495291532788</v>
      </c>
      <c r="G152" s="75">
        <f>+G130/SUM(G65:G68)*1000</f>
        <v>63.245525840272613</v>
      </c>
      <c r="H152" s="75">
        <f>+H130/SUM(H65:H68)*1000</f>
        <v>64.484066782859969</v>
      </c>
      <c r="I152" s="75">
        <f>+I130/SUM(I65:I68)*1000</f>
        <v>52.934232357670105</v>
      </c>
      <c r="J152" s="80"/>
      <c r="K152" s="80"/>
      <c r="L152" s="80"/>
      <c r="M152" s="80"/>
      <c r="P152" s="133" t="s">
        <v>25</v>
      </c>
      <c r="AU152" s="55">
        <f>SUM(E67:E68)</f>
        <v>41404</v>
      </c>
      <c r="AV152" s="55">
        <f>SUM(F67:F68)</f>
        <v>1934719</v>
      </c>
      <c r="AW152" s="55">
        <f>SUM(G67:G68)</f>
        <v>1111729</v>
      </c>
      <c r="AX152" s="55">
        <f>SUM(H67:H68)</f>
        <v>16055</v>
      </c>
      <c r="AY152" s="55">
        <f>SUM(I67:I68)</f>
        <v>19027</v>
      </c>
    </row>
    <row r="153" spans="1:51" x14ac:dyDescent="0.25">
      <c r="A153" s="22"/>
      <c r="B153" s="77" t="s">
        <v>72</v>
      </c>
      <c r="C153" s="76"/>
      <c r="D153" s="76"/>
      <c r="E153" s="75">
        <f>+(E131*1000-X165*AVERAGE(E$113,E$114))/R165</f>
        <v>79.660154439499081</v>
      </c>
      <c r="F153" s="75"/>
      <c r="G153" s="75"/>
      <c r="H153" s="75">
        <f>+(H131*1000-W153*AVERAGE(H$113,H$114))/Q153</f>
        <v>80.632133311738755</v>
      </c>
      <c r="I153" s="75"/>
      <c r="J153" s="76"/>
      <c r="K153" s="76"/>
      <c r="L153" s="80"/>
      <c r="M153" s="80"/>
      <c r="P153" s="13" t="s">
        <v>14</v>
      </c>
      <c r="Q153" s="55">
        <f>T65</f>
        <v>16257.8182</v>
      </c>
      <c r="R153" s="55"/>
      <c r="T153" s="55">
        <f>T76</f>
        <v>20404.939000000002</v>
      </c>
      <c r="U153" s="55"/>
      <c r="W153" s="55">
        <f>+T153-Q153</f>
        <v>4147.1208000000024</v>
      </c>
      <c r="X153" s="55"/>
      <c r="Z153" s="144">
        <f>+H153*Q153/1000</f>
        <v>1310.9025644604126</v>
      </c>
      <c r="AA153" s="144"/>
      <c r="AX153" s="55">
        <f>ROUND(SUMPRODUCT(H65:H68,H38:H41),0)</f>
        <v>16258</v>
      </c>
    </row>
    <row r="154" spans="1:51" ht="15" x14ac:dyDescent="0.4">
      <c r="A154" s="22"/>
      <c r="B154" s="77" t="s">
        <v>73</v>
      </c>
      <c r="C154" s="76"/>
      <c r="D154" s="76"/>
      <c r="E154" s="75">
        <f>+(E132*1000-X166*AVERAGE(E$113,E$114))/R166</f>
        <v>48.852771583325364</v>
      </c>
      <c r="F154" s="75"/>
      <c r="G154" s="75"/>
      <c r="H154" s="75">
        <f>+(H132*1000-W154*AVERAGE(H$113,H$114))/Q154</f>
        <v>50.416454929029626</v>
      </c>
      <c r="I154" s="75"/>
      <c r="J154" s="76"/>
      <c r="K154" s="76"/>
      <c r="L154" s="80"/>
      <c r="M154" s="80"/>
      <c r="P154" s="13" t="s">
        <v>15</v>
      </c>
      <c r="Q154" s="55">
        <f>T66</f>
        <v>18662.181799999998</v>
      </c>
      <c r="R154" s="55"/>
      <c r="T154" s="55">
        <f>T77</f>
        <v>14515.060999999998</v>
      </c>
      <c r="U154" s="55"/>
      <c r="W154" s="55">
        <f>+T154-Q154</f>
        <v>-4147.1208000000006</v>
      </c>
      <c r="X154" s="55"/>
      <c r="Z154" s="85">
        <f>+H154*Q154/1000</f>
        <v>940.88104759705698</v>
      </c>
      <c r="AA154" s="85"/>
      <c r="AX154" s="55">
        <f>AX152-AX153</f>
        <v>-203</v>
      </c>
    </row>
    <row r="155" spans="1:51" x14ac:dyDescent="0.25">
      <c r="A155" s="22"/>
      <c r="C155" s="82"/>
      <c r="D155" s="82"/>
      <c r="E155" s="79"/>
      <c r="F155" s="79"/>
      <c r="G155" s="79"/>
      <c r="H155" s="79"/>
      <c r="I155" s="79"/>
      <c r="J155" s="82"/>
      <c r="K155" s="82"/>
      <c r="L155" s="82"/>
      <c r="M155" s="82"/>
      <c r="Q155" s="55"/>
      <c r="R155" s="55"/>
      <c r="T155" s="55"/>
      <c r="U155" s="55"/>
      <c r="W155" s="55"/>
      <c r="X155" s="55"/>
      <c r="Z155" s="144">
        <f>+Z154+Z153</f>
        <v>2251.7836120574693</v>
      </c>
      <c r="AA155" s="144"/>
      <c r="AC155" s="81">
        <f>+H130</f>
        <v>2251.7836120574698</v>
      </c>
      <c r="AD155" s="81"/>
    </row>
    <row r="156" spans="1:51" x14ac:dyDescent="0.25">
      <c r="A156" s="22"/>
      <c r="B156" s="28" t="s">
        <v>18</v>
      </c>
      <c r="C156" s="78"/>
      <c r="D156" s="78"/>
      <c r="E156" s="79">
        <f>+E134/SUM(E60:E64,E69:E71)*1000</f>
        <v>56.658684903707652</v>
      </c>
      <c r="F156" s="79">
        <f>+F134/SUM(F60:F64,F69:F71)*1000</f>
        <v>56.079525225514388</v>
      </c>
      <c r="G156" s="79">
        <f>+G134/SUM(G60:G64,G69:G71)*1000</f>
        <v>57.116252986572668</v>
      </c>
      <c r="H156" s="79">
        <f>+H134/SUM(H60:H64,H69:H71)*1000</f>
        <v>57.408058425034902</v>
      </c>
      <c r="I156" s="79">
        <f>+I134/SUM(I60:I64,I69:I71)*1000</f>
        <v>51.379328356062125</v>
      </c>
      <c r="J156" s="78"/>
      <c r="K156" s="78"/>
      <c r="L156" s="78"/>
      <c r="M156" s="78"/>
      <c r="P156" s="133" t="s">
        <v>26</v>
      </c>
      <c r="Q156" s="55"/>
      <c r="R156" s="55"/>
      <c r="T156" s="55"/>
      <c r="U156" s="55"/>
      <c r="W156" s="55"/>
      <c r="X156" s="55"/>
      <c r="Z156" s="144"/>
      <c r="AA156" s="144"/>
      <c r="AC156" s="81"/>
      <c r="AU156" s="55">
        <f>E72-AU152</f>
        <v>202112</v>
      </c>
      <c r="AV156" s="55">
        <f>F72-AV152</f>
        <v>6664636</v>
      </c>
      <c r="AW156" s="55">
        <f>G72-AW152</f>
        <v>4845824</v>
      </c>
      <c r="AX156" s="55">
        <f>H72-AX152</f>
        <v>93457</v>
      </c>
      <c r="AY156" s="55">
        <f>I72-AY152</f>
        <v>95262</v>
      </c>
    </row>
    <row r="157" spans="1:51" x14ac:dyDescent="0.25">
      <c r="A157" s="22"/>
      <c r="B157" s="77" t="s">
        <v>72</v>
      </c>
      <c r="C157" s="76"/>
      <c r="D157" s="76"/>
      <c r="E157" s="75">
        <f>+(E135*1000-X170*AVERAGE(E$113,E$114))/R170</f>
        <v>68.471083984159904</v>
      </c>
      <c r="F157" s="75"/>
      <c r="G157" s="75"/>
      <c r="H157" s="75">
        <f>+(H135*1000-W157*AVERAGE(H$117,H$118))/Q157</f>
        <v>68.029767704622913</v>
      </c>
      <c r="I157" s="75"/>
      <c r="J157" s="76"/>
      <c r="K157" s="76"/>
      <c r="L157" s="80"/>
      <c r="M157" s="80"/>
      <c r="P157" s="13" t="s">
        <v>14</v>
      </c>
      <c r="Q157" s="55">
        <f>T61</f>
        <v>32710.3141</v>
      </c>
      <c r="R157" s="55"/>
      <c r="T157" s="55">
        <f>T72</f>
        <v>42045.592999999993</v>
      </c>
      <c r="U157" s="55"/>
      <c r="W157" s="55">
        <f>+T157-Q157</f>
        <v>9335.2788999999939</v>
      </c>
      <c r="X157" s="55"/>
      <c r="Z157" s="144">
        <f>+H157*Q157/1000</f>
        <v>2225.2750697682513</v>
      </c>
      <c r="AA157" s="144"/>
      <c r="AC157" s="81"/>
      <c r="AX157" s="55">
        <f>ROUND(SUMPRODUCT(H33:H37,H60:H64)+SUMPRODUCT(H42:H44,H69:H71),0)</f>
        <v>32710</v>
      </c>
    </row>
    <row r="158" spans="1:51" ht="15" x14ac:dyDescent="0.4">
      <c r="A158" s="22"/>
      <c r="B158" s="77" t="s">
        <v>73</v>
      </c>
      <c r="C158" s="76"/>
      <c r="D158" s="76"/>
      <c r="E158" s="75">
        <f>+(E136*1000-X171*AVERAGE(E$113,E$114))/R171</f>
        <v>50.202332662429832</v>
      </c>
      <c r="F158" s="75"/>
      <c r="G158" s="75"/>
      <c r="H158" s="75">
        <f>+(H136*1000-W158*AVERAGE(H$117,H$118))/Q158</f>
        <v>49.112321533168078</v>
      </c>
      <c r="I158" s="75"/>
      <c r="J158" s="76"/>
      <c r="K158" s="76"/>
      <c r="L158" s="80"/>
      <c r="M158" s="80"/>
      <c r="P158" s="13" t="s">
        <v>15</v>
      </c>
      <c r="Q158" s="55">
        <f>T62</f>
        <v>41881.685899999997</v>
      </c>
      <c r="R158" s="55"/>
      <c r="T158" s="55">
        <f>T73</f>
        <v>32546.407000000007</v>
      </c>
      <c r="U158" s="55"/>
      <c r="W158" s="55">
        <f>+T158-Q158</f>
        <v>-9335.2788999999902</v>
      </c>
      <c r="X158" s="55"/>
      <c r="Z158" s="85">
        <f>+H158*Q158/1000</f>
        <v>2056.9068242719518</v>
      </c>
      <c r="AA158" s="85"/>
      <c r="AC158" s="81"/>
      <c r="AX158" s="55">
        <f>AX156-AX157</f>
        <v>60747</v>
      </c>
    </row>
    <row r="159" spans="1:51" x14ac:dyDescent="0.25">
      <c r="A159" s="22"/>
      <c r="C159" s="142"/>
      <c r="D159" s="142"/>
      <c r="E159" s="143"/>
      <c r="F159" s="143"/>
      <c r="G159" s="143"/>
      <c r="H159" s="143"/>
      <c r="I159" s="143"/>
      <c r="J159" s="142"/>
      <c r="K159" s="142"/>
      <c r="L159" s="142"/>
      <c r="M159" s="142"/>
      <c r="Z159" s="144">
        <f>+Z158+Z157</f>
        <v>4282.1818940402027</v>
      </c>
      <c r="AA159" s="144"/>
      <c r="AC159" s="81">
        <f>+H134</f>
        <v>4282.1818940402036</v>
      </c>
      <c r="AD159" s="81"/>
    </row>
    <row r="160" spans="1:51" x14ac:dyDescent="0.25">
      <c r="A160" s="22"/>
      <c r="B160" s="13" t="s">
        <v>74</v>
      </c>
      <c r="C160" s="74"/>
      <c r="D160" s="74"/>
      <c r="E160" s="75">
        <f>(E152*SUM(E65:E68)+E156*SUM(E60:E64,E69:E71))/E72</f>
        <v>58.172108695402706</v>
      </c>
      <c r="F160" s="75">
        <f>(F152*SUM(F65:F68)+F156*SUM(F60:F64,F69:F71))/F72</f>
        <v>58.35579879897692</v>
      </c>
      <c r="G160" s="75">
        <f>(G152*SUM(G65:G68)+G156*SUM(G60:G64,G69:G71))/G72</f>
        <v>59.354901754036646</v>
      </c>
      <c r="H160" s="75">
        <f>(H152*SUM(H65:H68)+H156*SUM(H60:H64,H69:H71))/H72</f>
        <v>59.66437930179044</v>
      </c>
      <c r="I160" s="75">
        <f>(I152*SUM(I65:I68)+I156*SUM(I60:I64,I69:I71))/I72</f>
        <v>51.8973394495289</v>
      </c>
      <c r="J160" s="74"/>
      <c r="K160" s="74"/>
      <c r="L160" s="74"/>
      <c r="M160" s="74"/>
      <c r="AU160" s="55">
        <f>E72</f>
        <v>243516</v>
      </c>
      <c r="AV160" s="55">
        <f>F72</f>
        <v>8599355</v>
      </c>
      <c r="AW160" s="55">
        <f>G72</f>
        <v>5957553</v>
      </c>
      <c r="AX160" s="55">
        <f>H72</f>
        <v>109512</v>
      </c>
      <c r="AY160" s="55">
        <f>I72</f>
        <v>114289</v>
      </c>
    </row>
    <row r="161" spans="1:51" x14ac:dyDescent="0.25">
      <c r="A161" s="22"/>
      <c r="B161" s="13" t="s">
        <v>75</v>
      </c>
      <c r="C161" s="80">
        <f>+C140/SUM(C72:I72)*1000</f>
        <v>58.709404508116528</v>
      </c>
    </row>
    <row r="162" spans="1:51" x14ac:dyDescent="0.25">
      <c r="A162" s="22"/>
      <c r="Q162" s="26" t="str">
        <f>+$E150</f>
        <v>RT{1}</v>
      </c>
      <c r="R162" s="26"/>
      <c r="S162" s="26"/>
      <c r="T162" s="26" t="str">
        <f>+$E150</f>
        <v>RT{1}</v>
      </c>
      <c r="U162" s="26"/>
      <c r="V162" s="26"/>
      <c r="W162" s="26" t="str">
        <f>+$E150</f>
        <v>RT{1}</v>
      </c>
      <c r="X162" s="26"/>
      <c r="Z162" s="26" t="str">
        <f>+$E150</f>
        <v>RT{1}</v>
      </c>
      <c r="AA162" s="26"/>
      <c r="AC162" s="26" t="str">
        <f>+$E150</f>
        <v>RT{1}</v>
      </c>
    </row>
    <row r="163" spans="1:51" x14ac:dyDescent="0.25">
      <c r="A163" s="22"/>
    </row>
    <row r="164" spans="1:51" x14ac:dyDescent="0.25">
      <c r="A164" s="18" t="s">
        <v>76</v>
      </c>
      <c r="B164" s="16" t="s">
        <v>139</v>
      </c>
      <c r="P164" s="133" t="s">
        <v>25</v>
      </c>
      <c r="Q164" s="38" t="s">
        <v>196</v>
      </c>
      <c r="R164" s="38" t="s">
        <v>192</v>
      </c>
      <c r="T164" s="38" t="s">
        <v>196</v>
      </c>
      <c r="U164" s="38" t="s">
        <v>192</v>
      </c>
      <c r="W164" s="38" t="s">
        <v>196</v>
      </c>
      <c r="X164" s="38" t="s">
        <v>192</v>
      </c>
      <c r="Z164" s="38" t="s">
        <v>197</v>
      </c>
      <c r="AC164" s="38" t="s">
        <v>197</v>
      </c>
    </row>
    <row r="165" spans="1:51" x14ac:dyDescent="0.25">
      <c r="A165" s="22"/>
      <c r="B165" s="17" t="str">
        <f>'BGS PTY15 Cost Alloc'!$B$165</f>
        <v>obligations - annual average forecasted for 2017; costs are market estimates</v>
      </c>
      <c r="J165" s="26" t="s">
        <v>313</v>
      </c>
      <c r="P165" s="13" t="s">
        <v>14</v>
      </c>
      <c r="Q165" s="55">
        <f>SUMPRODUCT(E38:E41,M65:M68)</f>
        <v>31192.8747</v>
      </c>
      <c r="R165" s="55">
        <f>SUMPRODUCT(E38:E41,E65:E68)</f>
        <v>31943.312599999997</v>
      </c>
      <c r="T165" s="55">
        <f>Q76</f>
        <v>40495.8802</v>
      </c>
      <c r="U165" s="55">
        <f>T165-($Q$167*$Q165/($Q$165+$Q$166))</f>
        <v>39743.861451396144</v>
      </c>
      <c r="W165" s="55">
        <f>+T165-Q165</f>
        <v>9303.0054999999993</v>
      </c>
      <c r="X165" s="55">
        <f>-Q165+U165</f>
        <v>8550.9867513961435</v>
      </c>
      <c r="Z165" s="144">
        <f>+E153*Q165/1000</f>
        <v>2484.8292160139436</v>
      </c>
      <c r="AA165" s="144"/>
      <c r="AU165" s="82">
        <f>AU152*E152/1000</f>
        <v>2539.4076231014583</v>
      </c>
      <c r="AV165" s="82">
        <f>AV152*F152/1000</f>
        <v>119084.84741893903</v>
      </c>
      <c r="AW165" s="82">
        <f>AW152*G152/1000</f>
        <v>70311.885196880423</v>
      </c>
      <c r="AX165" s="82">
        <f>AX152*H152/1000</f>
        <v>1035.2916921988167</v>
      </c>
      <c r="AY165" s="82">
        <f>AY152*I152/1000</f>
        <v>1007.1796390693891</v>
      </c>
    </row>
    <row r="166" spans="1:51" ht="15" x14ac:dyDescent="0.4">
      <c r="A166" s="22"/>
      <c r="B166" s="17" t="s">
        <v>77</v>
      </c>
      <c r="C166" s="26"/>
      <c r="D166" s="26"/>
      <c r="E166" s="26" t="str">
        <f>+E$13</f>
        <v>RT{1}</v>
      </c>
      <c r="F166" s="26" t="str">
        <f>+F$13</f>
        <v>RS{2}</v>
      </c>
      <c r="G166" s="26" t="str">
        <f>+G$13</f>
        <v>GS{3}</v>
      </c>
      <c r="H166" s="26" t="str">
        <f>+H$58</f>
        <v>GST {4}</v>
      </c>
      <c r="I166" s="26" t="str">
        <f>+I$13</f>
        <v>OL/SL</v>
      </c>
      <c r="J166" s="26" t="s">
        <v>165</v>
      </c>
      <c r="K166" s="26"/>
      <c r="L166" s="26"/>
      <c r="M166" s="26"/>
      <c r="P166" s="13" t="s">
        <v>15</v>
      </c>
      <c r="Q166" s="55">
        <f>SUMPRODUCT(Q38:Q41,M65:M68)</f>
        <v>45805.125300000007</v>
      </c>
      <c r="R166" s="55">
        <f>SUMPRODUCT(Q38:Q41,E65:E68)</f>
        <v>46910.687400000003</v>
      </c>
      <c r="T166" s="55">
        <f>Q77</f>
        <v>38358.1198</v>
      </c>
      <c r="U166" s="55">
        <f>T166-($Q$167*$Q166/($Q$165+$Q$166))</f>
        <v>37253.819111492157</v>
      </c>
      <c r="W166" s="55">
        <f>+T166-Q166</f>
        <v>-7447.0055000000066</v>
      </c>
      <c r="X166" s="55">
        <f>-Q166+U166</f>
        <v>-8551.3061885078496</v>
      </c>
      <c r="Z166" s="144">
        <f>+E154*Q166/1000</f>
        <v>2237.7073236264982</v>
      </c>
      <c r="AA166" s="85"/>
      <c r="AU166" s="82"/>
      <c r="AV166" s="82"/>
      <c r="AW166" s="82"/>
      <c r="AX166" s="82">
        <f>AX153*H153/1000</f>
        <v>1310.9172233822487</v>
      </c>
      <c r="AY166" s="82"/>
    </row>
    <row r="167" spans="1:51" ht="15" x14ac:dyDescent="0.4">
      <c r="A167" s="22"/>
      <c r="P167" s="13" t="s">
        <v>191</v>
      </c>
      <c r="Q167" s="55">
        <f>SUM(W65:W68)/1000</f>
        <v>1856.3194371117004</v>
      </c>
      <c r="R167" s="55"/>
      <c r="T167" s="55">
        <v>0</v>
      </c>
      <c r="U167" s="55">
        <v>0</v>
      </c>
      <c r="W167" s="55">
        <f>+T167-Q167</f>
        <v>-1856.3194371117004</v>
      </c>
      <c r="X167" s="55"/>
      <c r="Z167" s="85">
        <f>+E152*Q167/1000</f>
        <v>113.85256809759589</v>
      </c>
      <c r="AU167" s="82"/>
      <c r="AV167" s="82"/>
      <c r="AW167" s="82"/>
      <c r="AX167" s="82">
        <f>AX154*H154/1000</f>
        <v>-10.234540350593013</v>
      </c>
      <c r="AY167" s="82"/>
    </row>
    <row r="168" spans="1:51" x14ac:dyDescent="0.25">
      <c r="A168" s="22"/>
      <c r="B168" s="13" t="s">
        <v>78</v>
      </c>
      <c r="C168" s="87"/>
      <c r="D168" s="87"/>
      <c r="E168" s="87">
        <f>'BGS PTY15 Cost Alloc'!E168</f>
        <v>88.17</v>
      </c>
      <c r="F168" s="87">
        <f>'BGS PTY15 Cost Alloc'!F168</f>
        <v>2898.66</v>
      </c>
      <c r="G168" s="87">
        <f>'BGS PTY15 Cost Alloc'!G168</f>
        <v>1628.02</v>
      </c>
      <c r="H168" s="87">
        <f>'BGS PTY15 Cost Alloc'!H168</f>
        <v>32.1</v>
      </c>
      <c r="I168" s="87">
        <f>'BGS PTY15 Cost Alloc'!I168</f>
        <v>0.24</v>
      </c>
      <c r="J168" s="87">
        <f>SUM(E168:I168)</f>
        <v>4647.1900000000005</v>
      </c>
      <c r="K168" s="87"/>
      <c r="L168" s="87"/>
      <c r="M168" s="87"/>
      <c r="Z168" s="144">
        <f>SUM(Z165:Z167)</f>
        <v>4836.3891077380376</v>
      </c>
      <c r="AA168" s="144"/>
      <c r="AC168" s="81">
        <f>+E130</f>
        <v>4836.3068474553766</v>
      </c>
      <c r="AU168" s="82">
        <f>AU156*E156/1000</f>
        <v>11451.400123258161</v>
      </c>
      <c r="AV168" s="82">
        <f>AV156*F156/1000</f>
        <v>373749.62268087128</v>
      </c>
      <c r="AW168" s="82">
        <f>AW156*G156/1000</f>
        <v>276775.30951240554</v>
      </c>
      <c r="AX168" s="82">
        <f>AX156*H156/1000</f>
        <v>5365.1849162284871</v>
      </c>
      <c r="AY168" s="82">
        <f>AY156*I156/1000</f>
        <v>4894.4975778551907</v>
      </c>
    </row>
    <row r="169" spans="1:51" x14ac:dyDescent="0.25">
      <c r="A169" s="22"/>
      <c r="P169" s="133" t="s">
        <v>26</v>
      </c>
      <c r="Q169" s="55"/>
      <c r="R169" s="55"/>
      <c r="T169" s="55"/>
      <c r="U169" s="55"/>
      <c r="W169" s="55"/>
      <c r="X169" s="55"/>
      <c r="AU169" s="82"/>
      <c r="AV169" s="82"/>
      <c r="AW169" s="82"/>
      <c r="AX169" s="82">
        <f>AX157*H157/1000</f>
        <v>2225.2537016182155</v>
      </c>
      <c r="AY169" s="82"/>
    </row>
    <row r="170" spans="1:51" x14ac:dyDescent="0.25">
      <c r="A170" s="22"/>
      <c r="B170" s="13" t="s">
        <v>79</v>
      </c>
      <c r="C170" s="88" t="s">
        <v>80</v>
      </c>
      <c r="D170" s="86"/>
      <c r="E170" s="67"/>
      <c r="F170" s="67"/>
      <c r="G170" s="67"/>
      <c r="H170" s="67"/>
      <c r="I170" s="67"/>
      <c r="J170" s="86"/>
      <c r="K170" s="86"/>
      <c r="L170" s="86"/>
      <c r="M170" s="86"/>
      <c r="P170" s="13" t="s">
        <v>14</v>
      </c>
      <c r="Q170" s="55">
        <f>SUMPRODUCT(E33:E37,M60:M64)+SUMPRODUCT(E42:E44,M69:M71)</f>
        <v>56845.5003</v>
      </c>
      <c r="R170" s="55">
        <f>SUMPRODUCT(E33:E37,E60:E64)+SUMPRODUCT(E42:E44,E69:E71)</f>
        <v>58194.747799999997</v>
      </c>
      <c r="T170" s="55">
        <f>Q72</f>
        <v>79760.139599999995</v>
      </c>
      <c r="U170" s="55">
        <f>T170-($Q$172*$Q170/($Q$170+$Q$171))</f>
        <v>78414.951988005327</v>
      </c>
      <c r="W170" s="55">
        <f>+T170-Q170</f>
        <v>22914.639299999995</v>
      </c>
      <c r="X170" s="55">
        <f>-Q170+U170</f>
        <v>21569.451688005327</v>
      </c>
      <c r="Z170" s="144">
        <f>+E157*Q170/1000</f>
        <v>3892.2730251628868</v>
      </c>
      <c r="AA170" s="144"/>
      <c r="AC170" s="81"/>
      <c r="AU170" s="82"/>
      <c r="AV170" s="82"/>
      <c r="AW170" s="82"/>
      <c r="AX170" s="82">
        <f>AX158*H158/1000</f>
        <v>2983.4261961753609</v>
      </c>
      <c r="AY170" s="82"/>
    </row>
    <row r="171" spans="1:51" ht="15" x14ac:dyDescent="0.4">
      <c r="A171" s="22"/>
      <c r="C171" s="86"/>
      <c r="D171" s="86"/>
      <c r="E171" s="86"/>
      <c r="F171" s="86"/>
      <c r="G171" s="86"/>
      <c r="H171" s="86"/>
      <c r="I171" s="86"/>
      <c r="J171" s="86"/>
      <c r="K171" s="86"/>
      <c r="L171" s="86"/>
      <c r="M171" s="86"/>
      <c r="P171" s="13" t="s">
        <v>15</v>
      </c>
      <c r="Q171" s="55">
        <f>SUMPRODUCT(Q33:Q37,M60:M64)+SUMPRODUCT(Q42:Q44,M69:M71)</f>
        <v>104010.4997</v>
      </c>
      <c r="R171" s="55">
        <f>SUMPRODUCT(Q33:Q37,E60:E64)+SUMPRODUCT(Q42:Q44,E69:E71)</f>
        <v>106467.25220000002</v>
      </c>
      <c r="T171" s="55">
        <f>Q73</f>
        <v>84901.860400000005</v>
      </c>
      <c r="U171" s="55">
        <f>T171-($Q$172*$Q171/($Q$170+$Q$171))</f>
        <v>82440.563815830174</v>
      </c>
      <c r="W171" s="55">
        <f>+T171-Q171</f>
        <v>-19108.639299999995</v>
      </c>
      <c r="X171" s="55">
        <f>-Q171+U171</f>
        <v>-21569.935884169827</v>
      </c>
      <c r="Z171" s="144">
        <f>+E158*Q171/1000</f>
        <v>5221.5697063249581</v>
      </c>
      <c r="AA171" s="85"/>
      <c r="AC171" s="81"/>
      <c r="AU171" s="82"/>
      <c r="AV171" s="82"/>
      <c r="AW171" s="82"/>
      <c r="AX171" s="82"/>
      <c r="AY171" s="82"/>
    </row>
    <row r="172" spans="1:51" ht="15" x14ac:dyDescent="0.4">
      <c r="A172" s="22"/>
      <c r="B172" s="13" t="s">
        <v>81</v>
      </c>
      <c r="I172" s="86"/>
      <c r="J172" s="86"/>
      <c r="K172" s="86"/>
      <c r="L172" s="86"/>
      <c r="M172" s="86"/>
      <c r="P172" s="13" t="s">
        <v>191</v>
      </c>
      <c r="Q172" s="55">
        <f>SUM(W60:W64,W69:W71)/1000</f>
        <v>3806.4841961645006</v>
      </c>
      <c r="T172" s="13">
        <v>0</v>
      </c>
      <c r="U172" s="55">
        <v>0</v>
      </c>
      <c r="W172" s="55">
        <f>+T172-Q172</f>
        <v>-3806.4841961645006</v>
      </c>
      <c r="X172" s="55"/>
      <c r="Z172" s="85">
        <f>+E156*Q172/1000</f>
        <v>215.67038866142732</v>
      </c>
      <c r="AU172" s="82">
        <f>AU160*E160/1000</f>
        <v>14165.839221069686</v>
      </c>
      <c r="AV172" s="82">
        <f>AV160*F160/1000</f>
        <v>501822.23018097616</v>
      </c>
      <c r="AW172" s="82">
        <f>AW160*G160/1000</f>
        <v>353609.97300946631</v>
      </c>
      <c r="AX172" s="82">
        <f>AX160*H160/1000</f>
        <v>6533.9655060976747</v>
      </c>
      <c r="AY172" s="82">
        <f>AY160*I160/1000</f>
        <v>5931.2950283472082</v>
      </c>
    </row>
    <row r="173" spans="1:51" x14ac:dyDescent="0.25">
      <c r="A173" s="22"/>
      <c r="D173" s="89" t="s">
        <v>82</v>
      </c>
      <c r="E173" s="136">
        <v>122</v>
      </c>
      <c r="G173" s="89" t="s">
        <v>83</v>
      </c>
      <c r="H173" s="90">
        <v>4</v>
      </c>
      <c r="I173" s="86"/>
      <c r="J173" s="86"/>
      <c r="K173" s="86"/>
      <c r="L173" s="86"/>
      <c r="M173" s="86"/>
      <c r="Q173" s="26"/>
      <c r="R173" s="26"/>
      <c r="S173" s="26"/>
      <c r="T173" s="26"/>
      <c r="U173" s="26"/>
      <c r="V173" s="26"/>
      <c r="W173" s="26"/>
      <c r="X173" s="26"/>
      <c r="Z173" s="144">
        <f>SUM(Z170:Z172)</f>
        <v>9329.5131201492713</v>
      </c>
      <c r="AA173" s="144"/>
      <c r="AC173" s="81">
        <f>+E134</f>
        <v>9329.5323736143091</v>
      </c>
      <c r="AU173" s="81">
        <f>AU172-AU165-AU168</f>
        <v>175.03147471006559</v>
      </c>
      <c r="AV173" s="81">
        <f>AV172-AV165-AV168</f>
        <v>8987.7600811658194</v>
      </c>
      <c r="AW173" s="81">
        <f>AW172-AW165-AW168</f>
        <v>6522.7783001803327</v>
      </c>
      <c r="AX173" s="81">
        <f>AX172-AX165-AX168</f>
        <v>133.48889767037144</v>
      </c>
      <c r="AY173" s="81">
        <f>AY172-AY165-AY168</f>
        <v>29.61781142262862</v>
      </c>
    </row>
    <row r="174" spans="1:51" ht="15" x14ac:dyDescent="0.4">
      <c r="A174" s="22"/>
      <c r="D174" s="91" t="s">
        <v>84</v>
      </c>
      <c r="E174" s="90">
        <v>244</v>
      </c>
      <c r="G174" s="91" t="s">
        <v>85</v>
      </c>
      <c r="H174" s="90">
        <v>8</v>
      </c>
      <c r="I174" s="86"/>
      <c r="J174" s="86"/>
      <c r="K174" s="86"/>
      <c r="L174" s="86"/>
      <c r="M174" s="86"/>
      <c r="Q174" s="55"/>
      <c r="R174" s="55"/>
      <c r="T174" s="55"/>
      <c r="U174" s="55"/>
      <c r="W174" s="55"/>
      <c r="X174" s="55"/>
      <c r="Z174" s="85"/>
      <c r="AA174" s="85"/>
      <c r="AX174" s="81">
        <f>SUM(AX166:AX167)+SUM(AX169:AX170)</f>
        <v>6509.3625808252318</v>
      </c>
    </row>
    <row r="175" spans="1:51" x14ac:dyDescent="0.25">
      <c r="A175" s="22"/>
      <c r="G175" s="89" t="s">
        <v>86</v>
      </c>
      <c r="H175" s="13">
        <f>+H173+H174</f>
        <v>12</v>
      </c>
      <c r="I175" s="86"/>
      <c r="J175" s="86"/>
      <c r="K175" s="86"/>
      <c r="L175" s="86"/>
      <c r="M175" s="86"/>
      <c r="Q175" s="55"/>
      <c r="R175" s="55"/>
      <c r="T175" s="55"/>
      <c r="U175" s="55"/>
      <c r="W175" s="55"/>
      <c r="X175" s="55"/>
      <c r="Z175" s="144"/>
      <c r="AA175" s="144"/>
      <c r="AC175" s="81">
        <f>SUM(AC168:AC173)</f>
        <v>14165.839221069686</v>
      </c>
    </row>
    <row r="176" spans="1:51" x14ac:dyDescent="0.25">
      <c r="A176" s="22"/>
      <c r="B176" s="21" t="s">
        <v>158</v>
      </c>
      <c r="C176" s="92"/>
      <c r="D176" s="93"/>
      <c r="K176" s="94"/>
      <c r="Q176" s="55"/>
      <c r="R176" s="55"/>
      <c r="T176" s="55"/>
      <c r="U176" s="55"/>
      <c r="W176" s="55"/>
      <c r="X176" s="55"/>
      <c r="Z176" s="144"/>
      <c r="AA176" s="144"/>
      <c r="AC176" s="81"/>
    </row>
    <row r="177" spans="1:50" x14ac:dyDescent="0.25">
      <c r="A177" s="22"/>
      <c r="B177" s="21"/>
      <c r="C177" s="92"/>
      <c r="D177" s="93"/>
      <c r="K177" s="94"/>
      <c r="Q177" s="55"/>
      <c r="R177" s="55"/>
      <c r="T177" s="55"/>
      <c r="U177" s="55"/>
      <c r="W177" s="55"/>
      <c r="X177" s="55"/>
      <c r="Z177" s="144"/>
      <c r="AA177" s="144"/>
      <c r="AC177" s="81"/>
    </row>
    <row r="178" spans="1:50" x14ac:dyDescent="0.25">
      <c r="A178" s="22"/>
      <c r="D178" s="38" t="s">
        <v>222</v>
      </c>
      <c r="E178" s="38" t="s">
        <v>218</v>
      </c>
      <c r="Q178" s="55"/>
      <c r="R178" s="55"/>
      <c r="T178" s="55"/>
      <c r="U178" s="55"/>
      <c r="W178" s="55"/>
      <c r="X178" s="55"/>
      <c r="Z178" s="144"/>
      <c r="AA178" s="144"/>
      <c r="AC178" s="81"/>
    </row>
    <row r="179" spans="1:50" ht="15" x14ac:dyDescent="0.4">
      <c r="A179" s="22"/>
      <c r="B179" s="21" t="s">
        <v>87</v>
      </c>
      <c r="C179" s="13" t="s">
        <v>25</v>
      </c>
      <c r="D179" s="11">
        <v>166.3974140159709</v>
      </c>
      <c r="E179" s="162">
        <f>ROUND(D179*$H$306,3)</f>
        <v>199.494</v>
      </c>
      <c r="F179" s="93" t="s">
        <v>88</v>
      </c>
      <c r="G179" s="89" t="s">
        <v>162</v>
      </c>
      <c r="H179" s="81">
        <f>ROUND(E179*E173*J$168,0)</f>
        <v>113104556</v>
      </c>
      <c r="I179" s="89"/>
      <c r="J179" s="89"/>
      <c r="K179" s="142"/>
      <c r="Q179" s="55"/>
      <c r="R179" s="55"/>
      <c r="T179" s="55"/>
      <c r="U179" s="55"/>
      <c r="W179" s="55"/>
      <c r="X179" s="55"/>
      <c r="Z179" s="85"/>
      <c r="AA179" s="85"/>
      <c r="AC179" s="81"/>
    </row>
    <row r="180" spans="1:50" ht="15" x14ac:dyDescent="0.4">
      <c r="A180" s="22"/>
      <c r="B180" s="21"/>
      <c r="C180" s="13" t="s">
        <v>26</v>
      </c>
      <c r="D180" s="11">
        <v>166.3974140159709</v>
      </c>
      <c r="E180" s="162">
        <f>ROUND(D180*$H$306,3)</f>
        <v>199.494</v>
      </c>
      <c r="F180" s="93" t="s">
        <v>88</v>
      </c>
      <c r="G180" s="121" t="s">
        <v>163</v>
      </c>
      <c r="H180" s="122">
        <f>ROUND(E180*E174*J$168,0)</f>
        <v>226209111</v>
      </c>
      <c r="I180" s="89"/>
      <c r="J180" s="89"/>
      <c r="K180" s="142"/>
      <c r="Z180" s="144"/>
      <c r="AA180" s="144"/>
      <c r="AC180" s="81"/>
    </row>
    <row r="181" spans="1:50" x14ac:dyDescent="0.25">
      <c r="A181" s="22"/>
      <c r="B181" s="21"/>
      <c r="D181" s="11"/>
      <c r="E181" s="93"/>
      <c r="G181" s="89" t="s">
        <v>164</v>
      </c>
      <c r="H181" s="81">
        <f>SUM(H179:H180)</f>
        <v>339313667</v>
      </c>
      <c r="I181" s="89"/>
      <c r="J181" s="89"/>
      <c r="K181" s="142"/>
    </row>
    <row r="182" spans="1:50" x14ac:dyDescent="0.25">
      <c r="A182" s="22"/>
      <c r="B182" s="13" t="s">
        <v>153</v>
      </c>
      <c r="I182" s="89"/>
      <c r="J182" s="89"/>
      <c r="K182" s="142"/>
    </row>
    <row r="183" spans="1:50" x14ac:dyDescent="0.25">
      <c r="A183" s="22"/>
      <c r="B183" s="17" t="s">
        <v>154</v>
      </c>
      <c r="I183" s="89"/>
      <c r="J183" s="89"/>
      <c r="K183" s="142"/>
    </row>
    <row r="184" spans="1:50" x14ac:dyDescent="0.25">
      <c r="A184" s="22"/>
      <c r="B184" s="17"/>
      <c r="C184" s="105" t="str">
        <f>" ---------- Rate "&amp;C30&amp;" ----------"</f>
        <v xml:space="preserve"> ---------- Rate  ----------</v>
      </c>
      <c r="D184" s="106"/>
      <c r="E184" s="106"/>
      <c r="I184" s="89"/>
      <c r="J184" s="89"/>
      <c r="K184" s="142"/>
    </row>
    <row r="185" spans="1:50" x14ac:dyDescent="0.25">
      <c r="A185" s="22"/>
      <c r="C185" s="38" t="s">
        <v>140</v>
      </c>
      <c r="E185" s="38" t="s">
        <v>141</v>
      </c>
      <c r="I185" s="89"/>
      <c r="J185" s="89"/>
      <c r="K185" s="142"/>
    </row>
    <row r="186" spans="1:50" x14ac:dyDescent="0.25">
      <c r="A186" s="22"/>
      <c r="B186" s="89" t="s">
        <v>142</v>
      </c>
      <c r="C186" s="107"/>
      <c r="E186" s="118">
        <f>SUM(R65/(R65+R66))</f>
        <v>0.53644158770316963</v>
      </c>
      <c r="F186" s="112"/>
      <c r="I186" s="89"/>
      <c r="J186" s="89"/>
      <c r="K186" s="142"/>
      <c r="AX186" s="118">
        <f>(37892894+37550803+37185127+37530967+385012043+415293692+408537249+370243592)/(37892894+37550803+37185127+37530967+385012043+415293692+408537249+370243592+28757462+38416028+35549073+25251802+243248593+403536675+352244990+172217638)</f>
        <v>0.5709969556930804</v>
      </c>
    </row>
    <row r="187" spans="1:50" x14ac:dyDescent="0.25">
      <c r="A187" s="22"/>
      <c r="B187" s="89" t="s">
        <v>144</v>
      </c>
      <c r="C187" s="108"/>
      <c r="E187" s="109">
        <f>1-E186</f>
        <v>0.46355841229683037</v>
      </c>
      <c r="G187" s="53"/>
      <c r="I187" s="89"/>
      <c r="J187" s="89"/>
      <c r="K187" s="142"/>
    </row>
    <row r="188" spans="1:50" x14ac:dyDescent="0.25">
      <c r="A188" s="22"/>
      <c r="B188" s="110" t="s">
        <v>155</v>
      </c>
      <c r="C188" s="111">
        <v>0.86519999999999997</v>
      </c>
      <c r="D188" s="13" t="s">
        <v>143</v>
      </c>
      <c r="J188" s="89"/>
      <c r="K188" s="142"/>
    </row>
    <row r="189" spans="1:50" x14ac:dyDescent="0.25">
      <c r="A189" s="13"/>
      <c r="J189" s="89"/>
      <c r="K189" s="142"/>
    </row>
    <row r="190" spans="1:50" x14ac:dyDescent="0.25">
      <c r="A190" s="18" t="s">
        <v>89</v>
      </c>
      <c r="B190" s="16" t="s">
        <v>90</v>
      </c>
      <c r="D190" s="38" t="s">
        <v>222</v>
      </c>
      <c r="E190" s="38" t="s">
        <v>218</v>
      </c>
    </row>
    <row r="191" spans="1:50" x14ac:dyDescent="0.25">
      <c r="A191" s="22"/>
      <c r="B191" s="17" t="s">
        <v>91</v>
      </c>
      <c r="D191" s="11">
        <v>3</v>
      </c>
      <c r="E191" s="162">
        <f>ROUND(D191*$H$306,3)</f>
        <v>3.597</v>
      </c>
      <c r="F191" s="13" t="s">
        <v>92</v>
      </c>
    </row>
    <row r="192" spans="1:50" x14ac:dyDescent="0.25">
      <c r="A192" s="22"/>
      <c r="B192" s="17"/>
      <c r="F192" s="93"/>
    </row>
    <row r="193" spans="1:18" x14ac:dyDescent="0.25">
      <c r="A193" s="22"/>
      <c r="B193" s="16"/>
      <c r="E193" s="92"/>
      <c r="F193" s="93"/>
    </row>
    <row r="194" spans="1:18" x14ac:dyDescent="0.25">
      <c r="A194" s="18" t="s">
        <v>93</v>
      </c>
      <c r="B194" s="16" t="s">
        <v>167</v>
      </c>
    </row>
    <row r="195" spans="1:18" x14ac:dyDescent="0.25">
      <c r="A195" s="18"/>
      <c r="B195" s="16"/>
    </row>
    <row r="196" spans="1:18" x14ac:dyDescent="0.25">
      <c r="A196" s="18"/>
      <c r="B196" s="16"/>
      <c r="C196" s="26"/>
      <c r="D196" s="26"/>
      <c r="E196" s="26" t="str">
        <f>+E$13</f>
        <v>RT{1}</v>
      </c>
      <c r="F196" s="26" t="str">
        <f>+F$13</f>
        <v>RS{2}</v>
      </c>
      <c r="G196" s="26" t="str">
        <f>+G$13</f>
        <v>GS{3}</v>
      </c>
      <c r="H196" s="155" t="str">
        <f>+H$58</f>
        <v>GST {4}</v>
      </c>
      <c r="I196" s="26" t="str">
        <f>+I$13</f>
        <v>OL/SL</v>
      </c>
      <c r="J196" s="26"/>
    </row>
    <row r="197" spans="1:18" x14ac:dyDescent="0.25">
      <c r="A197" s="18"/>
      <c r="B197" s="16"/>
    </row>
    <row r="198" spans="1:18" x14ac:dyDescent="0.25">
      <c r="A198" s="22"/>
      <c r="B198" s="89" t="s">
        <v>94</v>
      </c>
      <c r="C198" s="145"/>
      <c r="D198" s="145"/>
      <c r="E198" s="146">
        <f>'BGS PTY15 Cost Alloc'!E203</f>
        <v>3.8420000000000001</v>
      </c>
      <c r="F198" s="146">
        <f>'BGS PTY15 Cost Alloc'!F203</f>
        <v>4.6269999999999998</v>
      </c>
      <c r="G198" s="146">
        <f>'BGS PTY15 Cost Alloc'!G203</f>
        <v>4.6150000000000002</v>
      </c>
      <c r="H198" s="146">
        <f>'BGS PTY15 Cost Alloc'!H203</f>
        <v>3.69</v>
      </c>
      <c r="I198" s="146">
        <f>'BGS PTY15 Cost Alloc'!I203</f>
        <v>3.508</v>
      </c>
      <c r="J198" s="145"/>
      <c r="K198" s="145"/>
      <c r="L198" s="145"/>
      <c r="M198" s="145"/>
    </row>
    <row r="199" spans="1:18" x14ac:dyDescent="0.25">
      <c r="A199" s="22"/>
      <c r="B199" s="89"/>
      <c r="C199" s="145"/>
      <c r="D199" s="145"/>
      <c r="E199" s="145"/>
      <c r="F199" s="145"/>
      <c r="G199" s="145"/>
      <c r="H199" s="145"/>
      <c r="I199" s="145"/>
      <c r="J199" s="145"/>
      <c r="K199" s="145"/>
      <c r="L199" s="145"/>
      <c r="M199" s="145"/>
    </row>
    <row r="200" spans="1:18" x14ac:dyDescent="0.25">
      <c r="A200" s="22"/>
      <c r="B200" s="89" t="s">
        <v>131</v>
      </c>
      <c r="C200" s="145"/>
      <c r="D200" s="145"/>
      <c r="E200" s="146">
        <f>$H$181*(E$168/$J$168)/E$72</f>
        <v>26.436518621632995</v>
      </c>
      <c r="F200" s="146">
        <f>$H$181*(F$168/$J$168)/F$72</f>
        <v>24.611740271469888</v>
      </c>
      <c r="G200" s="146">
        <f>$H$181*(G$168/$J$168)/G$72</f>
        <v>19.95274925927033</v>
      </c>
      <c r="H200" s="146">
        <f>$H$181*(H$168/$J$168)/H$72</f>
        <v>21.401994378650286</v>
      </c>
      <c r="I200" s="146">
        <f>$H$181*(I$168/$J$168)/I$72</f>
        <v>0.15332668025759913</v>
      </c>
      <c r="J200" s="145"/>
      <c r="K200" s="145"/>
      <c r="L200" s="145"/>
      <c r="M200" s="145"/>
    </row>
    <row r="201" spans="1:18" x14ac:dyDescent="0.25">
      <c r="A201" s="22"/>
      <c r="B201" s="89" t="s">
        <v>198</v>
      </c>
      <c r="C201" s="145"/>
      <c r="D201" s="145"/>
      <c r="E201" s="146">
        <f>$H$179*(E$168/$J$168)/SUM(E65:E68)</f>
        <v>27.213649223621445</v>
      </c>
      <c r="F201" s="146">
        <f>$H$179*(F$168/$J$168)/SUM(F65:F68)</f>
        <v>19.721517367256677</v>
      </c>
      <c r="G201" s="146">
        <f>$H$179*(G$168/$J$168)/SUM(G65:G68)</f>
        <v>18.209771079973049</v>
      </c>
      <c r="H201" s="146"/>
      <c r="I201" s="146">
        <f>$H$179*(I$168/$J$168)/SUM(I65:I68)</f>
        <v>0.15341258928960261</v>
      </c>
      <c r="J201" s="145"/>
      <c r="K201" s="145"/>
      <c r="L201" s="145"/>
      <c r="M201" s="145"/>
    </row>
    <row r="202" spans="1:18" x14ac:dyDescent="0.25">
      <c r="A202" s="22"/>
      <c r="B202" s="89" t="s">
        <v>199</v>
      </c>
      <c r="C202" s="145"/>
      <c r="D202" s="145"/>
      <c r="E202" s="146">
        <f>$H$179*(E$168/$J$168)/R165</f>
        <v>67.178539769837315</v>
      </c>
      <c r="F202" s="146"/>
      <c r="G202" s="146"/>
      <c r="H202" s="146">
        <f>$H$179*(H$168/$J$168)/Q153</f>
        <v>48.054320419250153</v>
      </c>
      <c r="I202" s="146"/>
      <c r="J202" s="145"/>
      <c r="K202" s="145"/>
      <c r="L202" s="145"/>
      <c r="M202" s="145"/>
    </row>
    <row r="203" spans="1:18" x14ac:dyDescent="0.25">
      <c r="A203" s="22"/>
      <c r="B203" s="89" t="s">
        <v>201</v>
      </c>
      <c r="C203" s="145"/>
      <c r="D203" s="145"/>
      <c r="E203" s="146">
        <f>$H$180*(E$168/$J$168)/(E72-SUM(E65:E68))</f>
        <v>26.064363197253375</v>
      </c>
      <c r="F203" s="146">
        <f>$H$180*(F$168/$J$168)/(F72-SUM(F65:F68))</f>
        <v>28.095013852403387</v>
      </c>
      <c r="G203" s="146">
        <f>$H$180*(G$168/$J$168)/(G72-SUM(G65:G68))</f>
        <v>20.955651587101091</v>
      </c>
      <c r="H203" s="146"/>
      <c r="I203" s="146">
        <f>$H$180*(I$168/$J$168)/(I72-SUM(I65:I68))</f>
        <v>0.15328376181225403</v>
      </c>
      <c r="J203" s="145"/>
      <c r="K203" s="145"/>
      <c r="L203" s="145"/>
      <c r="M203" s="145"/>
    </row>
    <row r="204" spans="1:18" x14ac:dyDescent="0.25">
      <c r="A204" s="22"/>
      <c r="B204" s="89" t="s">
        <v>200</v>
      </c>
      <c r="C204" s="145"/>
      <c r="D204" s="145"/>
      <c r="E204" s="146">
        <f>$H$180*(E$168/$J$168)/R170</f>
        <v>73.749098243985088</v>
      </c>
      <c r="F204" s="147"/>
      <c r="G204" s="147"/>
      <c r="H204" s="146">
        <f>$H$180*(H$168/$J$168)/Q157</f>
        <v>47.768321591691276</v>
      </c>
      <c r="I204" s="146"/>
      <c r="J204" s="145"/>
      <c r="K204" s="145"/>
      <c r="L204" s="145"/>
      <c r="M204" s="145"/>
    </row>
    <row r="205" spans="1:18" x14ac:dyDescent="0.25">
      <c r="A205" s="22"/>
      <c r="B205" s="89"/>
      <c r="C205" s="145"/>
      <c r="D205" s="145"/>
      <c r="E205" s="146"/>
      <c r="F205" s="146"/>
      <c r="G205" s="146"/>
      <c r="H205" s="146"/>
      <c r="I205" s="146"/>
      <c r="J205" s="145"/>
      <c r="K205" s="145"/>
      <c r="L205" s="145"/>
      <c r="M205" s="145"/>
    </row>
    <row r="206" spans="1:18" ht="15.6" x14ac:dyDescent="0.3">
      <c r="A206" s="22"/>
      <c r="B206" s="519" t="str">
        <f>$B$1</f>
        <v xml:space="preserve">Jersey Central Power &amp; Light </v>
      </c>
      <c r="C206" s="519"/>
      <c r="D206" s="519"/>
      <c r="E206" s="519"/>
      <c r="F206" s="519"/>
      <c r="G206" s="519"/>
      <c r="H206" s="519"/>
      <c r="I206" s="519"/>
      <c r="J206" s="519"/>
      <c r="K206" s="519"/>
      <c r="L206" s="519"/>
      <c r="M206" s="145"/>
    </row>
    <row r="207" spans="1:18" ht="15.6" x14ac:dyDescent="0.3">
      <c r="A207" s="22"/>
      <c r="B207" s="519" t="str">
        <f>$B$2</f>
        <v>Attachment 2</v>
      </c>
      <c r="C207" s="519"/>
      <c r="D207" s="519"/>
      <c r="E207" s="519"/>
      <c r="F207" s="519"/>
      <c r="G207" s="519"/>
      <c r="H207" s="519"/>
      <c r="I207" s="519"/>
      <c r="J207" s="519"/>
      <c r="K207" s="519"/>
      <c r="L207" s="519"/>
      <c r="M207" s="145"/>
      <c r="N207" s="145"/>
      <c r="O207" s="145"/>
      <c r="P207" s="145"/>
      <c r="Q207" s="145"/>
      <c r="R207" s="145"/>
    </row>
    <row r="208" spans="1:18" x14ac:dyDescent="0.25">
      <c r="A208" s="22"/>
      <c r="E208" s="145"/>
      <c r="F208" s="145"/>
      <c r="G208" s="145"/>
      <c r="H208" s="145"/>
      <c r="K208" s="145"/>
      <c r="L208" s="145"/>
      <c r="M208" s="145"/>
      <c r="N208" s="145"/>
      <c r="O208" s="145"/>
      <c r="P208" s="145"/>
      <c r="Q208" s="145"/>
      <c r="R208" s="145"/>
    </row>
    <row r="209" spans="1:18" x14ac:dyDescent="0.25">
      <c r="A209" s="22"/>
      <c r="M209" s="145"/>
      <c r="N209" s="145"/>
      <c r="O209" s="145"/>
      <c r="P209" s="145"/>
      <c r="Q209" s="145"/>
      <c r="R209" s="145"/>
    </row>
    <row r="210" spans="1:18" x14ac:dyDescent="0.25">
      <c r="A210" s="18" t="s">
        <v>95</v>
      </c>
      <c r="B210" s="16" t="s">
        <v>96</v>
      </c>
      <c r="M210" s="145"/>
      <c r="N210" s="145"/>
      <c r="O210" s="145"/>
      <c r="P210" s="145"/>
      <c r="Q210" s="145"/>
      <c r="R210" s="145"/>
    </row>
    <row r="211" spans="1:18" x14ac:dyDescent="0.25">
      <c r="A211" s="22"/>
      <c r="B211" s="16"/>
      <c r="M211" s="145"/>
      <c r="N211" s="145"/>
      <c r="O211" s="145"/>
      <c r="P211" s="145"/>
      <c r="Q211" s="145"/>
      <c r="R211" s="145"/>
    </row>
    <row r="212" spans="1:18" x14ac:dyDescent="0.25">
      <c r="A212" s="22"/>
      <c r="B212" s="16" t="s">
        <v>97</v>
      </c>
      <c r="M212" s="145"/>
      <c r="N212" s="145"/>
      <c r="O212" s="145"/>
      <c r="P212" s="145"/>
      <c r="Q212" s="145"/>
      <c r="R212" s="145"/>
    </row>
    <row r="213" spans="1:18" x14ac:dyDescent="0.25">
      <c r="A213" s="22"/>
      <c r="B213" s="17" t="s">
        <v>219</v>
      </c>
      <c r="M213" s="145"/>
      <c r="N213" s="145"/>
      <c r="O213" s="145"/>
      <c r="P213" s="145"/>
      <c r="Q213" s="145"/>
      <c r="R213" s="145"/>
    </row>
    <row r="214" spans="1:18" x14ac:dyDescent="0.25">
      <c r="A214" s="22"/>
      <c r="B214" s="17" t="s">
        <v>21</v>
      </c>
      <c r="M214" s="145"/>
      <c r="N214" s="145"/>
      <c r="O214" s="145"/>
      <c r="P214" s="145"/>
      <c r="Q214" s="145"/>
      <c r="R214" s="145"/>
    </row>
    <row r="215" spans="1:18" x14ac:dyDescent="0.25">
      <c r="A215" s="22"/>
      <c r="C215" s="26"/>
      <c r="D215" s="26"/>
      <c r="E215" s="26" t="str">
        <f>+E$13</f>
        <v>RT{1}</v>
      </c>
      <c r="F215" s="26" t="str">
        <f>+F$13</f>
        <v>RS{2}</v>
      </c>
      <c r="G215" s="26" t="str">
        <f>+G$13</f>
        <v>GS{3}</v>
      </c>
      <c r="H215" s="155" t="str">
        <f>+H$58</f>
        <v>GST {4}</v>
      </c>
      <c r="I215" s="26" t="str">
        <f>+I$13</f>
        <v>OL/SL</v>
      </c>
      <c r="J215" s="26"/>
      <c r="M215" s="145"/>
      <c r="N215" s="145"/>
      <c r="O215" s="145"/>
      <c r="P215" s="145"/>
      <c r="Q215" s="145"/>
      <c r="R215" s="145"/>
    </row>
    <row r="216" spans="1:18" x14ac:dyDescent="0.25">
      <c r="A216" s="22"/>
      <c r="C216" s="26"/>
      <c r="D216" s="26"/>
      <c r="E216" s="74"/>
      <c r="F216" s="26"/>
      <c r="G216" s="26"/>
      <c r="M216" s="145"/>
      <c r="N216" s="145"/>
      <c r="O216" s="145"/>
      <c r="P216" s="145"/>
      <c r="Q216" s="145"/>
      <c r="R216" s="145"/>
    </row>
    <row r="217" spans="1:18" x14ac:dyDescent="0.25">
      <c r="A217" s="22"/>
      <c r="B217" s="28" t="s">
        <v>17</v>
      </c>
      <c r="C217" s="74"/>
      <c r="D217" s="74"/>
      <c r="E217" s="74">
        <f>+E152+(E$95*$E$191)+E$198+E201</f>
        <v>96.409514994991653</v>
      </c>
      <c r="F217" s="74">
        <f>+F152+(F$95*$E$191)+F$198+F201</f>
        <v>89.921455883993644</v>
      </c>
      <c r="G217" s="74">
        <f>+G152+(G$95*$E$191)+G$198+G201</f>
        <v>90.091740145449833</v>
      </c>
      <c r="H217" s="74"/>
      <c r="I217" s="74">
        <f>+I152+(I$95*$E$191)+I$198+I201</f>
        <v>60.617088172163882</v>
      </c>
      <c r="J217" s="74"/>
      <c r="K217" s="74"/>
      <c r="M217" s="145"/>
      <c r="N217" s="145"/>
      <c r="O217" s="145"/>
      <c r="P217" s="145"/>
      <c r="Q217" s="145"/>
      <c r="R217" s="145"/>
    </row>
    <row r="218" spans="1:18" x14ac:dyDescent="0.25">
      <c r="A218" s="22"/>
      <c r="B218" s="77" t="s">
        <v>72</v>
      </c>
      <c r="C218" s="74"/>
      <c r="D218" s="74"/>
      <c r="E218" s="74">
        <f>+E153+(E$95*$E$191)+E$198+E$202</f>
        <v>154.70213743454059</v>
      </c>
      <c r="F218" s="74"/>
      <c r="G218" s="74"/>
      <c r="H218" s="74">
        <f>+H153+(H$95*$E$191)+H$198+H$202</f>
        <v>136.39789695619308</v>
      </c>
      <c r="I218" s="74"/>
      <c r="J218" s="74"/>
      <c r="M218" s="145"/>
      <c r="N218" s="145"/>
      <c r="O218" s="145"/>
      <c r="P218" s="145"/>
      <c r="Q218" s="145"/>
      <c r="R218" s="145"/>
    </row>
    <row r="219" spans="1:18" x14ac:dyDescent="0.25">
      <c r="A219" s="22"/>
      <c r="B219" s="77" t="s">
        <v>73</v>
      </c>
      <c r="C219" s="74"/>
      <c r="D219" s="74"/>
      <c r="E219" s="74">
        <f>+E154+(E$95*$E$191)+E$198</f>
        <v>56.716214808529536</v>
      </c>
      <c r="F219" s="74"/>
      <c r="G219" s="74"/>
      <c r="H219" s="74">
        <f>+H154+(H$95*$E$191)+H$198</f>
        <v>58.127898154233797</v>
      </c>
      <c r="I219" s="74"/>
      <c r="J219" s="74"/>
      <c r="M219" s="145"/>
      <c r="N219" s="145"/>
      <c r="O219" s="145"/>
      <c r="P219" s="145"/>
      <c r="Q219" s="145"/>
      <c r="R219" s="145"/>
    </row>
    <row r="220" spans="1:18" x14ac:dyDescent="0.25">
      <c r="A220" s="22"/>
      <c r="B220" s="89" t="s">
        <v>142</v>
      </c>
      <c r="C220" s="74"/>
      <c r="D220" s="74"/>
      <c r="E220" s="74"/>
      <c r="F220" s="74">
        <f>(F217*SUM(F65:F68)-C188*10*E187*SUM(F65:F68))/SUM(F65:F68)</f>
        <v>85.910748500801461</v>
      </c>
      <c r="G220" s="74"/>
      <c r="H220" s="74"/>
      <c r="I220" s="74"/>
      <c r="J220" s="74"/>
      <c r="M220" s="145"/>
      <c r="N220" s="145"/>
      <c r="O220" s="145"/>
      <c r="P220" s="145"/>
      <c r="Q220" s="145"/>
      <c r="R220" s="145"/>
    </row>
    <row r="221" spans="1:18" x14ac:dyDescent="0.25">
      <c r="A221" s="22"/>
      <c r="B221" s="89" t="s">
        <v>144</v>
      </c>
      <c r="C221" s="74"/>
      <c r="D221" s="74"/>
      <c r="E221" s="74"/>
      <c r="F221" s="74">
        <f>+F220+C188*10</f>
        <v>94.562748500801462</v>
      </c>
      <c r="G221" s="119"/>
      <c r="H221" s="74"/>
      <c r="I221" s="74"/>
      <c r="J221" s="74"/>
      <c r="M221" s="145"/>
      <c r="N221" s="145"/>
      <c r="O221" s="145"/>
      <c r="P221" s="145"/>
      <c r="Q221" s="145"/>
      <c r="R221" s="145"/>
    </row>
    <row r="222" spans="1:18" x14ac:dyDescent="0.25">
      <c r="A222" s="22"/>
      <c r="C222" s="74"/>
      <c r="D222" s="74"/>
      <c r="E222" s="74"/>
      <c r="F222" s="74"/>
      <c r="G222" s="74"/>
      <c r="H222" s="74"/>
      <c r="I222" s="74"/>
      <c r="J222" s="74"/>
      <c r="M222" s="145"/>
      <c r="N222" s="145"/>
      <c r="O222" s="145"/>
      <c r="P222" s="145"/>
      <c r="Q222" s="145"/>
      <c r="R222" s="145"/>
    </row>
    <row r="223" spans="1:18" x14ac:dyDescent="0.25">
      <c r="A223" s="22"/>
      <c r="B223" s="28" t="s">
        <v>18</v>
      </c>
      <c r="C223" s="74"/>
      <c r="D223" s="74"/>
      <c r="E223" s="74">
        <f>+E156+(E$95*$E$191)+E$198+E203</f>
        <v>90.586491326165202</v>
      </c>
      <c r="F223" s="74">
        <f>+F156+(F$95*$E$191)+F$198+F203</f>
        <v>92.822982303121947</v>
      </c>
      <c r="G223" s="74">
        <f>+G156+(G$95*$E$191)+G$198+G203</f>
        <v>86.708347798877924</v>
      </c>
      <c r="H223" s="74"/>
      <c r="I223" s="74">
        <f>+I156+(I$95*$E$191)+I$198+I203</f>
        <v>59.062055343078555</v>
      </c>
      <c r="J223" s="74"/>
      <c r="K223" s="74"/>
      <c r="M223" s="145"/>
      <c r="N223" s="145"/>
      <c r="O223" s="145"/>
      <c r="P223" s="145"/>
      <c r="Q223" s="145"/>
      <c r="R223" s="145"/>
    </row>
    <row r="224" spans="1:18" x14ac:dyDescent="0.25">
      <c r="A224" s="22"/>
      <c r="B224" s="77" t="s">
        <v>72</v>
      </c>
      <c r="C224" s="74"/>
      <c r="D224" s="74"/>
      <c r="E224" s="74">
        <f>+E157+(E$95*$E$191)+E$198+E$204</f>
        <v>150.08362545334916</v>
      </c>
      <c r="F224" s="74"/>
      <c r="G224" s="74"/>
      <c r="H224" s="74">
        <f>+H157+(H$95*$E$191)+H$198+H$204</f>
        <v>123.50953252151837</v>
      </c>
      <c r="I224" s="74"/>
      <c r="J224" s="74"/>
      <c r="M224" s="145"/>
      <c r="N224" s="145"/>
      <c r="O224" s="145"/>
      <c r="P224" s="145"/>
      <c r="Q224" s="145"/>
      <c r="R224" s="145"/>
    </row>
    <row r="225" spans="1:18" x14ac:dyDescent="0.25">
      <c r="A225" s="22"/>
      <c r="B225" s="77" t="s">
        <v>73</v>
      </c>
      <c r="C225" s="74"/>
      <c r="D225" s="74"/>
      <c r="E225" s="74">
        <f>+E158+(E$95*$E$191)+E$198</f>
        <v>58.065775887634004</v>
      </c>
      <c r="F225" s="74"/>
      <c r="G225" s="74"/>
      <c r="H225" s="74">
        <f>+H158+(H$95*$E$191)+H$198</f>
        <v>56.823764758372249</v>
      </c>
      <c r="I225" s="74"/>
      <c r="J225" s="74"/>
      <c r="M225" s="145"/>
      <c r="N225" s="145"/>
      <c r="O225" s="145"/>
      <c r="P225" s="145"/>
      <c r="Q225" s="145"/>
      <c r="R225" s="145"/>
    </row>
    <row r="226" spans="1:18" x14ac:dyDescent="0.25">
      <c r="A226" s="22"/>
      <c r="C226" s="74"/>
      <c r="D226" s="74"/>
      <c r="E226" s="74"/>
      <c r="F226" s="74"/>
      <c r="G226" s="74"/>
      <c r="H226" s="74"/>
      <c r="I226" s="74"/>
      <c r="J226" s="74"/>
      <c r="M226" s="145"/>
      <c r="N226" s="145"/>
      <c r="O226" s="145"/>
      <c r="P226" s="145"/>
      <c r="Q226" s="145"/>
      <c r="R226" s="145"/>
    </row>
    <row r="227" spans="1:18" x14ac:dyDescent="0.25">
      <c r="A227" s="22"/>
      <c r="B227" s="13" t="s">
        <v>98</v>
      </c>
      <c r="C227" s="74"/>
      <c r="D227" s="74"/>
      <c r="E227" s="74">
        <f>+E160+(E$95*$E$191)+E$198+E200</f>
        <v>92.472070542239877</v>
      </c>
      <c r="F227" s="74">
        <f>+F160+(F$95*$E$191)+F$198+F200</f>
        <v>91.61598229565098</v>
      </c>
      <c r="G227" s="74">
        <f>+G160+(G$95*$E$191)+G$198+G200</f>
        <v>87.944094238511155</v>
      </c>
      <c r="H227" s="74">
        <f>((H218*SUMPRODUCT(H38:H41,H65:H68)+H219*SUMPRODUCT(T38:T41,H65:H68))+(H224*(SUMPRODUCT(H33:H37,H60:H64)+SUMPRODUCT(H42:H44,H69:H71))+H225*(SUMPRODUCT(T33:T37,H60:H64)+SUMPRODUCT(T42:T44,H69:H71))))/H72</f>
        <v>88.777816905644897</v>
      </c>
      <c r="I227" s="74">
        <f>+I160+(I$95*$E$191)+I$198+I200</f>
        <v>59.580109354990675</v>
      </c>
      <c r="J227" s="74"/>
      <c r="K227" s="74"/>
      <c r="M227" s="145"/>
      <c r="N227" s="145"/>
      <c r="O227" s="145"/>
      <c r="P227" s="145"/>
      <c r="Q227" s="145"/>
      <c r="R227" s="145"/>
    </row>
    <row r="228" spans="1:18" x14ac:dyDescent="0.25">
      <c r="A228" s="22"/>
      <c r="C228" s="74"/>
      <c r="D228" s="74"/>
      <c r="E228" s="74"/>
      <c r="F228" s="74"/>
      <c r="G228" s="74"/>
      <c r="H228" s="74"/>
      <c r="I228" s="74"/>
      <c r="J228" s="74"/>
      <c r="K228" s="74"/>
      <c r="M228" s="145"/>
      <c r="N228" s="145"/>
      <c r="O228" s="145"/>
      <c r="P228" s="145"/>
      <c r="Q228" s="145"/>
      <c r="R228" s="145"/>
    </row>
    <row r="229" spans="1:18" x14ac:dyDescent="0.25">
      <c r="A229" s="22"/>
      <c r="B229" s="16" t="s">
        <v>99</v>
      </c>
      <c r="M229" s="145"/>
      <c r="N229" s="145"/>
      <c r="O229" s="145"/>
      <c r="P229" s="145"/>
      <c r="Q229" s="145"/>
      <c r="R229" s="145"/>
    </row>
    <row r="230" spans="1:18" x14ac:dyDescent="0.25">
      <c r="A230" s="22"/>
      <c r="B230" s="17" t="s">
        <v>100</v>
      </c>
      <c r="M230" s="145"/>
      <c r="N230" s="145"/>
      <c r="O230" s="145"/>
      <c r="P230" s="145"/>
      <c r="Q230" s="145"/>
      <c r="R230" s="145"/>
    </row>
    <row r="231" spans="1:18" x14ac:dyDescent="0.25">
      <c r="A231" s="22"/>
      <c r="B231" s="17" t="s">
        <v>21</v>
      </c>
      <c r="M231" s="145"/>
      <c r="N231" s="145"/>
      <c r="O231" s="145"/>
      <c r="P231" s="145"/>
      <c r="Q231" s="145"/>
      <c r="R231" s="145"/>
    </row>
    <row r="232" spans="1:18" x14ac:dyDescent="0.25">
      <c r="A232" s="22"/>
      <c r="B232" s="77"/>
      <c r="C232" s="74"/>
      <c r="D232" s="74"/>
      <c r="I232" s="89"/>
      <c r="J232" s="80"/>
      <c r="K232" s="93"/>
    </row>
    <row r="233" spans="1:18" x14ac:dyDescent="0.25">
      <c r="A233" s="22"/>
      <c r="C233" s="74"/>
      <c r="D233" s="74"/>
    </row>
    <row r="234" spans="1:18" x14ac:dyDescent="0.25">
      <c r="A234" s="22"/>
      <c r="B234" s="37" t="s">
        <v>101</v>
      </c>
      <c r="C234" s="74"/>
      <c r="D234" s="74"/>
      <c r="I234" s="96"/>
      <c r="K234" s="93"/>
    </row>
    <row r="235" spans="1:18" x14ac:dyDescent="0.25">
      <c r="A235" s="22"/>
      <c r="B235" s="77"/>
      <c r="C235" s="74"/>
      <c r="D235" s="74"/>
      <c r="I235" s="89"/>
      <c r="J235" s="97"/>
      <c r="K235" s="93"/>
    </row>
    <row r="236" spans="1:18" ht="15.6" x14ac:dyDescent="0.3">
      <c r="A236" s="22"/>
      <c r="B236" s="519" t="str">
        <f>$B$1</f>
        <v xml:space="preserve">Jersey Central Power &amp; Light </v>
      </c>
      <c r="C236" s="519"/>
      <c r="D236" s="519"/>
      <c r="E236" s="519"/>
      <c r="F236" s="519"/>
      <c r="G236" s="519"/>
      <c r="H236" s="519"/>
      <c r="I236" s="519"/>
      <c r="J236" s="519"/>
      <c r="K236" s="519"/>
      <c r="L236" s="519"/>
    </row>
    <row r="237" spans="1:18" ht="15.6" x14ac:dyDescent="0.3">
      <c r="A237" s="22"/>
      <c r="B237" s="519" t="str">
        <f>$B$2</f>
        <v>Attachment 2</v>
      </c>
      <c r="C237" s="519"/>
      <c r="D237" s="519"/>
      <c r="E237" s="519"/>
      <c r="F237" s="519"/>
      <c r="G237" s="519"/>
      <c r="H237" s="519"/>
      <c r="I237" s="519"/>
      <c r="J237" s="519"/>
      <c r="K237" s="519"/>
      <c r="L237" s="519"/>
    </row>
    <row r="238" spans="1:18" ht="15.6" x14ac:dyDescent="0.3">
      <c r="A238" s="22"/>
      <c r="B238" s="166"/>
      <c r="C238" s="166"/>
      <c r="D238" s="166"/>
      <c r="E238" s="166"/>
      <c r="F238" s="166"/>
      <c r="G238" s="166"/>
      <c r="H238" s="166"/>
      <c r="I238" s="166"/>
      <c r="J238" s="166"/>
      <c r="K238" s="166"/>
      <c r="L238" s="166"/>
    </row>
    <row r="239" spans="1:18" ht="15.6" x14ac:dyDescent="0.3">
      <c r="A239" s="18" t="s">
        <v>106</v>
      </c>
      <c r="B239" s="163" t="s">
        <v>240</v>
      </c>
      <c r="C239" s="20"/>
      <c r="E239" s="165"/>
      <c r="F239" s="38"/>
      <c r="K239" s="166"/>
      <c r="L239" s="166"/>
    </row>
    <row r="240" spans="1:18" ht="15.6" x14ac:dyDescent="0.3">
      <c r="B240" s="13" t="s">
        <v>241</v>
      </c>
      <c r="K240" s="166"/>
      <c r="L240" s="166"/>
    </row>
    <row r="241" spans="1:12" ht="15.6" x14ac:dyDescent="0.3">
      <c r="E241" s="26" t="s">
        <v>61</v>
      </c>
      <c r="F241" s="26" t="s">
        <v>62</v>
      </c>
      <c r="G241" s="26" t="s">
        <v>65</v>
      </c>
      <c r="H241" s="26" t="s">
        <v>203</v>
      </c>
      <c r="I241" s="26" t="s">
        <v>55</v>
      </c>
      <c r="K241" s="166"/>
      <c r="L241" s="166"/>
    </row>
    <row r="242" spans="1:12" ht="15.6" x14ac:dyDescent="0.3">
      <c r="K242" s="166"/>
      <c r="L242" s="166"/>
    </row>
    <row r="243" spans="1:12" ht="15.6" x14ac:dyDescent="0.3">
      <c r="B243" s="28" t="s">
        <v>17</v>
      </c>
      <c r="E243" s="55">
        <f>'Composite Cost Allocation'!E110</f>
        <v>1856319.4371117004</v>
      </c>
      <c r="G243" s="55">
        <f>'Composite Cost Allocation'!G110</f>
        <v>2175930000</v>
      </c>
      <c r="I243" s="55">
        <f>'Composite Cost Allocation'!I110</f>
        <v>38075000</v>
      </c>
      <c r="K243" s="166"/>
      <c r="L243" s="166"/>
    </row>
    <row r="244" spans="1:12" ht="15.6" x14ac:dyDescent="0.3">
      <c r="B244" s="77" t="s">
        <v>72</v>
      </c>
      <c r="E244" s="55">
        <f>'Composite Cost Allocation'!E111</f>
        <v>31192710</v>
      </c>
      <c r="H244" s="55">
        <f>'Composite Cost Allocation'!H111</f>
        <v>16257818.199999999</v>
      </c>
      <c r="K244" s="166"/>
      <c r="L244" s="166"/>
    </row>
    <row r="245" spans="1:12" ht="15.6" x14ac:dyDescent="0.3">
      <c r="B245" s="77" t="s">
        <v>73</v>
      </c>
      <c r="E245" s="55">
        <f>'Composite Cost Allocation'!E112</f>
        <v>45804970.562888294</v>
      </c>
      <c r="H245" s="55">
        <f>'Composite Cost Allocation'!H112</f>
        <v>18662181.800000001</v>
      </c>
      <c r="K245" s="166"/>
      <c r="L245" s="166"/>
    </row>
    <row r="246" spans="1:12" ht="15.6" x14ac:dyDescent="0.3">
      <c r="B246" s="89" t="s">
        <v>142</v>
      </c>
      <c r="F246" s="55">
        <f>'Composite Cost Allocation'!F113</f>
        <v>1918974000</v>
      </c>
      <c r="K246" s="166"/>
      <c r="L246" s="166"/>
    </row>
    <row r="247" spans="1:12" ht="15.6" x14ac:dyDescent="0.3">
      <c r="B247" s="89" t="s">
        <v>144</v>
      </c>
      <c r="F247" s="55">
        <f>'Composite Cost Allocation'!F114</f>
        <v>1658254000</v>
      </c>
      <c r="K247" s="166"/>
      <c r="L247" s="166"/>
    </row>
    <row r="248" spans="1:12" ht="15.6" x14ac:dyDescent="0.3">
      <c r="K248" s="166"/>
      <c r="L248" s="166"/>
    </row>
    <row r="249" spans="1:12" ht="15.6" x14ac:dyDescent="0.3">
      <c r="B249" s="28" t="s">
        <v>18</v>
      </c>
      <c r="E249" s="55">
        <f>'Composite Cost Allocation'!E116</f>
        <v>3806484.1961644995</v>
      </c>
      <c r="F249" s="55">
        <f>'Composite Cost Allocation'!F116</f>
        <v>5022127000</v>
      </c>
      <c r="G249" s="55">
        <f>'Composite Cost Allocation'!G116</f>
        <v>3781623000</v>
      </c>
      <c r="I249" s="55">
        <f>'Composite Cost Allocation'!I116</f>
        <v>76214000</v>
      </c>
      <c r="K249" s="166"/>
      <c r="L249" s="166"/>
    </row>
    <row r="250" spans="1:12" ht="15.6" x14ac:dyDescent="0.3">
      <c r="B250" s="77" t="s">
        <v>72</v>
      </c>
      <c r="E250" s="55">
        <f>'Composite Cost Allocation'!E117</f>
        <v>56845366.462860338</v>
      </c>
      <c r="H250" s="55">
        <f>'Composite Cost Allocation'!H117</f>
        <v>32710314.099999998</v>
      </c>
      <c r="K250" s="166"/>
      <c r="L250" s="166"/>
    </row>
    <row r="251" spans="1:12" ht="15.6" x14ac:dyDescent="0.3">
      <c r="B251" s="77" t="s">
        <v>73</v>
      </c>
      <c r="E251" s="55">
        <f>'Composite Cost Allocation'!E118</f>
        <v>104010149.34097517</v>
      </c>
      <c r="H251" s="55">
        <f>'Composite Cost Allocation'!H118</f>
        <v>41881685.900000006</v>
      </c>
      <c r="K251" s="166"/>
      <c r="L251" s="166"/>
    </row>
    <row r="252" spans="1:12" ht="15.6" x14ac:dyDescent="0.3">
      <c r="J252" s="26" t="s">
        <v>13</v>
      </c>
      <c r="K252" s="166"/>
      <c r="L252" s="166"/>
    </row>
    <row r="253" spans="1:12" ht="15.6" x14ac:dyDescent="0.3">
      <c r="B253" s="89" t="s">
        <v>162</v>
      </c>
      <c r="E253" s="55">
        <f>SUM(E243:E247)</f>
        <v>78854000</v>
      </c>
      <c r="F253" s="55">
        <f>SUM(F243:F247)</f>
        <v>3577228000</v>
      </c>
      <c r="G253" s="55">
        <f>SUM(G243:G247)</f>
        <v>2175930000</v>
      </c>
      <c r="H253" s="55">
        <f>SUM(H243:H247)</f>
        <v>34920000</v>
      </c>
      <c r="I253" s="55">
        <f>SUM(I243:I247)</f>
        <v>38075000</v>
      </c>
      <c r="J253" s="55">
        <f>SUM(E253:I253)</f>
        <v>5905007000</v>
      </c>
      <c r="K253" s="166"/>
      <c r="L253" s="166"/>
    </row>
    <row r="254" spans="1:12" ht="15.6" x14ac:dyDescent="0.3">
      <c r="B254" s="89" t="s">
        <v>163</v>
      </c>
      <c r="E254" s="138">
        <f>SUM(E249:E251)</f>
        <v>164662000</v>
      </c>
      <c r="F254" s="138">
        <f>SUM(F249:F251)</f>
        <v>5022127000</v>
      </c>
      <c r="G254" s="133">
        <f>SUM(G249:G251)</f>
        <v>3781623000</v>
      </c>
      <c r="H254" s="133">
        <f>SUM(H249:H251)</f>
        <v>74592000</v>
      </c>
      <c r="I254" s="133">
        <f>SUM(I249:I251)</f>
        <v>76214000</v>
      </c>
      <c r="J254" s="138">
        <f>SUM(E254:I254)</f>
        <v>9119218000</v>
      </c>
      <c r="K254" s="166"/>
      <c r="L254" s="166"/>
    </row>
    <row r="255" spans="1:12" ht="15.6" x14ac:dyDescent="0.3">
      <c r="B255" s="89" t="s">
        <v>164</v>
      </c>
      <c r="E255" s="55">
        <f>SUM(E253:E254)</f>
        <v>243516000</v>
      </c>
      <c r="F255" s="55">
        <f>SUM(F253:F254)</f>
        <v>8599355000</v>
      </c>
      <c r="G255" s="55">
        <f>SUM(G253:G254)</f>
        <v>5957553000</v>
      </c>
      <c r="H255" s="55">
        <f>SUM(H253:H254)</f>
        <v>109512000</v>
      </c>
      <c r="I255" s="55">
        <f>SUM(I253:I254)</f>
        <v>114289000</v>
      </c>
      <c r="J255" s="55">
        <f>SUM(E255:I255)</f>
        <v>15024225000</v>
      </c>
      <c r="K255" s="166"/>
      <c r="L255" s="166"/>
    </row>
    <row r="256" spans="1:12" ht="15.6" x14ac:dyDescent="0.3">
      <c r="A256" s="22"/>
      <c r="B256" s="166"/>
      <c r="C256" s="166"/>
      <c r="D256" s="166"/>
      <c r="E256" s="166"/>
      <c r="F256" s="166"/>
      <c r="G256" s="166"/>
      <c r="H256" s="166"/>
      <c r="I256" s="166"/>
      <c r="J256" s="166"/>
      <c r="K256" s="166"/>
      <c r="L256" s="166"/>
    </row>
    <row r="257" spans="1:15" ht="15.6" x14ac:dyDescent="0.3">
      <c r="A257" s="22"/>
      <c r="B257" s="166"/>
      <c r="C257" s="166"/>
      <c r="D257" s="166"/>
      <c r="E257" s="166"/>
      <c r="F257" s="166"/>
      <c r="G257" s="166"/>
      <c r="H257" s="166"/>
      <c r="I257" s="166"/>
      <c r="J257" s="166"/>
      <c r="K257" s="166"/>
      <c r="L257" s="166"/>
    </row>
    <row r="259" spans="1:15" x14ac:dyDescent="0.25">
      <c r="A259" s="6" t="s">
        <v>133</v>
      </c>
      <c r="B259" s="1" t="s">
        <v>168</v>
      </c>
      <c r="C259"/>
      <c r="D259"/>
      <c r="E259"/>
      <c r="F259"/>
      <c r="G259"/>
      <c r="H259"/>
      <c r="I259"/>
      <c r="J259"/>
      <c r="K259"/>
      <c r="L259"/>
    </row>
    <row r="260" spans="1:15" x14ac:dyDescent="0.25">
      <c r="A260" s="7"/>
      <c r="B260" s="1"/>
      <c r="C260"/>
      <c r="D260"/>
      <c r="E260"/>
      <c r="F260"/>
      <c r="G260"/>
      <c r="H260"/>
      <c r="I260"/>
      <c r="J260"/>
      <c r="K260"/>
      <c r="L260"/>
    </row>
    <row r="261" spans="1:15" x14ac:dyDescent="0.25">
      <c r="A261" s="7"/>
      <c r="B261"/>
      <c r="C261" s="2"/>
      <c r="D261" s="2"/>
      <c r="E261" s="26" t="str">
        <f>+E$13</f>
        <v>RT{1}</v>
      </c>
      <c r="F261" s="26" t="str">
        <f>+F$13</f>
        <v>RS{2}</v>
      </c>
      <c r="G261" s="26" t="str">
        <f>+G$13</f>
        <v>GS{3}</v>
      </c>
      <c r="H261" s="155" t="str">
        <f>+H$58</f>
        <v>GST {4}</v>
      </c>
      <c r="I261" s="26" t="str">
        <f>+I$13</f>
        <v>OL/SL</v>
      </c>
      <c r="J261" s="2" t="s">
        <v>13</v>
      </c>
      <c r="K261" s="2"/>
      <c r="L261" s="2"/>
    </row>
    <row r="262" spans="1:15" x14ac:dyDescent="0.25">
      <c r="A262" s="7"/>
      <c r="B262" t="s">
        <v>134</v>
      </c>
      <c r="C262"/>
      <c r="D262"/>
      <c r="E262"/>
      <c r="F262"/>
      <c r="G262"/>
      <c r="H262"/>
      <c r="I262"/>
      <c r="J262"/>
      <c r="K262"/>
      <c r="L262"/>
    </row>
    <row r="263" spans="1:15" x14ac:dyDescent="0.25">
      <c r="A263" s="7"/>
      <c r="B263" s="28" t="s">
        <v>17</v>
      </c>
      <c r="C263" s="149"/>
      <c r="D263" s="149"/>
      <c r="E263" s="149">
        <f>+E217*E243/1000000</f>
        <v>178.96685660771496</v>
      </c>
      <c r="F263" s="149"/>
      <c r="G263" s="149">
        <f>+G217*G243/1000000</f>
        <v>196033.32013468866</v>
      </c>
      <c r="H263" s="144"/>
      <c r="I263" s="149">
        <f>+I217*I243/1000000</f>
        <v>2307.9956321551399</v>
      </c>
      <c r="J263" s="149"/>
      <c r="K263" s="149"/>
      <c r="L263" s="149"/>
    </row>
    <row r="264" spans="1:15" x14ac:dyDescent="0.25">
      <c r="A264" s="7"/>
      <c r="B264" s="77" t="s">
        <v>72</v>
      </c>
      <c r="C264" s="149"/>
      <c r="D264" s="149"/>
      <c r="E264" s="149">
        <f>+E218*E244/1000000</f>
        <v>4825.5789093757685</v>
      </c>
      <c r="F264" s="149"/>
      <c r="G264" s="149"/>
      <c r="H264" s="149">
        <f>+H218*H244/1000000</f>
        <v>2217.5322115761205</v>
      </c>
      <c r="I264" s="149"/>
      <c r="J264" s="149"/>
      <c r="K264" s="149"/>
      <c r="L264" s="149"/>
    </row>
    <row r="265" spans="1:15" x14ac:dyDescent="0.25">
      <c r="A265" s="7"/>
      <c r="B265" s="77" t="s">
        <v>73</v>
      </c>
      <c r="C265" s="149"/>
      <c r="D265" s="149"/>
      <c r="E265" s="149">
        <f>+E219*E245/1000000</f>
        <v>2597.8845497431444</v>
      </c>
      <c r="F265" s="149"/>
      <c r="G265" s="149"/>
      <c r="H265" s="149">
        <f>+H219*H245/1000000</f>
        <v>1084.7934030061956</v>
      </c>
      <c r="I265" s="149"/>
      <c r="J265" s="149"/>
      <c r="K265" s="81"/>
      <c r="L265" s="81"/>
      <c r="M265" s="81"/>
      <c r="N265" s="81"/>
      <c r="O265" s="81"/>
    </row>
    <row r="266" spans="1:15" x14ac:dyDescent="0.25">
      <c r="A266" s="7"/>
      <c r="B266" s="89" t="s">
        <v>142</v>
      </c>
      <c r="C266" s="149"/>
      <c r="D266" s="149"/>
      <c r="E266" s="149"/>
      <c r="F266" s="149">
        <f>+F220*F246/1000000</f>
        <v>164860.49269357699</v>
      </c>
      <c r="G266" s="149"/>
      <c r="H266" s="144"/>
      <c r="I266" s="149"/>
      <c r="J266" s="149"/>
      <c r="K266" s="149"/>
      <c r="L266" s="149"/>
    </row>
    <row r="267" spans="1:15" x14ac:dyDescent="0.25">
      <c r="A267" s="7"/>
      <c r="B267" s="89" t="s">
        <v>144</v>
      </c>
      <c r="C267" s="149"/>
      <c r="D267" s="149"/>
      <c r="E267" s="149"/>
      <c r="F267" s="149">
        <f>+F221*F247/1000000</f>
        <v>156809.05595244802</v>
      </c>
      <c r="G267" s="149"/>
      <c r="H267" s="144"/>
      <c r="I267" s="149"/>
      <c r="J267" s="149"/>
      <c r="K267" s="149"/>
      <c r="L267" s="149"/>
    </row>
    <row r="268" spans="1:15" x14ac:dyDescent="0.25">
      <c r="A268" s="7"/>
      <c r="C268" s="149"/>
      <c r="D268" s="149"/>
      <c r="E268" s="149"/>
      <c r="F268" s="149"/>
      <c r="G268" s="149"/>
      <c r="H268" s="144"/>
      <c r="I268" s="149"/>
      <c r="J268" s="149"/>
      <c r="K268" s="149"/>
      <c r="L268" s="149"/>
    </row>
    <row r="269" spans="1:15" x14ac:dyDescent="0.25">
      <c r="A269" s="7"/>
      <c r="B269" s="28" t="s">
        <v>18</v>
      </c>
      <c r="C269" s="149"/>
      <c r="D269" s="149"/>
      <c r="E269" s="149">
        <f>+E223*E249/1000000</f>
        <v>344.81604761904038</v>
      </c>
      <c r="F269" s="149">
        <f>+F223*F249/1000000</f>
        <v>466168.80564503086</v>
      </c>
      <c r="G269" s="149">
        <f>+G223*G249/1000000</f>
        <v>327898.28232823615</v>
      </c>
      <c r="I269" s="149">
        <f>+I223*I249/1000000</f>
        <v>4501.3554859173892</v>
      </c>
      <c r="J269" s="149"/>
      <c r="K269" s="149"/>
      <c r="L269" s="149"/>
    </row>
    <row r="270" spans="1:15" x14ac:dyDescent="0.25">
      <c r="A270" s="7"/>
      <c r="B270" s="77" t="s">
        <v>72</v>
      </c>
      <c r="C270" s="149"/>
      <c r="D270" s="149"/>
      <c r="E270" s="149">
        <f>+E224*E250/1000000</f>
        <v>8531.5586889703063</v>
      </c>
      <c r="F270" s="3"/>
      <c r="G270" s="3"/>
      <c r="H270" s="149">
        <f>+H224*H250/1000000</f>
        <v>4040.0356031230308</v>
      </c>
      <c r="I270" s="3"/>
      <c r="J270" s="149"/>
      <c r="K270" s="149"/>
      <c r="L270" s="149"/>
    </row>
    <row r="271" spans="1:15" x14ac:dyDescent="0.25">
      <c r="A271" s="7"/>
      <c r="B271" s="77" t="s">
        <v>73</v>
      </c>
      <c r="C271" s="3"/>
      <c r="D271" s="3"/>
      <c r="E271" s="149">
        <f>+E225*E251/1000000</f>
        <v>6039.4300216724068</v>
      </c>
      <c r="H271" s="149">
        <f>+H225*H251/1000000</f>
        <v>2379.8750672656365</v>
      </c>
      <c r="J271" s="149"/>
      <c r="K271" s="149"/>
      <c r="L271" s="149"/>
    </row>
    <row r="272" spans="1:15" x14ac:dyDescent="0.25">
      <c r="A272" s="7"/>
      <c r="B272" s="5"/>
      <c r="C272"/>
      <c r="D272"/>
      <c r="E272"/>
      <c r="F272"/>
      <c r="G272"/>
      <c r="H272"/>
      <c r="I272"/>
      <c r="J272"/>
      <c r="K272"/>
      <c r="L272"/>
    </row>
    <row r="273" spans="1:12" x14ac:dyDescent="0.25">
      <c r="A273" s="7"/>
      <c r="B273" t="s">
        <v>135</v>
      </c>
      <c r="C273"/>
      <c r="D273"/>
      <c r="E273"/>
      <c r="F273"/>
      <c r="G273"/>
      <c r="H273"/>
      <c r="I273"/>
      <c r="J273"/>
      <c r="K273"/>
      <c r="L273"/>
    </row>
    <row r="274" spans="1:12" x14ac:dyDescent="0.25">
      <c r="A274" s="7"/>
      <c r="B274" s="5" t="s">
        <v>25</v>
      </c>
      <c r="D274"/>
      <c r="E274" s="3">
        <f>SUM(E263:E267)</f>
        <v>7602.4303157266277</v>
      </c>
      <c r="F274" s="3">
        <f>SUM(F263:F267)</f>
        <v>321669.54864602501</v>
      </c>
      <c r="G274" s="3">
        <f>SUM(G263:G267)</f>
        <v>196033.32013468866</v>
      </c>
      <c r="H274" s="3">
        <f>SUM(H263:H267)</f>
        <v>3302.3256145823161</v>
      </c>
      <c r="I274" s="3">
        <f>SUM(I263:I267)</f>
        <v>2307.9956321551399</v>
      </c>
      <c r="J274" s="151">
        <f>SUM(E274:I274)</f>
        <v>530915.6203431777</v>
      </c>
      <c r="K274"/>
      <c r="L274"/>
    </row>
    <row r="275" spans="1:12" x14ac:dyDescent="0.25">
      <c r="A275" s="7"/>
      <c r="B275" s="5" t="s">
        <v>26</v>
      </c>
      <c r="D275"/>
      <c r="E275" s="3">
        <f>SUM(E269:E271)</f>
        <v>14915.804758261755</v>
      </c>
      <c r="F275" s="3">
        <f>SUM(F269:F271)</f>
        <v>466168.80564503086</v>
      </c>
      <c r="G275" s="3">
        <f>SUM(G269:G271)</f>
        <v>327898.28232823615</v>
      </c>
      <c r="H275" s="3">
        <f>SUM(H269:H271)</f>
        <v>6419.9106703886673</v>
      </c>
      <c r="I275" s="3">
        <f>SUM(I269:I271)</f>
        <v>4501.3554859173892</v>
      </c>
      <c r="J275" s="151">
        <f>SUM(E275:I275)</f>
        <v>819904.15888783487</v>
      </c>
      <c r="K275"/>
      <c r="L275"/>
    </row>
    <row r="276" spans="1:12" x14ac:dyDescent="0.25">
      <c r="A276" s="7"/>
      <c r="B276" s="5" t="s">
        <v>13</v>
      </c>
      <c r="D276"/>
      <c r="E276" s="3">
        <f>SUM(E274:E275)</f>
        <v>22518.235073988384</v>
      </c>
      <c r="F276" s="3">
        <f>SUM(F274:F275)</f>
        <v>787838.35429105582</v>
      </c>
      <c r="G276" s="3">
        <f>SUM(G274:G275)</f>
        <v>523931.60246292478</v>
      </c>
      <c r="H276" s="3">
        <f>SUM(H274:H275)</f>
        <v>9722.2362849709825</v>
      </c>
      <c r="I276" s="3">
        <f>SUM(I274:I275)</f>
        <v>6809.3511180725291</v>
      </c>
      <c r="J276" s="3">
        <f>SUM(E276:I276)</f>
        <v>1350819.7792310126</v>
      </c>
      <c r="L276"/>
    </row>
    <row r="277" spans="1:12" x14ac:dyDescent="0.25">
      <c r="A277" s="7"/>
      <c r="B277"/>
      <c r="C277"/>
      <c r="D277"/>
      <c r="E277"/>
      <c r="F277"/>
      <c r="G277"/>
      <c r="H277"/>
      <c r="J277"/>
      <c r="L277"/>
    </row>
    <row r="278" spans="1:12" x14ac:dyDescent="0.25">
      <c r="A278" s="7"/>
      <c r="B278" t="s">
        <v>136</v>
      </c>
      <c r="C278"/>
      <c r="D278"/>
      <c r="E278"/>
      <c r="F278"/>
      <c r="G278"/>
      <c r="H278"/>
      <c r="J278"/>
      <c r="L278"/>
    </row>
    <row r="279" spans="1:12" x14ac:dyDescent="0.25">
      <c r="A279" s="7"/>
      <c r="B279" s="5" t="s">
        <v>25</v>
      </c>
      <c r="C279"/>
      <c r="D279"/>
      <c r="E279" s="150">
        <f t="shared" ref="E279:J279" si="11">+E274/E276</f>
        <v>0.33761217478844363</v>
      </c>
      <c r="F279" s="150">
        <f t="shared" si="11"/>
        <v>0.40829384212384856</v>
      </c>
      <c r="G279" s="150">
        <f t="shared" si="11"/>
        <v>0.37415822831294215</v>
      </c>
      <c r="H279" s="150">
        <f t="shared" si="11"/>
        <v>0.33966728618673686</v>
      </c>
      <c r="I279" s="150">
        <f t="shared" si="11"/>
        <v>0.33894501724687781</v>
      </c>
      <c r="J279" s="150">
        <f t="shared" si="11"/>
        <v>0.39303216350993503</v>
      </c>
      <c r="L279"/>
    </row>
    <row r="280" spans="1:12" x14ac:dyDescent="0.25">
      <c r="A280" s="7"/>
      <c r="B280" s="5" t="s">
        <v>26</v>
      </c>
      <c r="C280"/>
      <c r="D280"/>
      <c r="E280" s="150">
        <f t="shared" ref="E280:J280" si="12">+E275/E276</f>
        <v>0.66238782521155626</v>
      </c>
      <c r="F280" s="150">
        <f t="shared" si="12"/>
        <v>0.59170615787615155</v>
      </c>
      <c r="G280" s="150">
        <f t="shared" si="12"/>
        <v>0.6258417716870579</v>
      </c>
      <c r="H280" s="150">
        <f t="shared" si="12"/>
        <v>0.66033271381326319</v>
      </c>
      <c r="I280" s="150">
        <f t="shared" si="12"/>
        <v>0.66105498275312224</v>
      </c>
      <c r="J280" s="150">
        <f t="shared" si="12"/>
        <v>0.60696783649006492</v>
      </c>
      <c r="L280"/>
    </row>
    <row r="281" spans="1:12" x14ac:dyDescent="0.25">
      <c r="A281" s="7"/>
      <c r="B281" s="5"/>
      <c r="C281"/>
      <c r="D281"/>
      <c r="E281" s="150"/>
      <c r="F281" s="150"/>
      <c r="G281" s="150"/>
      <c r="H281" s="150"/>
      <c r="I281" s="150"/>
      <c r="J281" s="150"/>
      <c r="L281"/>
    </row>
    <row r="282" spans="1:12" x14ac:dyDescent="0.25">
      <c r="A282" s="7"/>
      <c r="B282" s="5"/>
      <c r="C282"/>
      <c r="D282"/>
      <c r="E282" s="150"/>
      <c r="F282" s="150"/>
      <c r="G282" s="150"/>
      <c r="H282" s="150"/>
      <c r="I282" s="150"/>
      <c r="J282" s="150"/>
      <c r="L282"/>
    </row>
    <row r="283" spans="1:12" ht="15.6" x14ac:dyDescent="0.3">
      <c r="A283" s="22"/>
      <c r="B283" s="519" t="str">
        <f>$B$1</f>
        <v xml:space="preserve">Jersey Central Power &amp; Light </v>
      </c>
      <c r="C283" s="519"/>
      <c r="D283" s="519"/>
      <c r="E283" s="519"/>
      <c r="F283" s="519"/>
      <c r="G283" s="519"/>
      <c r="H283" s="519"/>
      <c r="I283" s="519"/>
      <c r="J283" s="519"/>
      <c r="K283" s="519"/>
      <c r="L283" s="519"/>
    </row>
    <row r="284" spans="1:12" ht="15.6" x14ac:dyDescent="0.3">
      <c r="A284" s="22"/>
      <c r="B284" s="519" t="str">
        <f>$B$2</f>
        <v>Attachment 2</v>
      </c>
      <c r="C284" s="519"/>
      <c r="D284" s="519"/>
      <c r="E284" s="519"/>
      <c r="F284" s="519"/>
      <c r="G284" s="519"/>
      <c r="H284" s="519"/>
      <c r="I284" s="519"/>
      <c r="J284" s="519"/>
      <c r="K284" s="519"/>
      <c r="L284" s="519"/>
    </row>
    <row r="285" spans="1:12" x14ac:dyDescent="0.25">
      <c r="A285" s="7"/>
      <c r="B285" s="5"/>
      <c r="C285"/>
      <c r="D285"/>
      <c r="E285" s="150"/>
      <c r="F285" s="150"/>
      <c r="G285" s="150"/>
      <c r="H285" s="150"/>
      <c r="I285" s="150"/>
      <c r="J285" s="150"/>
      <c r="L285"/>
    </row>
    <row r="286" spans="1:12" x14ac:dyDescent="0.25">
      <c r="A286" s="6" t="s">
        <v>138</v>
      </c>
      <c r="B286" s="1" t="s">
        <v>247</v>
      </c>
      <c r="C286"/>
      <c r="D286"/>
      <c r="E286"/>
      <c r="G286" s="81"/>
      <c r="J286"/>
      <c r="L286"/>
    </row>
    <row r="287" spans="1:12" x14ac:dyDescent="0.25">
      <c r="A287" s="7"/>
      <c r="C287" s="74"/>
      <c r="D287" s="74"/>
      <c r="J287"/>
      <c r="L287"/>
    </row>
    <row r="288" spans="1:12" x14ac:dyDescent="0.25">
      <c r="A288" s="7"/>
      <c r="B288" s="16" t="s">
        <v>232</v>
      </c>
      <c r="C288" s="74"/>
      <c r="D288" s="74"/>
      <c r="J288"/>
      <c r="L288"/>
    </row>
    <row r="289" spans="1:12" x14ac:dyDescent="0.25">
      <c r="A289" s="7"/>
      <c r="B289" s="89" t="s">
        <v>103</v>
      </c>
      <c r="C289" s="144">
        <f>J276</f>
        <v>1350819.7792310126</v>
      </c>
      <c r="J289"/>
      <c r="L289"/>
    </row>
    <row r="290" spans="1:12" x14ac:dyDescent="0.25">
      <c r="A290" s="7"/>
      <c r="B290" s="16"/>
      <c r="C290" s="144"/>
      <c r="J290"/>
      <c r="L290"/>
    </row>
    <row r="291" spans="1:12" x14ac:dyDescent="0.25">
      <c r="A291" s="7"/>
      <c r="B291" s="16" t="s">
        <v>230</v>
      </c>
      <c r="C291" s="144"/>
      <c r="E291" s="26" t="str">
        <f>+E$13</f>
        <v>RT{1}</v>
      </c>
      <c r="F291" s="26" t="str">
        <f>+F$13</f>
        <v>RS{2}</v>
      </c>
      <c r="G291" s="26" t="str">
        <f>+G$13</f>
        <v>GS{3}</v>
      </c>
      <c r="H291" s="155" t="str">
        <f>+H$58</f>
        <v>GST {4}</v>
      </c>
      <c r="I291" s="26" t="str">
        <f>+I$13</f>
        <v>OL/SL</v>
      </c>
      <c r="J291" s="2" t="s">
        <v>13</v>
      </c>
      <c r="L291"/>
    </row>
    <row r="292" spans="1:12" x14ac:dyDescent="0.25">
      <c r="A292" s="7"/>
      <c r="B292" s="21" t="s">
        <v>25</v>
      </c>
      <c r="C292" s="144"/>
      <c r="E292" s="161">
        <f>ROUND(SUM(E65:E68)*E95,0)</f>
        <v>88159</v>
      </c>
      <c r="F292" s="161">
        <f>ROUND(SUM(F65:F68)*F95,0)</f>
        <v>3999338</v>
      </c>
      <c r="G292" s="161">
        <f>ROUND(SUM(G65:G68)*G95,0)</f>
        <v>2432688</v>
      </c>
      <c r="H292" s="161">
        <f>ROUND(SUM(H65:H68)*H95,0)</f>
        <v>39041</v>
      </c>
      <c r="I292" s="161">
        <f>ROUND(SUM(I65:I68)*I95,0)</f>
        <v>42568</v>
      </c>
      <c r="J292" s="161">
        <f>SUM(E292:I292)</f>
        <v>6601794</v>
      </c>
      <c r="L292"/>
    </row>
    <row r="293" spans="1:12" x14ac:dyDescent="0.25">
      <c r="A293" s="7"/>
      <c r="B293" s="12" t="s">
        <v>26</v>
      </c>
      <c r="C293" s="144"/>
      <c r="E293" s="161">
        <f>ROUND((E72-SUM(E65:E68))*E95,0)</f>
        <v>184092</v>
      </c>
      <c r="F293" s="161">
        <f>ROUND((F72-SUM(F65:F68))*F95,0)</f>
        <v>5614734</v>
      </c>
      <c r="G293" s="161">
        <f>ROUND((G72-SUM(G65:G68))*G95,0)</f>
        <v>4227852</v>
      </c>
      <c r="H293" s="161">
        <f>ROUND((H72-SUM(H65:H68))*H95,0)</f>
        <v>83394</v>
      </c>
      <c r="I293" s="161">
        <f>ROUND((I72-SUM(I65:I68))*I95,0)</f>
        <v>85207</v>
      </c>
      <c r="J293" s="161">
        <f>SUM(E293:I293)</f>
        <v>10195279</v>
      </c>
      <c r="L293"/>
    </row>
    <row r="294" spans="1:12" x14ac:dyDescent="0.25">
      <c r="A294" s="7"/>
      <c r="C294" s="89"/>
      <c r="D294" s="145"/>
      <c r="J294" s="4"/>
      <c r="L294"/>
    </row>
    <row r="295" spans="1:12" x14ac:dyDescent="0.25">
      <c r="A295" s="7"/>
      <c r="B295" s="16" t="s">
        <v>233</v>
      </c>
      <c r="C295" s="89"/>
      <c r="D295" s="160" t="s">
        <v>221</v>
      </c>
      <c r="E295" s="133" t="s">
        <v>227</v>
      </c>
      <c r="J295"/>
      <c r="L295"/>
    </row>
    <row r="296" spans="1:12" x14ac:dyDescent="0.25">
      <c r="A296" s="7"/>
      <c r="B296" s="284" t="s">
        <v>304</v>
      </c>
      <c r="D296" s="38" t="s">
        <v>224</v>
      </c>
      <c r="E296" s="126">
        <v>80.42</v>
      </c>
      <c r="F296" s="38" t="s">
        <v>229</v>
      </c>
      <c r="G296" s="38" t="s">
        <v>231</v>
      </c>
      <c r="J296"/>
      <c r="L296"/>
    </row>
    <row r="297" spans="1:12" x14ac:dyDescent="0.25">
      <c r="A297" s="7"/>
      <c r="B297" s="13" t="s">
        <v>226</v>
      </c>
      <c r="C297" s="89"/>
      <c r="D297" s="167">
        <v>1</v>
      </c>
      <c r="E297" s="307">
        <f>ROUND($E$296*D297,3)</f>
        <v>80.42</v>
      </c>
      <c r="F297" s="55">
        <f>J292</f>
        <v>6601794</v>
      </c>
      <c r="G297" s="144">
        <f>ROUND(F297*E297/1000,0)</f>
        <v>530916</v>
      </c>
      <c r="J297"/>
      <c r="L297"/>
    </row>
    <row r="298" spans="1:12" ht="15" x14ac:dyDescent="0.4">
      <c r="A298" s="7"/>
      <c r="B298" s="13" t="s">
        <v>228</v>
      </c>
      <c r="C298" s="89"/>
      <c r="D298" s="167">
        <v>1</v>
      </c>
      <c r="E298" s="307">
        <f>ROUND($E$296*D298,3)</f>
        <v>80.42</v>
      </c>
      <c r="F298" s="55">
        <f>J293</f>
        <v>10195279</v>
      </c>
      <c r="G298" s="85">
        <f>ROUND(F298*E298/1000,0)</f>
        <v>819904</v>
      </c>
      <c r="J298"/>
      <c r="L298"/>
    </row>
    <row r="299" spans="1:12" x14ac:dyDescent="0.25">
      <c r="A299" s="7"/>
      <c r="B299" s="13" t="s">
        <v>234</v>
      </c>
      <c r="C299" s="89"/>
      <c r="D299" s="145"/>
      <c r="G299" s="81">
        <f>SUM(G297:G298)</f>
        <v>1350820</v>
      </c>
      <c r="J299"/>
      <c r="L299"/>
    </row>
    <row r="300" spans="1:12" x14ac:dyDescent="0.25">
      <c r="A300" s="7"/>
      <c r="C300" s="89"/>
      <c r="D300" s="145"/>
      <c r="J300"/>
      <c r="L300"/>
    </row>
    <row r="301" spans="1:12" x14ac:dyDescent="0.25">
      <c r="A301" s="7"/>
      <c r="C301" s="89"/>
      <c r="D301" s="145"/>
      <c r="J301"/>
      <c r="L301"/>
    </row>
    <row r="302" spans="1:12" x14ac:dyDescent="0.25">
      <c r="A302" s="6" t="s">
        <v>242</v>
      </c>
      <c r="B302" s="1" t="s">
        <v>235</v>
      </c>
      <c r="C302" s="89"/>
      <c r="D302" s="145"/>
      <c r="F302" s="5" t="s">
        <v>221</v>
      </c>
      <c r="G302" s="5" t="s">
        <v>223</v>
      </c>
      <c r="H302" s="71"/>
      <c r="I302"/>
    </row>
    <row r="303" spans="1:12" x14ac:dyDescent="0.25">
      <c r="A303" s="7"/>
      <c r="B303"/>
      <c r="C303"/>
      <c r="D303"/>
      <c r="E303"/>
      <c r="F303" s="5" t="s">
        <v>237</v>
      </c>
      <c r="G303" s="5" t="s">
        <v>224</v>
      </c>
      <c r="H303" s="5" t="s">
        <v>223</v>
      </c>
      <c r="I303"/>
    </row>
    <row r="304" spans="1:12" x14ac:dyDescent="0.25">
      <c r="A304" s="7"/>
      <c r="B304" t="s">
        <v>236</v>
      </c>
      <c r="C304"/>
      <c r="D304"/>
      <c r="E304"/>
      <c r="F304" s="8" t="s">
        <v>231</v>
      </c>
      <c r="G304" s="8" t="s">
        <v>225</v>
      </c>
      <c r="H304" s="8" t="s">
        <v>224</v>
      </c>
      <c r="I304" s="10"/>
    </row>
    <row r="305" spans="1:15" x14ac:dyDescent="0.25">
      <c r="A305" s="7"/>
      <c r="B305" s="5" t="s">
        <v>25</v>
      </c>
      <c r="C305" s="308">
        <f>J274*1000/J292</f>
        <v>80.419901066767252</v>
      </c>
      <c r="D305" t="s">
        <v>137</v>
      </c>
      <c r="E305"/>
      <c r="F305" s="279">
        <f>E297</f>
        <v>80.42</v>
      </c>
      <c r="G305" s="159">
        <f>E297/C305</f>
        <v>1.000001230208337</v>
      </c>
      <c r="H305" s="302">
        <v>1.294851</v>
      </c>
      <c r="M305" s="174"/>
    </row>
    <row r="306" spans="1:15" x14ac:dyDescent="0.25">
      <c r="A306" s="7"/>
      <c r="B306" s="5" t="s">
        <v>26</v>
      </c>
      <c r="C306" s="308">
        <f>J275*1000/J293</f>
        <v>80.419982512281905</v>
      </c>
      <c r="D306" t="s">
        <v>137</v>
      </c>
      <c r="E306"/>
      <c r="F306" s="279">
        <f>E298</f>
        <v>80.42</v>
      </c>
      <c r="G306" s="159">
        <f>E298/C306</f>
        <v>1.0000002174548857</v>
      </c>
      <c r="H306" s="302">
        <v>1.1988989999999999</v>
      </c>
      <c r="M306" s="174"/>
    </row>
    <row r="307" spans="1:15" x14ac:dyDescent="0.25">
      <c r="A307" s="7"/>
      <c r="B307" s="5"/>
      <c r="C307" s="152"/>
      <c r="D307"/>
      <c r="E307"/>
      <c r="F307"/>
      <c r="G307"/>
      <c r="H307" s="2"/>
      <c r="I307" s="104"/>
      <c r="M307" s="16"/>
      <c r="N307" s="104"/>
      <c r="O307" s="104"/>
    </row>
    <row r="308" spans="1:15" x14ac:dyDescent="0.25">
      <c r="A308" s="7"/>
      <c r="B308"/>
      <c r="C308"/>
      <c r="D308"/>
      <c r="E308" s="137"/>
      <c r="F308" s="4"/>
      <c r="G308"/>
      <c r="H308"/>
      <c r="I308"/>
      <c r="J308"/>
      <c r="K308"/>
      <c r="L308"/>
    </row>
    <row r="309" spans="1:15" x14ac:dyDescent="0.25">
      <c r="A309" s="16" t="s">
        <v>108</v>
      </c>
      <c r="E309" s="98"/>
      <c r="F309" s="101"/>
      <c r="I309"/>
      <c r="J309"/>
      <c r="K309"/>
      <c r="L309"/>
    </row>
    <row r="310" spans="1:15" x14ac:dyDescent="0.25">
      <c r="A310" s="22"/>
      <c r="B310" s="89" t="s">
        <v>132</v>
      </c>
      <c r="C310" s="102">
        <f>E179</f>
        <v>199.494</v>
      </c>
      <c r="D310" s="93" t="s">
        <v>160</v>
      </c>
      <c r="E310" s="98"/>
      <c r="F310" s="101"/>
      <c r="I310"/>
      <c r="J310"/>
      <c r="K310"/>
      <c r="L310"/>
    </row>
    <row r="311" spans="1:15" x14ac:dyDescent="0.25">
      <c r="A311" s="22"/>
      <c r="B311" s="89"/>
      <c r="C311" s="102">
        <f>E180</f>
        <v>199.494</v>
      </c>
      <c r="D311" s="93" t="s">
        <v>161</v>
      </c>
      <c r="E311" s="98"/>
      <c r="F311" s="101"/>
      <c r="I311"/>
      <c r="J311"/>
      <c r="K311"/>
      <c r="L311"/>
    </row>
    <row r="312" spans="1:15" x14ac:dyDescent="0.25">
      <c r="A312" s="22"/>
      <c r="B312" s="89" t="s">
        <v>159</v>
      </c>
      <c r="C312" s="81" t="s">
        <v>158</v>
      </c>
      <c r="D312" s="93"/>
      <c r="E312" s="98"/>
      <c r="F312" s="101"/>
      <c r="I312"/>
      <c r="J312"/>
      <c r="K312"/>
      <c r="L312"/>
    </row>
    <row r="313" spans="1:15" x14ac:dyDescent="0.25">
      <c r="A313" s="22"/>
      <c r="B313" s="89" t="s">
        <v>109</v>
      </c>
      <c r="C313" s="148">
        <f>+H173</f>
        <v>4</v>
      </c>
      <c r="D313" s="13" t="s">
        <v>110</v>
      </c>
      <c r="E313" s="98"/>
      <c r="F313" s="101"/>
      <c r="I313"/>
      <c r="J313"/>
      <c r="K313"/>
      <c r="L313"/>
    </row>
    <row r="314" spans="1:15" x14ac:dyDescent="0.25">
      <c r="A314" s="22"/>
      <c r="B314" s="89"/>
      <c r="C314" s="148">
        <f>+H174</f>
        <v>8</v>
      </c>
      <c r="D314" s="13" t="s">
        <v>111</v>
      </c>
      <c r="E314" s="98"/>
      <c r="F314" s="101"/>
      <c r="I314"/>
      <c r="J314"/>
      <c r="K314"/>
      <c r="L314"/>
    </row>
    <row r="315" spans="1:15" x14ac:dyDescent="0.25">
      <c r="A315" s="22"/>
      <c r="B315" s="89" t="s">
        <v>112</v>
      </c>
      <c r="C315" s="102">
        <f>+E191</f>
        <v>3.597</v>
      </c>
      <c r="D315" s="13" t="s">
        <v>113</v>
      </c>
      <c r="E315" s="98"/>
      <c r="F315" s="101"/>
      <c r="I315"/>
      <c r="J315"/>
      <c r="K315"/>
      <c r="L315"/>
    </row>
    <row r="316" spans="1:15" x14ac:dyDescent="0.25">
      <c r="A316" s="22"/>
      <c r="B316" s="89" t="s">
        <v>114</v>
      </c>
      <c r="C316" s="21" t="s">
        <v>250</v>
      </c>
      <c r="E316" s="98"/>
      <c r="F316" s="101"/>
      <c r="I316"/>
      <c r="J316"/>
      <c r="K316"/>
      <c r="L316"/>
    </row>
    <row r="317" spans="1:15" x14ac:dyDescent="0.25">
      <c r="A317" s="22"/>
      <c r="B317" s="89"/>
      <c r="C317" s="336" t="s">
        <v>306</v>
      </c>
      <c r="E317" s="98"/>
      <c r="F317" s="101"/>
      <c r="I317"/>
      <c r="J317"/>
      <c r="K317"/>
      <c r="L317"/>
    </row>
    <row r="318" spans="1:15" x14ac:dyDescent="0.25">
      <c r="A318" s="22"/>
      <c r="B318" s="89" t="s">
        <v>115</v>
      </c>
      <c r="C318" s="12" t="str">
        <f>'BGS PTY15 Cost Alloc'!C$318</f>
        <v xml:space="preserve"> forecasted 2016 energy use by class based upon PJM on/off % from 2013 through 2015 class load profiles</v>
      </c>
      <c r="E318" s="98"/>
      <c r="F318" s="101"/>
      <c r="I318"/>
      <c r="J318"/>
      <c r="K318"/>
      <c r="L318"/>
    </row>
    <row r="319" spans="1:15" x14ac:dyDescent="0.25">
      <c r="A319" s="22"/>
      <c r="B319" s="89"/>
      <c r="C319" s="12" t="str">
        <f>'BGS PTY15 Cost Alloc'!C$319</f>
        <v xml:space="preserve">   JCP&amp;L billing on/off % from 2016 forecasted billing determinants</v>
      </c>
      <c r="E319" s="98"/>
      <c r="F319" s="101"/>
      <c r="I319"/>
      <c r="J319"/>
      <c r="K319"/>
      <c r="L319"/>
    </row>
    <row r="320" spans="1:15" x14ac:dyDescent="0.25">
      <c r="A320" s="22"/>
      <c r="B320" s="89" t="s">
        <v>116</v>
      </c>
      <c r="C320" s="12" t="str">
        <f>'BGS PTY15 Cost Alloc'!C$320</f>
        <v xml:space="preserve"> class totals for 2016 excluding accounts required to take service under BGS-CIEP as of June 1, 2017</v>
      </c>
      <c r="E320" s="98"/>
      <c r="F320" s="101"/>
      <c r="I320"/>
      <c r="J320"/>
      <c r="K320"/>
      <c r="L320"/>
    </row>
    <row r="321" spans="1:12" x14ac:dyDescent="0.25">
      <c r="A321" s="22"/>
      <c r="B321" s="89" t="s">
        <v>117</v>
      </c>
      <c r="C321" s="13" t="s">
        <v>166</v>
      </c>
      <c r="E321" s="98"/>
      <c r="F321" s="101"/>
      <c r="I321"/>
      <c r="J321"/>
      <c r="K321"/>
      <c r="L321"/>
    </row>
    <row r="322" spans="1:12" x14ac:dyDescent="0.25">
      <c r="A322" s="22"/>
      <c r="B322" s="89" t="s">
        <v>118</v>
      </c>
      <c r="C322" s="13" t="s">
        <v>214</v>
      </c>
      <c r="E322" s="100"/>
      <c r="F322" s="101"/>
      <c r="I322"/>
      <c r="J322"/>
      <c r="K322"/>
      <c r="L322"/>
    </row>
    <row r="323" spans="1:12" x14ac:dyDescent="0.25">
      <c r="C323" s="13" t="s">
        <v>119</v>
      </c>
      <c r="E323" s="98"/>
      <c r="F323" s="101"/>
      <c r="I323"/>
      <c r="J323"/>
      <c r="K323"/>
      <c r="L323"/>
    </row>
    <row r="324" spans="1:12" x14ac:dyDescent="0.25">
      <c r="B324" s="89" t="s">
        <v>120</v>
      </c>
      <c r="C324" s="103" t="s">
        <v>189</v>
      </c>
      <c r="E324" s="98"/>
      <c r="F324" s="101"/>
      <c r="I324"/>
      <c r="J324"/>
      <c r="K324"/>
      <c r="L324"/>
    </row>
    <row r="325" spans="1:12" x14ac:dyDescent="0.25">
      <c r="A325" s="22"/>
      <c r="C325" s="103" t="s">
        <v>121</v>
      </c>
      <c r="E325" s="99"/>
      <c r="I325"/>
      <c r="J325"/>
      <c r="K325"/>
      <c r="L325"/>
    </row>
    <row r="326" spans="1:12" x14ac:dyDescent="0.25">
      <c r="C326" s="103" t="s">
        <v>188</v>
      </c>
      <c r="I326"/>
      <c r="J326"/>
      <c r="K326"/>
      <c r="L326"/>
    </row>
    <row r="327" spans="1:12" x14ac:dyDescent="0.25">
      <c r="A327" s="7"/>
      <c r="B327" s="516" t="s">
        <v>383</v>
      </c>
      <c r="C327" s="517" t="s">
        <v>384</v>
      </c>
      <c r="D327"/>
      <c r="E327" s="137"/>
      <c r="F327" s="4"/>
      <c r="G327"/>
      <c r="H327"/>
      <c r="I327"/>
      <c r="J327"/>
      <c r="K327"/>
      <c r="L327"/>
    </row>
    <row r="328" spans="1:12" x14ac:dyDescent="0.25">
      <c r="A328" s="7"/>
      <c r="B328"/>
      <c r="C328" s="9"/>
      <c r="D328"/>
      <c r="E328" s="137"/>
      <c r="F328" s="137"/>
      <c r="G328"/>
      <c r="H328"/>
      <c r="I328"/>
      <c r="J328"/>
      <c r="K328"/>
      <c r="L328"/>
    </row>
    <row r="333" spans="1:12" x14ac:dyDescent="0.25">
      <c r="L333" s="144"/>
    </row>
    <row r="342" spans="12:12" x14ac:dyDescent="0.25">
      <c r="L342" s="144"/>
    </row>
    <row r="343" spans="12:12" x14ac:dyDescent="0.25">
      <c r="L343" s="144"/>
    </row>
    <row r="344" spans="12:12" x14ac:dyDescent="0.25">
      <c r="L344" s="144"/>
    </row>
    <row r="345" spans="12:12" x14ac:dyDescent="0.25">
      <c r="L345" s="139"/>
    </row>
    <row r="346" spans="12:12" x14ac:dyDescent="0.25">
      <c r="L346" s="139"/>
    </row>
    <row r="347" spans="12:12" x14ac:dyDescent="0.25">
      <c r="L347" s="139"/>
    </row>
  </sheetData>
  <sheetProtection password="D6B5" sheet="1" objects="1" scenarios="1" selectLockedCells="1" selectUnlockedCells="1"/>
  <mergeCells count="16">
    <mergeCell ref="B103:L103"/>
    <mergeCell ref="B104:L104"/>
    <mergeCell ref="B143:L143"/>
    <mergeCell ref="B1:L1"/>
    <mergeCell ref="B2:L2"/>
    <mergeCell ref="B52:L52"/>
    <mergeCell ref="B53:L53"/>
    <mergeCell ref="B5:L5"/>
    <mergeCell ref="B3:L3"/>
    <mergeCell ref="B144:L144"/>
    <mergeCell ref="B283:L283"/>
    <mergeCell ref="B284:L284"/>
    <mergeCell ref="B236:L236"/>
    <mergeCell ref="B237:L237"/>
    <mergeCell ref="B206:L206"/>
    <mergeCell ref="B207:L207"/>
  </mergeCells>
  <phoneticPr fontId="33" type="noConversion"/>
  <pageMargins left="0.97" right="0.79" top="0.69" bottom="0.69" header="0.33" footer="0.5"/>
  <pageSetup scale="60" orientation="landscape" r:id="rId1"/>
  <headerFooter alignWithMargins="0">
    <oddFooter>&amp;L&amp;F    &amp;A&amp;CPage &amp;P of &amp;N&amp;R&amp;D</oddFooter>
  </headerFooter>
  <rowBreaks count="6" manualBreakCount="6">
    <brk id="51" max="11" man="1"/>
    <brk id="102" max="11" man="1"/>
    <brk id="142" max="11" man="1"/>
    <brk id="205" max="11" man="1"/>
    <brk id="235" max="11" man="1"/>
    <brk id="282"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0"/>
  <sheetViews>
    <sheetView view="pageBreakPreview" topLeftCell="A139" zoomScale="60" zoomScaleNormal="100" workbookViewId="0">
      <selection activeCell="H308" sqref="H308:H309"/>
    </sheetView>
  </sheetViews>
  <sheetFormatPr defaultColWidth="9.109375" defaultRowHeight="13.2" x14ac:dyDescent="0.25"/>
  <cols>
    <col min="1" max="1" width="16.109375" style="12" customWidth="1"/>
    <col min="2" max="2" width="27.88671875" style="13" customWidth="1"/>
    <col min="3" max="3" width="14.5546875" style="13" customWidth="1"/>
    <col min="4" max="4" width="12.5546875" style="13" customWidth="1"/>
    <col min="5" max="5" width="16.5546875" style="13" customWidth="1"/>
    <col min="6" max="6" width="16" style="13" customWidth="1"/>
    <col min="7" max="7" width="16.5546875" style="13" customWidth="1"/>
    <col min="8" max="8" width="15.44140625" style="13" customWidth="1"/>
    <col min="9" max="9" width="14.109375" style="13" customWidth="1"/>
    <col min="10" max="10" width="16.44140625" style="13" customWidth="1"/>
    <col min="11" max="11" width="12.5546875" style="13" customWidth="1"/>
    <col min="12" max="12" width="16.5546875" style="13" customWidth="1"/>
    <col min="13" max="13" width="17" style="13" hidden="1" customWidth="1"/>
    <col min="14" max="14" width="15.109375" style="13" hidden="1" customWidth="1"/>
    <col min="15" max="16" width="12.44140625" style="13" hidden="1" customWidth="1"/>
    <col min="17" max="17" width="13.5546875" style="13" hidden="1" customWidth="1"/>
    <col min="18" max="18" width="14.44140625" style="13" hidden="1" customWidth="1"/>
    <col min="19" max="19" width="14.88671875" style="13" hidden="1" customWidth="1"/>
    <col min="20" max="20" width="15.109375" style="13" hidden="1" customWidth="1"/>
    <col min="21" max="21" width="14.109375" style="13" hidden="1" customWidth="1"/>
    <col min="22" max="22" width="12.44140625" style="13" hidden="1" customWidth="1"/>
    <col min="23" max="23" width="13.44140625" style="13" hidden="1" customWidth="1"/>
    <col min="24" max="24" width="15.44140625" style="13" hidden="1" customWidth="1"/>
    <col min="25" max="25" width="10.5546875" style="13" hidden="1" customWidth="1"/>
    <col min="26" max="26" width="11.5546875" style="13" hidden="1" customWidth="1"/>
    <col min="27" max="27" width="12.5546875" style="13" hidden="1" customWidth="1"/>
    <col min="28" max="28" width="13.44140625" style="13" hidden="1" customWidth="1"/>
    <col min="29" max="29" width="11" style="13" hidden="1" customWidth="1"/>
    <col min="30" max="30" width="14.109375" style="13" hidden="1" customWidth="1"/>
    <col min="31" max="31" width="9.88671875" style="13" hidden="1" customWidth="1"/>
    <col min="32" max="32" width="9.109375" style="13" hidden="1" customWidth="1"/>
    <col min="33" max="33" width="12" style="13" hidden="1" customWidth="1"/>
    <col min="34" max="34" width="9.109375" style="13" hidden="1" customWidth="1"/>
    <col min="35" max="37" width="9.109375" style="13" customWidth="1"/>
    <col min="38" max="38" width="9.44140625" style="13" customWidth="1"/>
    <col min="39" max="46" width="9.109375" style="13" customWidth="1"/>
    <col min="47" max="48" width="10.88671875" style="13" hidden="1" customWidth="1"/>
    <col min="49" max="49" width="12.44140625" style="13" hidden="1" customWidth="1"/>
    <col min="50" max="50" width="10.88671875" style="13" hidden="1" customWidth="1"/>
    <col min="51" max="51" width="11.44140625" style="13" hidden="1" customWidth="1"/>
    <col min="52" max="52" width="0" style="13" hidden="1" customWidth="1"/>
    <col min="53" max="16384" width="9.109375" style="13"/>
  </cols>
  <sheetData>
    <row r="1" spans="1:26" ht="15.6" x14ac:dyDescent="0.3">
      <c r="B1" s="519" t="s">
        <v>69</v>
      </c>
      <c r="C1" s="519"/>
      <c r="D1" s="519"/>
      <c r="E1" s="519"/>
      <c r="F1" s="519"/>
      <c r="G1" s="519"/>
      <c r="H1" s="519"/>
      <c r="I1" s="519"/>
      <c r="J1" s="519"/>
      <c r="K1" s="519"/>
      <c r="L1" s="519"/>
    </row>
    <row r="2" spans="1:26" ht="15.6" x14ac:dyDescent="0.3">
      <c r="B2" s="519" t="s">
        <v>187</v>
      </c>
      <c r="C2" s="519"/>
      <c r="D2" s="519"/>
      <c r="E2" s="519"/>
      <c r="F2" s="519"/>
      <c r="G2" s="519"/>
      <c r="H2" s="519"/>
      <c r="I2" s="519"/>
      <c r="J2" s="519"/>
      <c r="K2" s="519"/>
      <c r="L2" s="519"/>
    </row>
    <row r="3" spans="1:26" ht="15.6" x14ac:dyDescent="0.3">
      <c r="B3" s="519" t="str">
        <f>'BGS PTY15 Cost Alloc'!$B$3</f>
        <v>2017 BGS Auction Cost and Bid Factor Tables</v>
      </c>
      <c r="C3" s="519"/>
      <c r="D3" s="519"/>
      <c r="E3" s="519"/>
      <c r="F3" s="519"/>
      <c r="G3" s="519"/>
      <c r="H3" s="519"/>
      <c r="I3" s="519"/>
      <c r="J3" s="519"/>
      <c r="K3" s="519"/>
      <c r="L3" s="519"/>
    </row>
    <row r="4" spans="1:26" ht="15.6" x14ac:dyDescent="0.3">
      <c r="B4" s="166"/>
      <c r="C4" s="166"/>
      <c r="D4" s="166"/>
      <c r="E4" s="166"/>
      <c r="F4" s="166"/>
      <c r="G4" s="166"/>
      <c r="H4" s="166"/>
      <c r="I4" s="166"/>
      <c r="J4" s="166"/>
      <c r="K4" s="166"/>
      <c r="L4" s="166"/>
    </row>
    <row r="5" spans="1:26" ht="15.6" x14ac:dyDescent="0.3">
      <c r="B5" s="520" t="s">
        <v>305</v>
      </c>
      <c r="C5" s="520"/>
      <c r="D5" s="520"/>
      <c r="E5" s="520"/>
      <c r="F5" s="520"/>
      <c r="G5" s="520"/>
      <c r="H5" s="520"/>
      <c r="I5" s="520"/>
      <c r="J5" s="520"/>
      <c r="K5" s="520"/>
      <c r="L5" s="520"/>
    </row>
    <row r="6" spans="1:26" x14ac:dyDescent="0.25">
      <c r="L6" s="120" t="s">
        <v>255</v>
      </c>
    </row>
    <row r="8" spans="1:26" ht="15.6" x14ac:dyDescent="0.3">
      <c r="B8" s="14" t="s">
        <v>50</v>
      </c>
    </row>
    <row r="9" spans="1:26" x14ac:dyDescent="0.25">
      <c r="A9" s="15"/>
      <c r="B9" s="16" t="s">
        <v>45</v>
      </c>
    </row>
    <row r="10" spans="1:26" x14ac:dyDescent="0.25">
      <c r="E10" s="17" t="str">
        <f>'BGS PTY15 Cost Alloc'!$E$10</f>
        <v>Based on an average of 2013 through 2015 Load Profile Information</v>
      </c>
    </row>
    <row r="11" spans="1:26" x14ac:dyDescent="0.25">
      <c r="A11" s="18" t="s">
        <v>30</v>
      </c>
      <c r="B11" s="19" t="s">
        <v>47</v>
      </c>
      <c r="C11" s="20"/>
      <c r="E11" s="17" t="s">
        <v>27</v>
      </c>
      <c r="N11" s="19"/>
      <c r="P11" s="21"/>
      <c r="Q11" s="19" t="s">
        <v>212</v>
      </c>
      <c r="R11" s="21"/>
      <c r="S11" s="21"/>
      <c r="T11" s="21"/>
      <c r="U11" s="21"/>
      <c r="V11" s="21"/>
      <c r="W11" s="21"/>
      <c r="X11" s="21"/>
      <c r="Y11" s="21"/>
      <c r="Z11" s="21"/>
    </row>
    <row r="12" spans="1:26" ht="26.4" x14ac:dyDescent="0.25">
      <c r="A12" s="22"/>
      <c r="C12" s="23"/>
      <c r="D12" s="23"/>
      <c r="E12" s="23" t="s">
        <v>24</v>
      </c>
      <c r="F12" s="23" t="s">
        <v>24</v>
      </c>
      <c r="G12" s="23" t="s">
        <v>24</v>
      </c>
      <c r="H12" s="23" t="s">
        <v>24</v>
      </c>
      <c r="I12" s="23" t="s">
        <v>56</v>
      </c>
      <c r="K12" s="23"/>
      <c r="L12" s="23"/>
      <c r="M12" s="23"/>
      <c r="N12" s="17"/>
      <c r="O12" s="23"/>
      <c r="P12" s="23"/>
      <c r="Q12" s="23" t="s">
        <v>24</v>
      </c>
      <c r="R12" s="23" t="s">
        <v>24</v>
      </c>
      <c r="S12" s="23" t="s">
        <v>24</v>
      </c>
      <c r="T12" s="23" t="s">
        <v>24</v>
      </c>
      <c r="U12" s="23" t="s">
        <v>56</v>
      </c>
      <c r="W12" s="23"/>
      <c r="X12" s="23"/>
      <c r="Y12" s="23"/>
      <c r="Z12" s="23"/>
    </row>
    <row r="13" spans="1:26" x14ac:dyDescent="0.25">
      <c r="A13" s="22"/>
      <c r="B13" s="24" t="s">
        <v>190</v>
      </c>
      <c r="C13" s="25"/>
      <c r="D13" s="25"/>
      <c r="E13" s="26" t="s">
        <v>61</v>
      </c>
      <c r="F13" s="26" t="s">
        <v>62</v>
      </c>
      <c r="G13" s="26" t="s">
        <v>65</v>
      </c>
      <c r="H13" s="26" t="s">
        <v>54</v>
      </c>
      <c r="I13" s="26" t="s">
        <v>55</v>
      </c>
      <c r="J13" s="25"/>
      <c r="K13" s="25"/>
      <c r="L13" s="25"/>
      <c r="M13" s="25"/>
      <c r="N13" s="27"/>
      <c r="O13" s="26"/>
      <c r="P13" s="26"/>
      <c r="Q13" s="26" t="str">
        <f>+E13</f>
        <v>RT{1}</v>
      </c>
      <c r="R13" s="26" t="str">
        <f>+F13</f>
        <v>RS{2}</v>
      </c>
      <c r="S13" s="26" t="str">
        <f>+G13</f>
        <v>GS{3}</v>
      </c>
      <c r="T13" s="26" t="str">
        <f>+H13</f>
        <v>GST</v>
      </c>
      <c r="U13" s="26" t="str">
        <f>+I13</f>
        <v>OL/SL</v>
      </c>
      <c r="V13" s="26"/>
      <c r="W13" s="26"/>
      <c r="X13" s="26"/>
      <c r="Y13" s="26"/>
      <c r="Z13" s="26"/>
    </row>
    <row r="14" spans="1:26" x14ac:dyDescent="0.25">
      <c r="A14" s="22"/>
      <c r="O14" s="21"/>
      <c r="P14" s="21"/>
      <c r="Q14" s="21"/>
      <c r="R14" s="21"/>
      <c r="S14" s="21"/>
      <c r="T14" s="21"/>
      <c r="U14" s="21"/>
      <c r="V14" s="21"/>
      <c r="W14" s="21"/>
      <c r="X14" s="21"/>
      <c r="Y14" s="21"/>
      <c r="Z14" s="21"/>
    </row>
    <row r="15" spans="1:26" x14ac:dyDescent="0.25">
      <c r="A15" s="22"/>
      <c r="B15" s="28" t="s">
        <v>1</v>
      </c>
      <c r="C15" s="29"/>
      <c r="D15" s="29"/>
      <c r="E15" s="153">
        <f>'BGS PTY15 Cost Alloc'!E15</f>
        <v>0.49080000000000001</v>
      </c>
      <c r="F15" s="153">
        <f>'BGS PTY15 Cost Alloc'!F15</f>
        <v>0.51570000000000005</v>
      </c>
      <c r="G15" s="153">
        <f>'BGS PTY15 Cost Alloc'!G15</f>
        <v>0.57820000000000005</v>
      </c>
      <c r="H15" s="153">
        <f>'BGS PTY15 Cost Alloc'!H15</f>
        <v>0.55479999999999996</v>
      </c>
      <c r="I15" s="153">
        <f>'BGS PTY15 Cost Alloc'!I15</f>
        <v>0.34320000000000001</v>
      </c>
      <c r="J15" s="29"/>
      <c r="K15" s="30"/>
      <c r="L15" s="30"/>
      <c r="M15" s="30"/>
      <c r="N15" s="31"/>
      <c r="O15" s="32"/>
      <c r="P15" s="32"/>
      <c r="Q15" s="32">
        <f t="shared" ref="Q15:Q26" si="0">1-E15</f>
        <v>0.50919999999999999</v>
      </c>
      <c r="R15" s="32">
        <f t="shared" ref="R15:R26" si="1">1-F15</f>
        <v>0.48429999999999995</v>
      </c>
      <c r="S15" s="32">
        <f t="shared" ref="S15:S26" si="2">1-G15</f>
        <v>0.42179999999999995</v>
      </c>
      <c r="T15" s="32">
        <f t="shared" ref="T15:T26" si="3">1-H15</f>
        <v>0.44520000000000004</v>
      </c>
      <c r="U15" s="32">
        <f t="shared" ref="U15:U26" si="4">1-I15</f>
        <v>0.65680000000000005</v>
      </c>
      <c r="V15" s="32"/>
      <c r="W15" s="32"/>
      <c r="X15" s="32"/>
      <c r="Y15" s="32"/>
      <c r="Z15" s="32"/>
    </row>
    <row r="16" spans="1:26" x14ac:dyDescent="0.25">
      <c r="A16" s="22"/>
      <c r="B16" s="28" t="s">
        <v>2</v>
      </c>
      <c r="C16" s="29"/>
      <c r="D16" s="29"/>
      <c r="E16" s="153">
        <f>'BGS PTY15 Cost Alloc'!E16</f>
        <v>0.4819</v>
      </c>
      <c r="F16" s="153">
        <f>'BGS PTY15 Cost Alloc'!F16</f>
        <v>0.51149999999999995</v>
      </c>
      <c r="G16" s="153">
        <f>'BGS PTY15 Cost Alloc'!G16</f>
        <v>0.57440000000000002</v>
      </c>
      <c r="H16" s="153">
        <f>'BGS PTY15 Cost Alloc'!H16</f>
        <v>0.55359999999999998</v>
      </c>
      <c r="I16" s="153">
        <f>'BGS PTY15 Cost Alloc'!I16</f>
        <v>0.31630000000000003</v>
      </c>
      <c r="J16" s="29"/>
      <c r="K16" s="30"/>
      <c r="L16" s="30"/>
      <c r="M16" s="30"/>
      <c r="N16" s="31"/>
      <c r="O16" s="32"/>
      <c r="P16" s="32"/>
      <c r="Q16" s="32">
        <f t="shared" si="0"/>
        <v>0.5181</v>
      </c>
      <c r="R16" s="32">
        <f t="shared" si="1"/>
        <v>0.48850000000000005</v>
      </c>
      <c r="S16" s="32">
        <f t="shared" si="2"/>
        <v>0.42559999999999998</v>
      </c>
      <c r="T16" s="32">
        <f t="shared" si="3"/>
        <v>0.44640000000000002</v>
      </c>
      <c r="U16" s="32">
        <f t="shared" si="4"/>
        <v>0.68369999999999997</v>
      </c>
      <c r="V16" s="32"/>
      <c r="W16" s="32"/>
      <c r="X16" s="32"/>
      <c r="Y16" s="32"/>
      <c r="Z16" s="32"/>
    </row>
    <row r="17" spans="1:26" x14ac:dyDescent="0.25">
      <c r="A17" s="22"/>
      <c r="B17" s="28" t="s">
        <v>3</v>
      </c>
      <c r="C17" s="29"/>
      <c r="D17" s="29"/>
      <c r="E17" s="153">
        <f>'BGS PTY15 Cost Alloc'!E17</f>
        <v>0.47589999999999999</v>
      </c>
      <c r="F17" s="153">
        <f>'BGS PTY15 Cost Alloc'!F17</f>
        <v>0.49380000000000002</v>
      </c>
      <c r="G17" s="153">
        <f>'BGS PTY15 Cost Alloc'!G17</f>
        <v>0.57830000000000004</v>
      </c>
      <c r="H17" s="153">
        <f>'BGS PTY15 Cost Alloc'!H17</f>
        <v>0.54449999999999998</v>
      </c>
      <c r="I17" s="153">
        <f>'BGS PTY15 Cost Alloc'!I17</f>
        <v>0.2712</v>
      </c>
      <c r="J17" s="29"/>
      <c r="K17" s="30"/>
      <c r="L17" s="30"/>
      <c r="M17" s="30"/>
      <c r="N17" s="31"/>
      <c r="O17" s="32"/>
      <c r="P17" s="32"/>
      <c r="Q17" s="32">
        <f t="shared" si="0"/>
        <v>0.52410000000000001</v>
      </c>
      <c r="R17" s="32">
        <f t="shared" si="1"/>
        <v>0.50619999999999998</v>
      </c>
      <c r="S17" s="32">
        <f t="shared" si="2"/>
        <v>0.42169999999999996</v>
      </c>
      <c r="T17" s="32">
        <f t="shared" si="3"/>
        <v>0.45550000000000002</v>
      </c>
      <c r="U17" s="32">
        <f t="shared" si="4"/>
        <v>0.7288</v>
      </c>
      <c r="V17" s="32"/>
      <c r="W17" s="32"/>
      <c r="X17" s="32"/>
      <c r="Y17" s="32"/>
      <c r="Z17" s="32"/>
    </row>
    <row r="18" spans="1:26" x14ac:dyDescent="0.25">
      <c r="A18" s="22"/>
      <c r="B18" s="28" t="s">
        <v>4</v>
      </c>
      <c r="C18" s="29"/>
      <c r="D18" s="29"/>
      <c r="E18" s="153">
        <f>'BGS PTY15 Cost Alloc'!E18</f>
        <v>0.50480000000000003</v>
      </c>
      <c r="F18" s="153">
        <f>'BGS PTY15 Cost Alloc'!F18</f>
        <v>0.52080000000000004</v>
      </c>
      <c r="G18" s="153">
        <f>'BGS PTY15 Cost Alloc'!G18</f>
        <v>0.61429999999999996</v>
      </c>
      <c r="H18" s="153">
        <f>'BGS PTY15 Cost Alloc'!H18</f>
        <v>0.59</v>
      </c>
      <c r="I18" s="153">
        <f>'BGS PTY15 Cost Alloc'!I18</f>
        <v>0.26250000000000001</v>
      </c>
      <c r="J18" s="29"/>
      <c r="K18" s="30"/>
      <c r="L18" s="30"/>
      <c r="M18" s="30"/>
      <c r="N18" s="31"/>
      <c r="O18" s="32"/>
      <c r="P18" s="32"/>
      <c r="Q18" s="32">
        <f t="shared" si="0"/>
        <v>0.49519999999999997</v>
      </c>
      <c r="R18" s="32">
        <f t="shared" si="1"/>
        <v>0.47919999999999996</v>
      </c>
      <c r="S18" s="32">
        <f t="shared" si="2"/>
        <v>0.38570000000000004</v>
      </c>
      <c r="T18" s="32">
        <f t="shared" si="3"/>
        <v>0.41000000000000003</v>
      </c>
      <c r="U18" s="32">
        <f t="shared" si="4"/>
        <v>0.73750000000000004</v>
      </c>
      <c r="V18" s="32"/>
      <c r="W18" s="32"/>
      <c r="X18" s="32"/>
      <c r="Y18" s="32"/>
      <c r="Z18" s="32"/>
    </row>
    <row r="19" spans="1:26" x14ac:dyDescent="0.25">
      <c r="A19" s="22"/>
      <c r="B19" s="28" t="s">
        <v>5</v>
      </c>
      <c r="C19" s="29"/>
      <c r="D19" s="29"/>
      <c r="E19" s="153">
        <f>'BGS PTY15 Cost Alloc'!E19</f>
        <v>0.48139999999999999</v>
      </c>
      <c r="F19" s="153">
        <f>'BGS PTY15 Cost Alloc'!F19</f>
        <v>0.49299999999999999</v>
      </c>
      <c r="G19" s="153">
        <f>'BGS PTY15 Cost Alloc'!G19</f>
        <v>0.59119999999999995</v>
      </c>
      <c r="H19" s="153">
        <f>'BGS PTY15 Cost Alloc'!H19</f>
        <v>0.57809999999999995</v>
      </c>
      <c r="I19" s="153">
        <f>'BGS PTY15 Cost Alloc'!I19</f>
        <v>0.24210000000000001</v>
      </c>
      <c r="J19" s="29"/>
      <c r="K19" s="30"/>
      <c r="L19" s="30"/>
      <c r="M19" s="30"/>
      <c r="N19" s="31"/>
      <c r="O19" s="32"/>
      <c r="P19" s="32"/>
      <c r="Q19" s="32">
        <f t="shared" si="0"/>
        <v>0.51859999999999995</v>
      </c>
      <c r="R19" s="32">
        <f t="shared" si="1"/>
        <v>0.50700000000000001</v>
      </c>
      <c r="S19" s="32">
        <f t="shared" si="2"/>
        <v>0.40880000000000005</v>
      </c>
      <c r="T19" s="32">
        <f t="shared" si="3"/>
        <v>0.42190000000000005</v>
      </c>
      <c r="U19" s="32">
        <f t="shared" si="4"/>
        <v>0.75790000000000002</v>
      </c>
      <c r="V19" s="32"/>
      <c r="W19" s="32"/>
      <c r="X19" s="32"/>
      <c r="Y19" s="32"/>
      <c r="Z19" s="32"/>
    </row>
    <row r="20" spans="1:26" x14ac:dyDescent="0.25">
      <c r="A20" s="22"/>
      <c r="B20" s="28" t="s">
        <v>6</v>
      </c>
      <c r="C20" s="29"/>
      <c r="D20" s="29"/>
      <c r="E20" s="153">
        <f>'BGS PTY15 Cost Alloc'!E20</f>
        <v>0.51149999999999995</v>
      </c>
      <c r="F20" s="153">
        <f>'BGS PTY15 Cost Alloc'!F20</f>
        <v>0.51590000000000003</v>
      </c>
      <c r="G20" s="153">
        <f>'BGS PTY15 Cost Alloc'!G20</f>
        <v>0.58189999999999997</v>
      </c>
      <c r="H20" s="153">
        <f>'BGS PTY15 Cost Alloc'!H20</f>
        <v>0.58020000000000005</v>
      </c>
      <c r="I20" s="153">
        <f>'BGS PTY15 Cost Alloc'!I20</f>
        <v>0.22559999999999999</v>
      </c>
      <c r="J20" s="29"/>
      <c r="K20" s="30"/>
      <c r="L20" s="30"/>
      <c r="M20" s="30"/>
      <c r="N20" s="31"/>
      <c r="O20" s="32"/>
      <c r="P20" s="32"/>
      <c r="Q20" s="32">
        <f t="shared" si="0"/>
        <v>0.48850000000000005</v>
      </c>
      <c r="R20" s="32">
        <f t="shared" si="1"/>
        <v>0.48409999999999997</v>
      </c>
      <c r="S20" s="32">
        <f t="shared" si="2"/>
        <v>0.41810000000000003</v>
      </c>
      <c r="T20" s="32">
        <f t="shared" si="3"/>
        <v>0.41979999999999995</v>
      </c>
      <c r="U20" s="32">
        <f t="shared" si="4"/>
        <v>0.77439999999999998</v>
      </c>
      <c r="V20" s="32"/>
      <c r="W20" s="32"/>
      <c r="X20" s="32"/>
      <c r="Y20" s="32"/>
      <c r="Z20" s="32"/>
    </row>
    <row r="21" spans="1:26" x14ac:dyDescent="0.25">
      <c r="A21" s="22"/>
      <c r="B21" s="28" t="s">
        <v>7</v>
      </c>
      <c r="C21" s="29"/>
      <c r="D21" s="29"/>
      <c r="E21" s="153">
        <f>'BGS PTY15 Cost Alloc'!E21</f>
        <v>0.53710000000000002</v>
      </c>
      <c r="F21" s="153">
        <f>'BGS PTY15 Cost Alloc'!F21</f>
        <v>0.53549999999999998</v>
      </c>
      <c r="G21" s="153">
        <f>'BGS PTY15 Cost Alloc'!G21</f>
        <v>0.60360000000000003</v>
      </c>
      <c r="H21" s="153">
        <f>'BGS PTY15 Cost Alloc'!H21</f>
        <v>0.59740000000000004</v>
      </c>
      <c r="I21" s="153">
        <f>'BGS PTY15 Cost Alloc'!I21</f>
        <v>0.24129999999999999</v>
      </c>
      <c r="J21" s="29"/>
      <c r="K21" s="30"/>
      <c r="L21" s="30"/>
      <c r="M21" s="30"/>
      <c r="N21" s="31"/>
      <c r="O21" s="32"/>
      <c r="P21" s="32"/>
      <c r="Q21" s="32">
        <f t="shared" si="0"/>
        <v>0.46289999999999998</v>
      </c>
      <c r="R21" s="32">
        <f t="shared" si="1"/>
        <v>0.46450000000000002</v>
      </c>
      <c r="S21" s="32">
        <f t="shared" si="2"/>
        <v>0.39639999999999997</v>
      </c>
      <c r="T21" s="32">
        <f t="shared" si="3"/>
        <v>0.40259999999999996</v>
      </c>
      <c r="U21" s="32">
        <f t="shared" si="4"/>
        <v>0.75870000000000004</v>
      </c>
      <c r="V21" s="32"/>
      <c r="W21" s="32"/>
      <c r="X21" s="32"/>
      <c r="Y21" s="32"/>
      <c r="Z21" s="32"/>
    </row>
    <row r="22" spans="1:26" x14ac:dyDescent="0.25">
      <c r="A22" s="22"/>
      <c r="B22" s="28" t="s">
        <v>8</v>
      </c>
      <c r="C22" s="29"/>
      <c r="D22" s="29"/>
      <c r="E22" s="153">
        <f>'BGS PTY15 Cost Alloc'!E22</f>
        <v>0.50949999999999995</v>
      </c>
      <c r="F22" s="153">
        <f>'BGS PTY15 Cost Alloc'!F22</f>
        <v>0.51019999999999999</v>
      </c>
      <c r="G22" s="153">
        <f>'BGS PTY15 Cost Alloc'!G22</f>
        <v>0.57569999999999999</v>
      </c>
      <c r="H22" s="153">
        <f>'BGS PTY15 Cost Alloc'!H22</f>
        <v>0.5716</v>
      </c>
      <c r="I22" s="153">
        <f>'BGS PTY15 Cost Alloc'!I22</f>
        <v>0.2346</v>
      </c>
      <c r="J22" s="29"/>
      <c r="K22" s="30"/>
      <c r="L22" s="30"/>
      <c r="M22" s="30"/>
      <c r="N22" s="31"/>
      <c r="O22" s="32"/>
      <c r="P22" s="32"/>
      <c r="Q22" s="32">
        <f t="shared" si="0"/>
        <v>0.49050000000000005</v>
      </c>
      <c r="R22" s="32">
        <f t="shared" si="1"/>
        <v>0.48980000000000001</v>
      </c>
      <c r="S22" s="32">
        <f t="shared" si="2"/>
        <v>0.42430000000000001</v>
      </c>
      <c r="T22" s="32">
        <f t="shared" si="3"/>
        <v>0.4284</v>
      </c>
      <c r="U22" s="32">
        <f t="shared" si="4"/>
        <v>0.76539999999999997</v>
      </c>
      <c r="V22" s="32"/>
      <c r="W22" s="32"/>
      <c r="X22" s="32"/>
      <c r="Y22" s="32"/>
      <c r="Z22" s="32"/>
    </row>
    <row r="23" spans="1:26" x14ac:dyDescent="0.25">
      <c r="A23" s="22"/>
      <c r="B23" s="28" t="s">
        <v>9</v>
      </c>
      <c r="C23" s="29"/>
      <c r="D23" s="29"/>
      <c r="E23" s="153">
        <f>'BGS PTY15 Cost Alloc'!E23</f>
        <v>0.49469999999999997</v>
      </c>
      <c r="F23" s="153">
        <f>'BGS PTY15 Cost Alloc'!F23</f>
        <v>0.50290000000000001</v>
      </c>
      <c r="G23" s="153">
        <f>'BGS PTY15 Cost Alloc'!G23</f>
        <v>0.59550000000000003</v>
      </c>
      <c r="H23" s="153">
        <f>'BGS PTY15 Cost Alloc'!H23</f>
        <v>0.58499999999999996</v>
      </c>
      <c r="I23" s="153">
        <f>'BGS PTY15 Cost Alloc'!I23</f>
        <v>0.26889999999999997</v>
      </c>
      <c r="J23" s="29"/>
      <c r="K23" s="30"/>
      <c r="L23" s="30"/>
      <c r="M23" s="30"/>
      <c r="N23" s="31"/>
      <c r="O23" s="32"/>
      <c r="P23" s="32"/>
      <c r="Q23" s="32">
        <f t="shared" si="0"/>
        <v>0.50530000000000008</v>
      </c>
      <c r="R23" s="32">
        <f t="shared" si="1"/>
        <v>0.49709999999999999</v>
      </c>
      <c r="S23" s="32">
        <f t="shared" si="2"/>
        <v>0.40449999999999997</v>
      </c>
      <c r="T23" s="32">
        <f t="shared" si="3"/>
        <v>0.41500000000000004</v>
      </c>
      <c r="U23" s="32">
        <f t="shared" si="4"/>
        <v>0.73110000000000008</v>
      </c>
      <c r="V23" s="32"/>
      <c r="W23" s="32"/>
      <c r="X23" s="32"/>
      <c r="Y23" s="32"/>
      <c r="Z23" s="32"/>
    </row>
    <row r="24" spans="1:26" x14ac:dyDescent="0.25">
      <c r="A24" s="22"/>
      <c r="B24" s="28" t="s">
        <v>10</v>
      </c>
      <c r="C24" s="29"/>
      <c r="D24" s="29"/>
      <c r="E24" s="153">
        <f>'BGS PTY15 Cost Alloc'!E24</f>
        <v>0.49619999999999997</v>
      </c>
      <c r="F24" s="153">
        <f>'BGS PTY15 Cost Alloc'!F24</f>
        <v>0.5171</v>
      </c>
      <c r="G24" s="153">
        <f>'BGS PTY15 Cost Alloc'!G24</f>
        <v>0.60709999999999997</v>
      </c>
      <c r="H24" s="153">
        <f>'BGS PTY15 Cost Alloc'!H24</f>
        <v>0.59560000000000002</v>
      </c>
      <c r="I24" s="153">
        <f>'BGS PTY15 Cost Alloc'!I24</f>
        <v>0.30030000000000001</v>
      </c>
      <c r="J24" s="29"/>
      <c r="K24" s="30"/>
      <c r="L24" s="30"/>
      <c r="M24" s="30"/>
      <c r="N24" s="31"/>
      <c r="O24" s="32"/>
      <c r="P24" s="32"/>
      <c r="Q24" s="32">
        <f t="shared" si="0"/>
        <v>0.50380000000000003</v>
      </c>
      <c r="R24" s="32">
        <f t="shared" si="1"/>
        <v>0.4829</v>
      </c>
      <c r="S24" s="32">
        <f t="shared" si="2"/>
        <v>0.39290000000000003</v>
      </c>
      <c r="T24" s="32">
        <f t="shared" si="3"/>
        <v>0.40439999999999998</v>
      </c>
      <c r="U24" s="32">
        <f t="shared" si="4"/>
        <v>0.69969999999999999</v>
      </c>
      <c r="V24" s="32"/>
      <c r="W24" s="32"/>
      <c r="X24" s="32"/>
      <c r="Y24" s="32"/>
      <c r="Z24" s="32"/>
    </row>
    <row r="25" spans="1:26" x14ac:dyDescent="0.25">
      <c r="A25" s="22"/>
      <c r="B25" s="28" t="s">
        <v>11</v>
      </c>
      <c r="C25" s="29"/>
      <c r="D25" s="29"/>
      <c r="E25" s="153">
        <f>'BGS PTY15 Cost Alloc'!E25</f>
        <v>0.45129999999999998</v>
      </c>
      <c r="F25" s="153">
        <f>'BGS PTY15 Cost Alloc'!F25</f>
        <v>0.47939999999999999</v>
      </c>
      <c r="G25" s="153">
        <f>'BGS PTY15 Cost Alloc'!G25</f>
        <v>0.56240000000000001</v>
      </c>
      <c r="H25" s="153">
        <f>'BGS PTY15 Cost Alloc'!H25</f>
        <v>0.5393</v>
      </c>
      <c r="I25" s="153">
        <f>'BGS PTY15 Cost Alloc'!I25</f>
        <v>0.32100000000000001</v>
      </c>
      <c r="J25" s="29"/>
      <c r="K25" s="30"/>
      <c r="L25" s="30"/>
      <c r="M25" s="30"/>
      <c r="N25" s="31"/>
      <c r="O25" s="32"/>
      <c r="P25" s="32"/>
      <c r="Q25" s="32">
        <f t="shared" si="0"/>
        <v>0.54869999999999997</v>
      </c>
      <c r="R25" s="32">
        <f t="shared" si="1"/>
        <v>0.52059999999999995</v>
      </c>
      <c r="S25" s="32">
        <f t="shared" si="2"/>
        <v>0.43759999999999999</v>
      </c>
      <c r="T25" s="32">
        <f t="shared" si="3"/>
        <v>0.4607</v>
      </c>
      <c r="U25" s="32">
        <f t="shared" si="4"/>
        <v>0.67900000000000005</v>
      </c>
      <c r="V25" s="32"/>
      <c r="W25" s="32"/>
      <c r="X25" s="32"/>
      <c r="Y25" s="32"/>
      <c r="Z25" s="32"/>
    </row>
    <row r="26" spans="1:26" x14ac:dyDescent="0.25">
      <c r="A26" s="22"/>
      <c r="B26" s="28" t="s">
        <v>12</v>
      </c>
      <c r="C26" s="29"/>
      <c r="D26" s="29"/>
      <c r="E26" s="153">
        <f>'BGS PTY15 Cost Alloc'!E26</f>
        <v>0.48820000000000002</v>
      </c>
      <c r="F26" s="153">
        <f>'BGS PTY15 Cost Alloc'!F26</f>
        <v>0.5101</v>
      </c>
      <c r="G26" s="153">
        <f>'BGS PTY15 Cost Alloc'!G26</f>
        <v>0.58230000000000004</v>
      </c>
      <c r="H26" s="153">
        <f>'BGS PTY15 Cost Alloc'!H26</f>
        <v>0.55659999999999998</v>
      </c>
      <c r="I26" s="153">
        <f>'BGS PTY15 Cost Alloc'!I26</f>
        <v>0.34710000000000002</v>
      </c>
      <c r="J26" s="29"/>
      <c r="K26" s="30"/>
      <c r="L26" s="30"/>
      <c r="M26" s="30"/>
      <c r="N26" s="31"/>
      <c r="O26" s="32"/>
      <c r="P26" s="32"/>
      <c r="Q26" s="32">
        <f t="shared" si="0"/>
        <v>0.51180000000000003</v>
      </c>
      <c r="R26" s="32">
        <f t="shared" si="1"/>
        <v>0.4899</v>
      </c>
      <c r="S26" s="32">
        <f t="shared" si="2"/>
        <v>0.41769999999999996</v>
      </c>
      <c r="T26" s="32">
        <f t="shared" si="3"/>
        <v>0.44340000000000002</v>
      </c>
      <c r="U26" s="32">
        <f t="shared" si="4"/>
        <v>0.65290000000000004</v>
      </c>
      <c r="V26" s="32"/>
      <c r="W26" s="32"/>
      <c r="X26" s="32"/>
      <c r="Y26" s="32"/>
      <c r="Z26" s="32"/>
    </row>
    <row r="27" spans="1:26" x14ac:dyDescent="0.25">
      <c r="A27" s="22"/>
      <c r="B27" s="28"/>
      <c r="C27" s="31"/>
      <c r="D27" s="31"/>
      <c r="E27" s="31"/>
      <c r="F27" s="31"/>
      <c r="G27" s="31"/>
      <c r="H27" s="31"/>
      <c r="I27" s="33"/>
      <c r="J27" s="33"/>
      <c r="K27" s="31"/>
      <c r="L27" s="31"/>
      <c r="M27" s="31"/>
      <c r="N27" s="31"/>
      <c r="O27" s="32"/>
      <c r="P27" s="32"/>
      <c r="Q27" s="32"/>
      <c r="R27" s="32"/>
      <c r="S27" s="32"/>
      <c r="T27" s="32"/>
      <c r="U27" s="32"/>
      <c r="V27" s="32"/>
      <c r="W27" s="32"/>
      <c r="X27" s="32"/>
      <c r="Y27" s="32"/>
      <c r="Z27" s="32"/>
    </row>
    <row r="28" spans="1:26" x14ac:dyDescent="0.25">
      <c r="A28" s="22"/>
      <c r="B28" s="28"/>
      <c r="C28" s="31"/>
      <c r="D28" s="31"/>
      <c r="E28" s="31"/>
      <c r="F28" s="31"/>
      <c r="G28" s="31"/>
      <c r="H28" s="31"/>
      <c r="I28" s="33"/>
      <c r="J28" s="33"/>
      <c r="K28" s="31"/>
      <c r="L28" s="31"/>
      <c r="M28" s="31"/>
      <c r="N28" s="31"/>
      <c r="O28" s="32"/>
      <c r="P28" s="32"/>
      <c r="Q28" s="32"/>
      <c r="R28" s="32"/>
      <c r="S28" s="32"/>
      <c r="T28" s="32"/>
      <c r="U28" s="32"/>
      <c r="V28" s="32"/>
      <c r="W28" s="32"/>
      <c r="X28" s="32"/>
      <c r="Y28" s="32"/>
      <c r="Z28" s="32"/>
    </row>
    <row r="29" spans="1:26" x14ac:dyDescent="0.25">
      <c r="A29" s="18" t="s">
        <v>31</v>
      </c>
      <c r="B29" s="19" t="s">
        <v>57</v>
      </c>
      <c r="C29" s="31"/>
      <c r="D29" s="31"/>
      <c r="E29" s="31"/>
      <c r="F29" s="34" t="s">
        <v>46</v>
      </c>
      <c r="G29" s="31"/>
      <c r="H29" s="31"/>
      <c r="I29" s="33"/>
      <c r="J29" s="33"/>
      <c r="K29" s="31"/>
      <c r="L29" s="31"/>
      <c r="M29" s="31"/>
      <c r="N29" s="31"/>
      <c r="O29" s="32"/>
      <c r="P29" s="32"/>
      <c r="Q29" s="32"/>
      <c r="R29" s="32"/>
      <c r="S29" s="32"/>
      <c r="T29" s="32"/>
      <c r="U29" s="32"/>
      <c r="V29" s="32"/>
      <c r="W29" s="32"/>
      <c r="X29" s="32"/>
      <c r="Y29" s="32"/>
      <c r="Z29" s="32"/>
    </row>
    <row r="30" spans="1:26" ht="53.25" customHeight="1" x14ac:dyDescent="0.25">
      <c r="A30" s="22"/>
      <c r="C30" s="23"/>
      <c r="D30" s="23"/>
      <c r="E30" s="23" t="str">
        <f>'BGS PTY15 Cost Alloc'!$E$30</f>
        <v>2016 Forecasted Calendar Month Sales</v>
      </c>
      <c r="F30" s="23" t="s">
        <v>39</v>
      </c>
      <c r="G30" s="23" t="s">
        <v>39</v>
      </c>
      <c r="H30" s="23" t="str">
        <f>'BGS PTY15 Cost Alloc'!$E$30</f>
        <v>2016 Forecasted Calendar Month Sales</v>
      </c>
      <c r="I30" s="23" t="s">
        <v>39</v>
      </c>
      <c r="J30" s="23"/>
      <c r="K30" s="23"/>
      <c r="L30" s="23"/>
      <c r="M30" s="23"/>
      <c r="N30" s="17"/>
      <c r="O30" s="23"/>
      <c r="P30" s="23"/>
      <c r="Q30" s="23" t="str">
        <f>'BGS PTY15 Cost Alloc'!Q30</f>
        <v>2016 Forecasted Calendar Month Sales</v>
      </c>
      <c r="R30" s="23" t="s">
        <v>39</v>
      </c>
      <c r="S30" s="23" t="s">
        <v>39</v>
      </c>
      <c r="T30" s="23" t="str">
        <f>'BGS PTY15 Cost Alloc'!T30</f>
        <v>2016 Forecasted Calendar Month Sales</v>
      </c>
      <c r="U30" s="23" t="s">
        <v>39</v>
      </c>
      <c r="V30" s="23"/>
      <c r="W30" s="23"/>
      <c r="X30" s="23"/>
      <c r="Y30" s="23"/>
      <c r="Z30" s="23"/>
    </row>
    <row r="31" spans="1:26" x14ac:dyDescent="0.25">
      <c r="A31" s="22"/>
      <c r="B31" s="24" t="s">
        <v>190</v>
      </c>
      <c r="C31" s="26"/>
      <c r="D31" s="26"/>
      <c r="E31" s="26" t="str">
        <f>+E$13</f>
        <v>RT{1}</v>
      </c>
      <c r="F31" s="26" t="str">
        <f>+F$13</f>
        <v>RS{2}</v>
      </c>
      <c r="G31" s="26" t="str">
        <f>+G$13</f>
        <v>GS{3}</v>
      </c>
      <c r="H31" s="26" t="str">
        <f>+H$13</f>
        <v>GST</v>
      </c>
      <c r="I31" s="26" t="str">
        <f>+I$13</f>
        <v>OL/SL</v>
      </c>
      <c r="J31" s="26"/>
      <c r="K31" s="26"/>
      <c r="L31" s="26"/>
      <c r="M31" s="26"/>
      <c r="N31" s="27"/>
      <c r="O31" s="26"/>
      <c r="P31" s="26"/>
      <c r="Q31" s="26" t="str">
        <f>+Q$13</f>
        <v>RT{1}</v>
      </c>
      <c r="R31" s="26" t="str">
        <f>+R$13</f>
        <v>RS{2}</v>
      </c>
      <c r="S31" s="26" t="str">
        <f>+S$13</f>
        <v>GS{3}</v>
      </c>
      <c r="T31" s="26" t="str">
        <f>+T$13</f>
        <v>GST</v>
      </c>
      <c r="U31" s="26" t="str">
        <f>+U$13</f>
        <v>OL/SL</v>
      </c>
      <c r="V31" s="26"/>
      <c r="W31" s="26"/>
      <c r="X31" s="26"/>
      <c r="Y31" s="26"/>
      <c r="Z31" s="26"/>
    </row>
    <row r="32" spans="1:26" x14ac:dyDescent="0.25">
      <c r="A32" s="22"/>
      <c r="O32" s="21"/>
      <c r="P32" s="21"/>
      <c r="Q32" s="21"/>
      <c r="R32" s="21"/>
      <c r="S32" s="21"/>
      <c r="T32" s="21"/>
      <c r="U32" s="21"/>
      <c r="V32" s="21"/>
      <c r="W32" s="21"/>
      <c r="X32" s="21"/>
      <c r="Y32" s="21"/>
      <c r="Z32" s="21"/>
    </row>
    <row r="33" spans="1:26" x14ac:dyDescent="0.25">
      <c r="A33" s="22"/>
      <c r="B33" s="28" t="s">
        <v>1</v>
      </c>
      <c r="C33" s="35"/>
      <c r="D33" s="135"/>
      <c r="E33" s="153">
        <f>'BGS PTY15 Cost Alloc'!E33</f>
        <v>0.35449999999999998</v>
      </c>
      <c r="F33" s="156" t="s">
        <v>40</v>
      </c>
      <c r="G33" s="156" t="s">
        <v>40</v>
      </c>
      <c r="H33" s="153">
        <f>'BGS PTY15 Cost Alloc'!H33</f>
        <v>0.4274</v>
      </c>
      <c r="I33" s="156" t="s">
        <v>40</v>
      </c>
      <c r="J33" s="35"/>
      <c r="K33" s="35"/>
      <c r="L33" s="31"/>
      <c r="M33" s="30"/>
      <c r="N33" s="31"/>
      <c r="O33" s="32"/>
      <c r="P33" s="32"/>
      <c r="Q33" s="32">
        <f t="shared" ref="Q33:Q44" si="5">1-E33</f>
        <v>0.64549999999999996</v>
      </c>
      <c r="R33" s="32"/>
      <c r="S33" s="32"/>
      <c r="T33" s="32">
        <f t="shared" ref="T33:T44" si="6">1-H33</f>
        <v>0.5726</v>
      </c>
      <c r="U33" s="32"/>
      <c r="V33" s="32"/>
      <c r="W33" s="32"/>
      <c r="X33" s="32"/>
      <c r="Y33" s="32"/>
      <c r="Z33" s="32"/>
    </row>
    <row r="34" spans="1:26" x14ac:dyDescent="0.25">
      <c r="A34" s="22"/>
      <c r="B34" s="28" t="s">
        <v>2</v>
      </c>
      <c r="C34" s="35"/>
      <c r="D34" s="135"/>
      <c r="E34" s="153">
        <f>'BGS PTY15 Cost Alloc'!E34</f>
        <v>0.35120000000000001</v>
      </c>
      <c r="F34" s="156" t="s">
        <v>40</v>
      </c>
      <c r="G34" s="156" t="s">
        <v>40</v>
      </c>
      <c r="H34" s="153">
        <f>'BGS PTY15 Cost Alloc'!H34</f>
        <v>0.42909999999999998</v>
      </c>
      <c r="I34" s="156" t="s">
        <v>40</v>
      </c>
      <c r="J34" s="35"/>
      <c r="K34" s="35"/>
      <c r="L34" s="31"/>
      <c r="M34" s="30"/>
      <c r="N34" s="31"/>
      <c r="O34" s="32"/>
      <c r="P34" s="32"/>
      <c r="Q34" s="32">
        <f t="shared" si="5"/>
        <v>0.64880000000000004</v>
      </c>
      <c r="R34" s="32"/>
      <c r="S34" s="32"/>
      <c r="T34" s="32">
        <f t="shared" si="6"/>
        <v>0.57089999999999996</v>
      </c>
      <c r="U34" s="32"/>
      <c r="V34" s="32"/>
      <c r="W34" s="32"/>
      <c r="X34" s="32"/>
      <c r="Y34" s="32"/>
      <c r="Z34" s="32"/>
    </row>
    <row r="35" spans="1:26" x14ac:dyDescent="0.25">
      <c r="A35" s="22"/>
      <c r="B35" s="28" t="s">
        <v>3</v>
      </c>
      <c r="C35" s="35"/>
      <c r="D35" s="135"/>
      <c r="E35" s="153">
        <f>'BGS PTY15 Cost Alloc'!E35</f>
        <v>0.34570000000000001</v>
      </c>
      <c r="F35" s="156" t="s">
        <v>40</v>
      </c>
      <c r="G35" s="156" t="s">
        <v>40</v>
      </c>
      <c r="H35" s="153">
        <f>'BGS PTY15 Cost Alloc'!H35</f>
        <v>0.4299</v>
      </c>
      <c r="I35" s="156" t="s">
        <v>40</v>
      </c>
      <c r="J35" s="35"/>
      <c r="K35" s="35"/>
      <c r="L35" s="31"/>
      <c r="M35" s="30"/>
      <c r="N35" s="31"/>
      <c r="O35" s="32"/>
      <c r="P35" s="32"/>
      <c r="Q35" s="32">
        <f t="shared" si="5"/>
        <v>0.65429999999999999</v>
      </c>
      <c r="R35" s="32"/>
      <c r="S35" s="32"/>
      <c r="T35" s="32">
        <f t="shared" si="6"/>
        <v>0.57010000000000005</v>
      </c>
      <c r="U35" s="32"/>
      <c r="V35" s="32"/>
      <c r="W35" s="32"/>
      <c r="X35" s="32"/>
      <c r="Y35" s="32"/>
      <c r="Z35" s="32"/>
    </row>
    <row r="36" spans="1:26" x14ac:dyDescent="0.25">
      <c r="A36" s="22"/>
      <c r="B36" s="28" t="s">
        <v>4</v>
      </c>
      <c r="C36" s="35"/>
      <c r="D36" s="135"/>
      <c r="E36" s="153">
        <f>'BGS PTY15 Cost Alloc'!E36</f>
        <v>0.34710000000000002</v>
      </c>
      <c r="F36" s="156" t="s">
        <v>40</v>
      </c>
      <c r="G36" s="156" t="s">
        <v>40</v>
      </c>
      <c r="H36" s="153">
        <f>'BGS PTY15 Cost Alloc'!H36</f>
        <v>0.44030000000000002</v>
      </c>
      <c r="I36" s="156" t="s">
        <v>40</v>
      </c>
      <c r="J36" s="35"/>
      <c r="K36" s="35"/>
      <c r="L36" s="31"/>
      <c r="M36" s="30"/>
      <c r="N36" s="31"/>
      <c r="O36" s="32"/>
      <c r="P36" s="32"/>
      <c r="Q36" s="32">
        <f t="shared" si="5"/>
        <v>0.65290000000000004</v>
      </c>
      <c r="R36" s="32"/>
      <c r="S36" s="32"/>
      <c r="T36" s="32">
        <f t="shared" si="6"/>
        <v>0.55969999999999998</v>
      </c>
      <c r="U36" s="32"/>
      <c r="V36" s="32"/>
      <c r="W36" s="32"/>
      <c r="X36" s="32"/>
      <c r="Y36" s="32"/>
      <c r="Z36" s="32"/>
    </row>
    <row r="37" spans="1:26" x14ac:dyDescent="0.25">
      <c r="A37" s="22"/>
      <c r="B37" s="28" t="s">
        <v>5</v>
      </c>
      <c r="C37" s="35"/>
      <c r="D37" s="135"/>
      <c r="E37" s="153">
        <f>'BGS PTY15 Cost Alloc'!E37</f>
        <v>0.36709999999999998</v>
      </c>
      <c r="F37" s="156" t="s">
        <v>40</v>
      </c>
      <c r="G37" s="156" t="s">
        <v>40</v>
      </c>
      <c r="H37" s="153">
        <f>'BGS PTY15 Cost Alloc'!H37</f>
        <v>0.45200000000000001</v>
      </c>
      <c r="I37" s="156" t="s">
        <v>40</v>
      </c>
      <c r="J37" s="35"/>
      <c r="K37" s="35"/>
      <c r="L37" s="31"/>
      <c r="M37" s="30"/>
      <c r="N37" s="31"/>
      <c r="O37" s="32"/>
      <c r="P37" s="32"/>
      <c r="Q37" s="32">
        <f t="shared" si="5"/>
        <v>0.63290000000000002</v>
      </c>
      <c r="R37" s="32"/>
      <c r="S37" s="32"/>
      <c r="T37" s="32">
        <f t="shared" si="6"/>
        <v>0.54800000000000004</v>
      </c>
      <c r="U37" s="32"/>
      <c r="V37" s="32"/>
      <c r="W37" s="32"/>
      <c r="X37" s="32"/>
      <c r="Y37" s="32"/>
      <c r="Z37" s="32"/>
    </row>
    <row r="38" spans="1:26" x14ac:dyDescent="0.25">
      <c r="A38" s="22"/>
      <c r="B38" s="28" t="s">
        <v>6</v>
      </c>
      <c r="C38" s="35"/>
      <c r="D38" s="135"/>
      <c r="E38" s="153">
        <f>'BGS PTY15 Cost Alloc'!E38</f>
        <v>0.3952</v>
      </c>
      <c r="F38" s="156" t="s">
        <v>40</v>
      </c>
      <c r="G38" s="156" t="s">
        <v>40</v>
      </c>
      <c r="H38" s="153">
        <f>'BGS PTY15 Cost Alloc'!H38</f>
        <v>0.46529999999999999</v>
      </c>
      <c r="I38" s="156" t="s">
        <v>40</v>
      </c>
      <c r="J38" s="35"/>
      <c r="K38" s="35"/>
      <c r="L38" s="31"/>
      <c r="M38" s="30"/>
      <c r="N38" s="31"/>
      <c r="O38" s="32"/>
      <c r="P38" s="32"/>
      <c r="Q38" s="32">
        <f t="shared" si="5"/>
        <v>0.6048</v>
      </c>
      <c r="R38" s="32"/>
      <c r="S38" s="32"/>
      <c r="T38" s="32">
        <f t="shared" si="6"/>
        <v>0.53469999999999995</v>
      </c>
      <c r="U38" s="32"/>
      <c r="V38" s="32"/>
      <c r="W38" s="32"/>
      <c r="X38" s="32"/>
      <c r="Y38" s="32"/>
      <c r="Z38" s="32"/>
    </row>
    <row r="39" spans="1:26" x14ac:dyDescent="0.25">
      <c r="A39" s="22"/>
      <c r="B39" s="28" t="s">
        <v>7</v>
      </c>
      <c r="C39" s="35"/>
      <c r="D39" s="135"/>
      <c r="E39" s="153">
        <f>'BGS PTY15 Cost Alloc'!E39</f>
        <v>0.41139999999999999</v>
      </c>
      <c r="F39" s="156" t="s">
        <v>40</v>
      </c>
      <c r="G39" s="156" t="s">
        <v>40</v>
      </c>
      <c r="H39" s="153">
        <f>'BGS PTY15 Cost Alloc'!H39</f>
        <v>0.46679999999999999</v>
      </c>
      <c r="I39" s="156" t="s">
        <v>40</v>
      </c>
      <c r="J39" s="35"/>
      <c r="K39" s="35"/>
      <c r="L39" s="31"/>
      <c r="M39" s="30"/>
      <c r="N39" s="31"/>
      <c r="O39" s="32"/>
      <c r="P39" s="32"/>
      <c r="Q39" s="32">
        <f t="shared" si="5"/>
        <v>0.58860000000000001</v>
      </c>
      <c r="R39" s="32"/>
      <c r="S39" s="32"/>
      <c r="T39" s="32">
        <f t="shared" si="6"/>
        <v>0.53320000000000001</v>
      </c>
      <c r="U39" s="32"/>
      <c r="V39" s="32"/>
      <c r="W39" s="32"/>
      <c r="X39" s="32"/>
      <c r="Y39" s="32"/>
      <c r="Z39" s="32"/>
    </row>
    <row r="40" spans="1:26" x14ac:dyDescent="0.25">
      <c r="A40" s="22"/>
      <c r="B40" s="28" t="s">
        <v>8</v>
      </c>
      <c r="C40" s="35"/>
      <c r="D40" s="135"/>
      <c r="E40" s="153">
        <f>'BGS PTY15 Cost Alloc'!E40</f>
        <v>0.41289999999999999</v>
      </c>
      <c r="F40" s="156" t="s">
        <v>40</v>
      </c>
      <c r="G40" s="156" t="s">
        <v>40</v>
      </c>
      <c r="H40" s="153">
        <f>'BGS PTY15 Cost Alloc'!H40</f>
        <v>0.46300000000000002</v>
      </c>
      <c r="I40" s="156" t="s">
        <v>40</v>
      </c>
      <c r="J40" s="35"/>
      <c r="K40" s="35"/>
      <c r="L40" s="31"/>
      <c r="M40" s="30"/>
      <c r="N40" s="31"/>
      <c r="O40" s="32"/>
      <c r="P40" s="32"/>
      <c r="Q40" s="32">
        <f t="shared" si="5"/>
        <v>0.58709999999999996</v>
      </c>
      <c r="R40" s="32"/>
      <c r="S40" s="32"/>
      <c r="T40" s="32">
        <f t="shared" si="6"/>
        <v>0.53699999999999992</v>
      </c>
      <c r="U40" s="32"/>
      <c r="V40" s="32"/>
      <c r="W40" s="32"/>
      <c r="X40" s="32"/>
      <c r="Y40" s="32"/>
      <c r="Z40" s="32"/>
    </row>
    <row r="41" spans="1:26" x14ac:dyDescent="0.25">
      <c r="A41" s="22"/>
      <c r="B41" s="28" t="s">
        <v>9</v>
      </c>
      <c r="C41" s="35"/>
      <c r="D41" s="135"/>
      <c r="E41" s="153">
        <f>'BGS PTY15 Cost Alloc'!E41</f>
        <v>0.39789999999999998</v>
      </c>
      <c r="F41" s="156" t="s">
        <v>40</v>
      </c>
      <c r="G41" s="156" t="s">
        <v>40</v>
      </c>
      <c r="H41" s="153">
        <f>'BGS PTY15 Cost Alloc'!H41</f>
        <v>0.46729999999999999</v>
      </c>
      <c r="I41" s="156" t="s">
        <v>40</v>
      </c>
      <c r="J41" s="35"/>
      <c r="K41" s="35"/>
      <c r="L41" s="31"/>
      <c r="M41" s="30"/>
      <c r="N41" s="31"/>
      <c r="O41" s="32"/>
      <c r="P41" s="32"/>
      <c r="Q41" s="32">
        <f t="shared" si="5"/>
        <v>0.60210000000000008</v>
      </c>
      <c r="R41" s="32"/>
      <c r="S41" s="32"/>
      <c r="T41" s="32">
        <f t="shared" si="6"/>
        <v>0.53269999999999995</v>
      </c>
      <c r="U41" s="32"/>
      <c r="V41" s="32"/>
      <c r="W41" s="32"/>
      <c r="X41" s="32"/>
      <c r="Y41" s="32"/>
      <c r="Z41" s="32"/>
    </row>
    <row r="42" spans="1:26" x14ac:dyDescent="0.25">
      <c r="A42" s="22"/>
      <c r="B42" s="28" t="s">
        <v>10</v>
      </c>
      <c r="C42" s="35"/>
      <c r="D42" s="135"/>
      <c r="E42" s="153">
        <f>'BGS PTY15 Cost Alloc'!E42</f>
        <v>0.3674</v>
      </c>
      <c r="F42" s="156" t="s">
        <v>40</v>
      </c>
      <c r="G42" s="156" t="s">
        <v>40</v>
      </c>
      <c r="H42" s="153">
        <f>'BGS PTY15 Cost Alloc'!H42</f>
        <v>0.46039999999999998</v>
      </c>
      <c r="I42" s="156" t="s">
        <v>40</v>
      </c>
      <c r="J42" s="35"/>
      <c r="K42" s="35"/>
      <c r="L42" s="31"/>
      <c r="M42" s="30"/>
      <c r="N42" s="31"/>
      <c r="O42" s="32"/>
      <c r="P42" s="32"/>
      <c r="Q42" s="32">
        <f t="shared" si="5"/>
        <v>0.63260000000000005</v>
      </c>
      <c r="R42" s="32"/>
      <c r="S42" s="32"/>
      <c r="T42" s="32">
        <f t="shared" si="6"/>
        <v>0.53960000000000008</v>
      </c>
      <c r="U42" s="32"/>
      <c r="V42" s="32"/>
      <c r="W42" s="32"/>
      <c r="X42" s="32"/>
      <c r="Y42" s="32"/>
      <c r="Z42" s="32"/>
    </row>
    <row r="43" spans="1:26" x14ac:dyDescent="0.25">
      <c r="A43" s="22"/>
      <c r="B43" s="28" t="s">
        <v>11</v>
      </c>
      <c r="C43" s="35"/>
      <c r="D43" s="135"/>
      <c r="E43" s="153">
        <f>'BGS PTY15 Cost Alloc'!E43</f>
        <v>0.35170000000000001</v>
      </c>
      <c r="F43" s="156" t="s">
        <v>40</v>
      </c>
      <c r="G43" s="156" t="s">
        <v>40</v>
      </c>
      <c r="H43" s="153">
        <f>'BGS PTY15 Cost Alloc'!H43</f>
        <v>0.44900000000000001</v>
      </c>
      <c r="I43" s="156" t="s">
        <v>40</v>
      </c>
      <c r="J43" s="35"/>
      <c r="K43" s="35"/>
      <c r="L43" s="31"/>
      <c r="M43" s="30"/>
      <c r="N43" s="31"/>
      <c r="O43" s="32"/>
      <c r="P43" s="32"/>
      <c r="Q43" s="32">
        <f t="shared" si="5"/>
        <v>0.64829999999999999</v>
      </c>
      <c r="R43" s="32"/>
      <c r="S43" s="32"/>
      <c r="T43" s="32">
        <f t="shared" si="6"/>
        <v>0.55099999999999993</v>
      </c>
      <c r="U43" s="32"/>
      <c r="V43" s="32"/>
      <c r="W43" s="32"/>
      <c r="X43" s="32"/>
      <c r="Y43" s="32"/>
      <c r="Z43" s="32"/>
    </row>
    <row r="44" spans="1:26" x14ac:dyDescent="0.25">
      <c r="A44" s="22"/>
      <c r="B44" s="28" t="s">
        <v>12</v>
      </c>
      <c r="C44" s="35"/>
      <c r="D44" s="135"/>
      <c r="E44" s="153">
        <f>'BGS PTY15 Cost Alloc'!E44</f>
        <v>0.35239999999999999</v>
      </c>
      <c r="F44" s="156" t="s">
        <v>40</v>
      </c>
      <c r="G44" s="156" t="s">
        <v>40</v>
      </c>
      <c r="H44" s="153">
        <f>'BGS PTY15 Cost Alloc'!H44</f>
        <v>0.42949999999999999</v>
      </c>
      <c r="I44" s="156" t="s">
        <v>40</v>
      </c>
      <c r="J44" s="35"/>
      <c r="K44" s="35"/>
      <c r="L44" s="31"/>
      <c r="M44" s="30"/>
      <c r="N44" s="31"/>
      <c r="O44" s="32"/>
      <c r="P44" s="32"/>
      <c r="Q44" s="32">
        <f t="shared" si="5"/>
        <v>0.64759999999999995</v>
      </c>
      <c r="R44" s="32"/>
      <c r="S44" s="32"/>
      <c r="T44" s="32">
        <f t="shared" si="6"/>
        <v>0.57050000000000001</v>
      </c>
      <c r="U44" s="32"/>
      <c r="V44" s="32"/>
      <c r="W44" s="32"/>
      <c r="X44" s="32"/>
      <c r="Y44" s="32"/>
      <c r="Z44" s="32"/>
    </row>
    <row r="45" spans="1:26" x14ac:dyDescent="0.25">
      <c r="A45" s="22"/>
      <c r="B45" s="28"/>
      <c r="C45" s="35"/>
      <c r="D45" s="35"/>
      <c r="E45" s="35"/>
      <c r="F45" s="35"/>
      <c r="G45" s="35"/>
      <c r="H45" s="35"/>
      <c r="I45" s="35"/>
      <c r="J45" s="35"/>
      <c r="K45" s="35"/>
      <c r="L45" s="31"/>
      <c r="M45" s="30"/>
      <c r="N45" s="31"/>
      <c r="O45" s="32"/>
      <c r="P45" s="32"/>
      <c r="Q45" s="32"/>
      <c r="R45" s="32"/>
      <c r="S45" s="32"/>
      <c r="T45" s="32"/>
      <c r="U45" s="32"/>
      <c r="V45" s="32"/>
      <c r="W45" s="32"/>
      <c r="X45" s="32"/>
      <c r="Y45" s="32"/>
      <c r="Z45" s="32"/>
    </row>
    <row r="46" spans="1:26" x14ac:dyDescent="0.25">
      <c r="A46" s="22"/>
      <c r="B46" s="36" t="s">
        <v>202</v>
      </c>
      <c r="C46" s="35"/>
      <c r="D46" s="35"/>
      <c r="E46" s="35"/>
      <c r="F46" s="35"/>
      <c r="G46" s="35"/>
      <c r="H46" s="35"/>
      <c r="I46" s="35"/>
      <c r="J46" s="35"/>
      <c r="K46" s="35"/>
      <c r="L46" s="31"/>
      <c r="M46" s="30"/>
      <c r="N46" s="31"/>
      <c r="O46" s="32"/>
      <c r="P46" s="32"/>
      <c r="Q46" s="32"/>
      <c r="R46" s="32"/>
      <c r="S46" s="32"/>
      <c r="T46" s="32"/>
      <c r="U46" s="32"/>
      <c r="V46" s="32"/>
      <c r="W46" s="32"/>
      <c r="X46" s="32"/>
      <c r="Y46" s="32"/>
      <c r="Z46" s="32"/>
    </row>
    <row r="47" spans="1:26" x14ac:dyDescent="0.25">
      <c r="A47" s="22"/>
      <c r="B47" s="36" t="s">
        <v>213</v>
      </c>
      <c r="C47" s="31"/>
      <c r="D47" s="31"/>
      <c r="E47" s="31"/>
      <c r="F47" s="31"/>
      <c r="G47" s="31"/>
      <c r="H47" s="31"/>
      <c r="I47" s="33"/>
      <c r="J47" s="33"/>
      <c r="K47" s="31"/>
      <c r="L47" s="31"/>
      <c r="M47" s="31"/>
      <c r="N47" s="31"/>
      <c r="O47" s="32"/>
      <c r="P47" s="32"/>
      <c r="Q47" s="32"/>
      <c r="R47" s="32"/>
      <c r="S47" s="32"/>
      <c r="T47" s="32"/>
      <c r="U47" s="32"/>
      <c r="V47" s="32"/>
      <c r="W47" s="32"/>
      <c r="X47" s="32"/>
      <c r="Y47" s="32"/>
      <c r="Z47" s="32"/>
    </row>
    <row r="48" spans="1:26" x14ac:dyDescent="0.25">
      <c r="A48" s="22"/>
      <c r="B48" s="36" t="s">
        <v>66</v>
      </c>
      <c r="C48" s="31"/>
      <c r="D48" s="31"/>
      <c r="E48" s="31"/>
      <c r="F48" s="31"/>
      <c r="G48" s="31"/>
      <c r="H48" s="31"/>
      <c r="I48" s="33"/>
      <c r="J48" s="33"/>
      <c r="K48" s="31"/>
      <c r="L48" s="31"/>
      <c r="M48" s="31"/>
      <c r="N48" s="31"/>
      <c r="O48" s="32"/>
      <c r="P48" s="32"/>
      <c r="Q48" s="32"/>
      <c r="R48" s="32"/>
      <c r="S48" s="32"/>
      <c r="T48" s="32"/>
      <c r="U48" s="32"/>
      <c r="V48" s="32"/>
      <c r="W48" s="32"/>
      <c r="X48" s="32"/>
      <c r="Y48" s="32"/>
      <c r="Z48" s="32"/>
    </row>
    <row r="49" spans="1:33" x14ac:dyDescent="0.25">
      <c r="A49" s="22"/>
      <c r="B49" s="36" t="s">
        <v>67</v>
      </c>
      <c r="C49" s="31"/>
      <c r="D49" s="31"/>
      <c r="E49" s="31"/>
      <c r="F49" s="31"/>
      <c r="G49" s="31"/>
      <c r="H49" s="31"/>
      <c r="I49" s="33"/>
      <c r="J49" s="33"/>
      <c r="K49" s="31"/>
      <c r="L49" s="31"/>
      <c r="M49" s="31"/>
      <c r="N49" s="31"/>
      <c r="O49" s="32"/>
      <c r="P49" s="32"/>
      <c r="Q49" s="32"/>
      <c r="R49" s="32"/>
      <c r="S49" s="32"/>
      <c r="T49" s="32"/>
      <c r="U49" s="32"/>
      <c r="V49" s="32"/>
      <c r="W49" s="32"/>
      <c r="X49" s="32"/>
      <c r="Y49" s="32"/>
      <c r="Z49" s="32"/>
    </row>
    <row r="50" spans="1:33" x14ac:dyDescent="0.25">
      <c r="A50" s="22"/>
      <c r="B50" s="36" t="s">
        <v>68</v>
      </c>
      <c r="C50" s="31"/>
      <c r="D50" s="31"/>
      <c r="E50" s="31"/>
      <c r="F50" s="31"/>
      <c r="G50" s="31"/>
      <c r="H50" s="31"/>
      <c r="I50" s="33"/>
      <c r="J50" s="33"/>
      <c r="K50" s="31"/>
      <c r="L50" s="31"/>
      <c r="M50" s="31"/>
      <c r="N50" s="31"/>
      <c r="O50" s="32"/>
      <c r="P50" s="32"/>
      <c r="Q50" s="32"/>
      <c r="R50" s="32"/>
      <c r="S50" s="32"/>
      <c r="T50" s="32"/>
      <c r="U50" s="32"/>
      <c r="V50" s="32"/>
      <c r="W50" s="32"/>
      <c r="X50" s="32"/>
      <c r="Y50" s="32"/>
      <c r="Z50" s="32"/>
    </row>
    <row r="51" spans="1:33" x14ac:dyDescent="0.25">
      <c r="A51" s="22"/>
      <c r="B51" s="28"/>
      <c r="C51" s="31"/>
      <c r="D51" s="31"/>
      <c r="E51" s="31"/>
      <c r="F51" s="31"/>
      <c r="G51" s="31"/>
      <c r="H51" s="31"/>
      <c r="I51" s="33"/>
      <c r="J51" s="33"/>
      <c r="K51" s="31"/>
      <c r="L51" s="31"/>
      <c r="M51" s="31"/>
      <c r="N51" s="31"/>
      <c r="O51" s="32"/>
      <c r="P51" s="32"/>
      <c r="Q51" s="32"/>
      <c r="R51" s="32"/>
      <c r="S51" s="32"/>
      <c r="T51" s="32"/>
      <c r="U51" s="32"/>
      <c r="V51" s="32"/>
      <c r="W51" s="32"/>
      <c r="X51" s="32"/>
      <c r="Y51" s="32"/>
      <c r="Z51" s="32"/>
    </row>
    <row r="52" spans="1:33" ht="15.6" x14ac:dyDescent="0.3">
      <c r="A52" s="22"/>
      <c r="B52" s="519" t="str">
        <f>$B$1</f>
        <v xml:space="preserve">Jersey Central Power &amp; Light </v>
      </c>
      <c r="C52" s="519"/>
      <c r="D52" s="519"/>
      <c r="E52" s="519"/>
      <c r="F52" s="519"/>
      <c r="G52" s="519"/>
      <c r="H52" s="519"/>
      <c r="I52" s="519"/>
      <c r="J52" s="519"/>
      <c r="K52" s="519"/>
      <c r="L52" s="519"/>
      <c r="M52" s="31"/>
      <c r="N52" s="31"/>
      <c r="O52" s="32"/>
      <c r="P52" s="32"/>
      <c r="Q52" s="32"/>
      <c r="R52" s="32"/>
      <c r="S52" s="32"/>
      <c r="T52" s="32"/>
      <c r="U52" s="32"/>
      <c r="V52" s="32"/>
      <c r="W52" s="32"/>
      <c r="X52" s="32"/>
      <c r="Y52" s="32"/>
      <c r="Z52" s="32"/>
    </row>
    <row r="53" spans="1:33" ht="15.6" x14ac:dyDescent="0.3">
      <c r="A53" s="22"/>
      <c r="B53" s="519" t="str">
        <f>$B$2</f>
        <v>Attachment 2</v>
      </c>
      <c r="C53" s="519"/>
      <c r="D53" s="519"/>
      <c r="E53" s="519"/>
      <c r="F53" s="519"/>
      <c r="G53" s="519"/>
      <c r="H53" s="519"/>
      <c r="I53" s="519"/>
      <c r="J53" s="519"/>
      <c r="K53" s="519"/>
      <c r="L53" s="519"/>
      <c r="M53" s="31"/>
      <c r="N53" s="31"/>
      <c r="O53" s="32"/>
      <c r="P53" s="32"/>
      <c r="Q53" s="32"/>
      <c r="R53" s="32"/>
      <c r="S53" s="32"/>
      <c r="T53" s="32"/>
      <c r="U53" s="32"/>
      <c r="V53" s="32"/>
      <c r="W53" s="32"/>
      <c r="X53" s="32"/>
      <c r="Y53" s="32"/>
      <c r="Z53" s="32"/>
    </row>
    <row r="54" spans="1:33" x14ac:dyDescent="0.25">
      <c r="A54" s="22"/>
      <c r="B54" s="28"/>
      <c r="C54" s="31"/>
      <c r="D54" s="31"/>
      <c r="E54" s="31"/>
      <c r="F54" s="31"/>
      <c r="G54" s="31"/>
      <c r="H54" s="31"/>
      <c r="I54" s="33"/>
      <c r="J54" s="33"/>
      <c r="K54" s="31"/>
      <c r="L54" s="31"/>
      <c r="M54" s="31"/>
      <c r="N54" s="31"/>
      <c r="O54" s="32"/>
      <c r="P54" s="32"/>
      <c r="Q54" s="32"/>
      <c r="R54" s="32"/>
      <c r="S54" s="32"/>
      <c r="T54" s="32"/>
      <c r="U54" s="32"/>
      <c r="V54" s="32"/>
      <c r="W54" s="32"/>
      <c r="X54" s="32"/>
      <c r="Y54" s="32"/>
      <c r="Z54" s="32"/>
    </row>
    <row r="55" spans="1:33" x14ac:dyDescent="0.25">
      <c r="A55" s="22"/>
      <c r="B55" s="28"/>
      <c r="C55" s="31"/>
      <c r="D55" s="31"/>
      <c r="E55" s="31"/>
      <c r="F55" s="31"/>
      <c r="G55" s="31"/>
      <c r="H55" s="31"/>
      <c r="I55" s="33"/>
      <c r="J55" s="33"/>
      <c r="K55" s="31"/>
      <c r="L55" s="31"/>
      <c r="M55" s="31"/>
      <c r="N55" s="31"/>
      <c r="O55" s="32"/>
      <c r="P55" s="32"/>
      <c r="Q55" s="32"/>
      <c r="R55" s="32"/>
      <c r="S55" s="32"/>
      <c r="T55" s="32"/>
      <c r="U55" s="32"/>
      <c r="V55" s="32"/>
      <c r="W55" s="170" t="str">
        <f>'BGS PTY15 Cost Alloc'!Y55</f>
        <v>Forecast 2017 Delivery MWh</v>
      </c>
      <c r="X55" s="171"/>
      <c r="Y55" s="171"/>
      <c r="Z55" s="31"/>
    </row>
    <row r="56" spans="1:33" x14ac:dyDescent="0.25">
      <c r="A56" s="18" t="s">
        <v>36</v>
      </c>
      <c r="B56" s="37" t="s">
        <v>48</v>
      </c>
      <c r="E56" s="31"/>
      <c r="F56" s="31"/>
      <c r="G56" s="31"/>
      <c r="H56" s="31"/>
      <c r="I56" s="33"/>
      <c r="J56" s="33"/>
      <c r="O56" s="16"/>
      <c r="W56" s="16"/>
      <c r="X56" s="16"/>
      <c r="Z56" s="168" t="s">
        <v>251</v>
      </c>
    </row>
    <row r="57" spans="1:33" x14ac:dyDescent="0.25">
      <c r="A57" s="22"/>
      <c r="B57" s="39" t="str">
        <f>'BGS PTY15 Cost Alloc'!$B$57</f>
        <v>calendar month sales forecasted for 2017</v>
      </c>
      <c r="N57" s="40"/>
      <c r="O57" s="41"/>
      <c r="P57" s="41"/>
      <c r="Q57" s="41" t="s">
        <v>129</v>
      </c>
      <c r="R57" s="41"/>
      <c r="S57" s="41"/>
      <c r="T57" s="41"/>
      <c r="U57" s="42"/>
      <c r="W57" s="26" t="s">
        <v>13</v>
      </c>
    </row>
    <row r="58" spans="1:33" x14ac:dyDescent="0.25">
      <c r="A58" s="22"/>
      <c r="B58" s="17" t="s">
        <v>38</v>
      </c>
      <c r="C58" s="26"/>
      <c r="D58" s="26"/>
      <c r="E58" s="26" t="str">
        <f>+E$13</f>
        <v>RT{1}</v>
      </c>
      <c r="F58" s="26" t="str">
        <f>+F$13</f>
        <v>RS{2}</v>
      </c>
      <c r="G58" s="26" t="str">
        <f>+G$13</f>
        <v>GS{3}</v>
      </c>
      <c r="H58" s="26" t="s">
        <v>203</v>
      </c>
      <c r="I58" s="26" t="str">
        <f>+I$13</f>
        <v>OL/SL</v>
      </c>
      <c r="J58" s="26" t="s">
        <v>13</v>
      </c>
      <c r="K58" s="26"/>
      <c r="L58" s="26"/>
      <c r="M58" s="26" t="s">
        <v>179</v>
      </c>
      <c r="N58" s="43"/>
      <c r="O58" s="44"/>
      <c r="P58" s="44"/>
      <c r="Q58" s="26" t="str">
        <f>+Q$13</f>
        <v>RT{1}</v>
      </c>
      <c r="R58" s="26" t="str">
        <f>+R$13</f>
        <v>RS{2}</v>
      </c>
      <c r="S58" s="26" t="str">
        <f>+S$13</f>
        <v>GS{3}</v>
      </c>
      <c r="T58" s="26" t="str">
        <f>+T$13</f>
        <v>GST</v>
      </c>
      <c r="U58" s="45" t="str">
        <f>+U$13</f>
        <v>OL/SL</v>
      </c>
      <c r="V58" s="26"/>
      <c r="W58" s="26" t="s">
        <v>59</v>
      </c>
      <c r="X58" s="26" t="s">
        <v>64</v>
      </c>
      <c r="Y58" s="26" t="s">
        <v>63</v>
      </c>
      <c r="Z58" s="26" t="s">
        <v>60</v>
      </c>
      <c r="AA58" s="26" t="s">
        <v>52</v>
      </c>
      <c r="AB58" s="26" t="s">
        <v>0</v>
      </c>
      <c r="AC58" s="26" t="s">
        <v>53</v>
      </c>
      <c r="AD58" s="26" t="s">
        <v>53</v>
      </c>
      <c r="AG58" s="26" t="s">
        <v>54</v>
      </c>
    </row>
    <row r="59" spans="1:33" x14ac:dyDescent="0.25">
      <c r="A59" s="22"/>
      <c r="M59" s="16" t="s">
        <v>180</v>
      </c>
      <c r="N59" s="46"/>
      <c r="O59" s="47"/>
      <c r="P59" s="47"/>
      <c r="Q59" s="47"/>
      <c r="R59" s="47"/>
      <c r="S59" s="47"/>
      <c r="T59" s="47"/>
      <c r="U59" s="48"/>
    </row>
    <row r="60" spans="1:33" x14ac:dyDescent="0.25">
      <c r="A60" s="22"/>
      <c r="B60" s="28" t="s">
        <v>1</v>
      </c>
      <c r="C60" s="49"/>
      <c r="D60" s="49"/>
      <c r="E60" s="50">
        <f>'BGS PTY15 Cost Alloc'!E60</f>
        <v>27023</v>
      </c>
      <c r="F60" s="50">
        <f>'BGS PTY15 Cost Alloc'!F60</f>
        <v>763732</v>
      </c>
      <c r="G60" s="50">
        <f>'BGS PTY15 Cost Alloc'!G60</f>
        <v>552503</v>
      </c>
      <c r="H60" s="50">
        <f>'BGS PTY15 Cost Alloc'!H60</f>
        <v>13133</v>
      </c>
      <c r="I60" s="50">
        <f>'BGS PTY15 Cost Alloc'!I60</f>
        <v>9553</v>
      </c>
      <c r="J60" s="50">
        <f t="shared" ref="J60:J72" si="7">SUM(E60:I60)</f>
        <v>1365944</v>
      </c>
      <c r="K60" s="49"/>
      <c r="L60" s="49"/>
      <c r="M60" s="50">
        <f t="shared" ref="M60:M71" si="8">E60-ROUND(SUM($W60/1000),0)</f>
        <v>26511</v>
      </c>
      <c r="N60" s="51" t="s">
        <v>28</v>
      </c>
      <c r="O60" s="52"/>
      <c r="P60" s="53"/>
      <c r="Q60" s="53">
        <f>SUM(E60:E64,E69:E71)</f>
        <v>164662</v>
      </c>
      <c r="R60" s="53">
        <f>SUM(F60:F64,F69:F71)</f>
        <v>5022127</v>
      </c>
      <c r="S60" s="53">
        <f>SUM(G60:G64,G69:G71)</f>
        <v>3781623</v>
      </c>
      <c r="T60" s="53">
        <f>SUM(H60:H64,H69:H71)</f>
        <v>74592</v>
      </c>
      <c r="U60" s="54">
        <f>SUM(I60:I64,I69:I71)</f>
        <v>76214</v>
      </c>
      <c r="V60" s="169">
        <f>'BGS PTY15 Cost Alloc'!V60</f>
        <v>42736</v>
      </c>
      <c r="W60" s="50">
        <f>'BGS PTY15 Cost Alloc'!W60</f>
        <v>512328.67665650003</v>
      </c>
      <c r="X60" s="50">
        <f>'BGS PTY15 Cost Alloc'!X60</f>
        <v>5972.2406739000007</v>
      </c>
      <c r="Y60" s="55">
        <f t="shared" ref="Y60:Y71" si="9">W60-X60</f>
        <v>506356.43598260003</v>
      </c>
      <c r="Z60" s="50">
        <f>'BGS PTY15 Cost Alloc'!Z60</f>
        <v>1884950.7580757001</v>
      </c>
      <c r="AA60" s="50">
        <f>'BGS PTY15 Cost Alloc'!AA60</f>
        <v>26511.0783441395</v>
      </c>
      <c r="AB60" s="50">
        <f>'BGS PTY15 Cost Alloc'!AB60</f>
        <v>761846.93089778395</v>
      </c>
      <c r="AC60" s="50">
        <f>'BGS PTY15 Cost Alloc'!AC60</f>
        <v>552509.16457879392</v>
      </c>
      <c r="AD60" s="50">
        <f>'BGS PTY15 Cost Alloc'!AD60</f>
        <v>606325.98157879396</v>
      </c>
      <c r="AG60" s="50">
        <f>'BGS PTY15 Cost Alloc'!AG60</f>
        <v>13133.320437320604</v>
      </c>
    </row>
    <row r="61" spans="1:33" x14ac:dyDescent="0.25">
      <c r="A61" s="22"/>
      <c r="B61" s="28" t="s">
        <v>2</v>
      </c>
      <c r="C61" s="49"/>
      <c r="D61" s="49"/>
      <c r="E61" s="50">
        <f>'BGS PTY15 Cost Alloc'!E61</f>
        <v>27487</v>
      </c>
      <c r="F61" s="50">
        <f>'BGS PTY15 Cost Alloc'!F61</f>
        <v>721091</v>
      </c>
      <c r="G61" s="50">
        <f>'BGS PTY15 Cost Alloc'!G61</f>
        <v>480666</v>
      </c>
      <c r="H61" s="50">
        <f>'BGS PTY15 Cost Alloc'!H61</f>
        <v>9216</v>
      </c>
      <c r="I61" s="50">
        <f>'BGS PTY15 Cost Alloc'!I61</f>
        <v>9547</v>
      </c>
      <c r="J61" s="50">
        <f t="shared" si="7"/>
        <v>1248007</v>
      </c>
      <c r="K61" s="49"/>
      <c r="L61" s="49"/>
      <c r="M61" s="50">
        <f t="shared" si="8"/>
        <v>26982</v>
      </c>
      <c r="N61" s="51"/>
      <c r="O61" s="52"/>
      <c r="P61" s="114" t="s">
        <v>193</v>
      </c>
      <c r="Q61" s="53">
        <f>SUMPRODUCT(E33:E37,M60:M64)+SUMPRODUCT(E42:E44,M69:M71)</f>
        <v>56845.5003</v>
      </c>
      <c r="R61" s="47"/>
      <c r="S61" s="131" t="s">
        <v>177</v>
      </c>
      <c r="T61" s="53">
        <f>SUMPRODUCT(H33:H37,H60:H64)+SUMPRODUCT(H42:H44,H69:H71)</f>
        <v>32710.3141</v>
      </c>
      <c r="U61" s="48">
        <f>T61/T60</f>
        <v>0.43852308692621195</v>
      </c>
      <c r="V61" s="169">
        <f>'BGS PTY15 Cost Alloc'!V61</f>
        <v>42767</v>
      </c>
      <c r="W61" s="50">
        <f>'BGS PTY15 Cost Alloc'!W61</f>
        <v>505137.36006469995</v>
      </c>
      <c r="X61" s="50">
        <f>'BGS PTY15 Cost Alloc'!X61</f>
        <v>5958.7377296000004</v>
      </c>
      <c r="Y61" s="55">
        <f t="shared" si="9"/>
        <v>499178.62233509996</v>
      </c>
      <c r="Z61" s="50">
        <f>'BGS PTY15 Cost Alloc'!Z61</f>
        <v>1854199.3097881</v>
      </c>
      <c r="AA61" s="50">
        <f>'BGS PTY15 Cost Alloc'!AA61</f>
        <v>26981.641247462197</v>
      </c>
      <c r="AB61" s="50">
        <f>'BGS PTY15 Cost Alloc'!AB61</f>
        <v>719236.92744274996</v>
      </c>
      <c r="AC61" s="50">
        <f>'BGS PTY15 Cost Alloc'!AC61</f>
        <v>480672.33383363299</v>
      </c>
      <c r="AD61" s="50">
        <f>'BGS PTY15 Cost Alloc'!AD61</f>
        <v>538284.28183363297</v>
      </c>
      <c r="AG61" s="50">
        <f>'BGS PTY15 Cost Alloc'!AG61</f>
        <v>9215.8170327590997</v>
      </c>
    </row>
    <row r="62" spans="1:33" x14ac:dyDescent="0.25">
      <c r="A62" s="22"/>
      <c r="B62" s="28" t="s">
        <v>3</v>
      </c>
      <c r="C62" s="49"/>
      <c r="D62" s="49"/>
      <c r="E62" s="50">
        <f>'BGS PTY15 Cost Alloc'!E62</f>
        <v>25189</v>
      </c>
      <c r="F62" s="50">
        <f>'BGS PTY15 Cost Alloc'!F62</f>
        <v>651847</v>
      </c>
      <c r="G62" s="50">
        <f>'BGS PTY15 Cost Alloc'!G62</f>
        <v>506258</v>
      </c>
      <c r="H62" s="50">
        <f>'BGS PTY15 Cost Alloc'!H62</f>
        <v>10072</v>
      </c>
      <c r="I62" s="50">
        <f>'BGS PTY15 Cost Alloc'!I62</f>
        <v>9542</v>
      </c>
      <c r="J62" s="50">
        <f t="shared" si="7"/>
        <v>1202908</v>
      </c>
      <c r="K62" s="49"/>
      <c r="L62" s="49"/>
      <c r="M62" s="50">
        <f t="shared" si="8"/>
        <v>24691</v>
      </c>
      <c r="N62" s="51"/>
      <c r="O62" s="52"/>
      <c r="P62" s="114" t="s">
        <v>194</v>
      </c>
      <c r="Q62" s="53">
        <f>SUMPRODUCT(Q33:Q37,M60:M64)+SUMPRODUCT(Q42:Q44,M69:M71)</f>
        <v>104010.4997</v>
      </c>
      <c r="R62" s="47"/>
      <c r="S62" s="131" t="s">
        <v>178</v>
      </c>
      <c r="T62" s="53">
        <f>+T60-T61</f>
        <v>41881.685899999997</v>
      </c>
      <c r="U62" s="48"/>
      <c r="V62" s="169">
        <f>'BGS PTY15 Cost Alloc'!V62</f>
        <v>42795</v>
      </c>
      <c r="W62" s="50">
        <f>'BGS PTY15 Cost Alloc'!W62</f>
        <v>498467.18304700003</v>
      </c>
      <c r="X62" s="50">
        <f>'BGS PTY15 Cost Alloc'!X62</f>
        <v>5920.6036742999995</v>
      </c>
      <c r="Y62" s="55">
        <f t="shared" si="9"/>
        <v>492546.57937270001</v>
      </c>
      <c r="Z62" s="50">
        <f>'BGS PTY15 Cost Alloc'!Z62</f>
        <v>1675264.8106487999</v>
      </c>
      <c r="AA62" s="50">
        <f>'BGS PTY15 Cost Alloc'!AA62</f>
        <v>24691.276620735302</v>
      </c>
      <c r="AB62" s="50">
        <f>'BGS PTY15 Cost Alloc'!AB62</f>
        <v>650171.65156861604</v>
      </c>
      <c r="AC62" s="50">
        <f>'BGS PTY15 Cost Alloc'!AC62</f>
        <v>506264.33477273304</v>
      </c>
      <c r="AD62" s="50">
        <f>'BGS PTY15 Cost Alloc'!AD62</f>
        <v>563183.28277273302</v>
      </c>
      <c r="AG62" s="50">
        <f>'BGS PTY15 Cost Alloc'!AG62</f>
        <v>10071.835568046898</v>
      </c>
    </row>
    <row r="63" spans="1:33" x14ac:dyDescent="0.25">
      <c r="A63" s="22"/>
      <c r="B63" s="28" t="s">
        <v>4</v>
      </c>
      <c r="C63" s="49"/>
      <c r="D63" s="49"/>
      <c r="E63" s="50">
        <f>'BGS PTY15 Cost Alloc'!E63</f>
        <v>20478</v>
      </c>
      <c r="F63" s="50">
        <f>'BGS PTY15 Cost Alloc'!F63</f>
        <v>567171</v>
      </c>
      <c r="G63" s="50">
        <f>'BGS PTY15 Cost Alloc'!G63</f>
        <v>461012</v>
      </c>
      <c r="H63" s="50">
        <f>'BGS PTY15 Cost Alloc'!H63</f>
        <v>7879</v>
      </c>
      <c r="I63" s="50">
        <f>'BGS PTY15 Cost Alloc'!I63</f>
        <v>9537</v>
      </c>
      <c r="J63" s="50">
        <f t="shared" si="7"/>
        <v>1066077</v>
      </c>
      <c r="K63" s="49"/>
      <c r="L63" s="49"/>
      <c r="M63" s="50">
        <f t="shared" si="8"/>
        <v>19987</v>
      </c>
      <c r="N63" s="46"/>
      <c r="O63" s="47"/>
      <c r="P63" s="114" t="s">
        <v>195</v>
      </c>
      <c r="Q63" s="53">
        <f>SUM(W60:W64,W69:W71)/1000</f>
        <v>3806.4841961645006</v>
      </c>
      <c r="R63" s="47"/>
      <c r="S63" s="47"/>
      <c r="T63" s="47"/>
      <c r="U63" s="48"/>
      <c r="V63" s="169">
        <f>'BGS PTY15 Cost Alloc'!V63</f>
        <v>42826</v>
      </c>
      <c r="W63" s="50">
        <f>'BGS PTY15 Cost Alloc'!W63</f>
        <v>490770.94302790001</v>
      </c>
      <c r="X63" s="50">
        <f>'BGS PTY15 Cost Alloc'!X63</f>
        <v>5915.8251295999999</v>
      </c>
      <c r="Y63" s="55">
        <f t="shared" si="9"/>
        <v>484855.1178983</v>
      </c>
      <c r="Z63" s="50">
        <f>'BGS PTY15 Cost Alloc'!Z63</f>
        <v>1278723.3884104001</v>
      </c>
      <c r="AA63" s="50">
        <f>'BGS PTY15 Cost Alloc'!AA63</f>
        <v>19987.073399312601</v>
      </c>
      <c r="AB63" s="50">
        <f>'BGS PTY15 Cost Alloc'!AB63</f>
        <v>565891.90721227706</v>
      </c>
      <c r="AC63" s="50">
        <f>'BGS PTY15 Cost Alloc'!AC63</f>
        <v>461017.54433645599</v>
      </c>
      <c r="AD63" s="50">
        <f>'BGS PTY15 Cost Alloc'!AD63</f>
        <v>521406.75333645602</v>
      </c>
      <c r="AG63" s="50">
        <f>'BGS PTY15 Cost Alloc'!AG63</f>
        <v>7878.6989951024052</v>
      </c>
    </row>
    <row r="64" spans="1:33" x14ac:dyDescent="0.25">
      <c r="A64" s="22"/>
      <c r="B64" s="28" t="s">
        <v>5</v>
      </c>
      <c r="C64" s="49"/>
      <c r="D64" s="49"/>
      <c r="E64" s="50">
        <f>'BGS PTY15 Cost Alloc'!E64</f>
        <v>15236</v>
      </c>
      <c r="F64" s="50">
        <f>'BGS PTY15 Cost Alloc'!F64</f>
        <v>522005</v>
      </c>
      <c r="G64" s="50">
        <f>'BGS PTY15 Cost Alloc'!G64</f>
        <v>434013</v>
      </c>
      <c r="H64" s="50">
        <f>'BGS PTY15 Cost Alloc'!H64</f>
        <v>8804</v>
      </c>
      <c r="I64" s="50">
        <f>'BGS PTY15 Cost Alloc'!I64</f>
        <v>9532</v>
      </c>
      <c r="J64" s="50">
        <f t="shared" si="7"/>
        <v>989590</v>
      </c>
      <c r="K64" s="49"/>
      <c r="L64" s="49"/>
      <c r="M64" s="50">
        <f t="shared" si="8"/>
        <v>14753</v>
      </c>
      <c r="N64" s="51" t="s">
        <v>29</v>
      </c>
      <c r="O64" s="52"/>
      <c r="P64" s="53"/>
      <c r="Q64" s="53">
        <f>+SUM(E65:E68)</f>
        <v>78854</v>
      </c>
      <c r="R64" s="53">
        <f>+SUM(F65:F68)</f>
        <v>3577228</v>
      </c>
      <c r="S64" s="53">
        <f>+SUM(G65:G68)</f>
        <v>2175930</v>
      </c>
      <c r="T64" s="53">
        <f>+SUM(H65:H68)</f>
        <v>34920</v>
      </c>
      <c r="U64" s="54">
        <f>+SUM(I65:I68)</f>
        <v>38075</v>
      </c>
      <c r="V64" s="169">
        <f>'BGS PTY15 Cost Alloc'!V64</f>
        <v>42856</v>
      </c>
      <c r="W64" s="50">
        <f>'BGS PTY15 Cost Alloc'!W64</f>
        <v>483004.9709442</v>
      </c>
      <c r="X64" s="50">
        <f>'BGS PTY15 Cost Alloc'!X64</f>
        <v>5922.3972072000006</v>
      </c>
      <c r="Y64" s="55">
        <f t="shared" si="9"/>
        <v>477082.573737</v>
      </c>
      <c r="Z64" s="50">
        <f>'BGS PTY15 Cost Alloc'!Z64</f>
        <v>925075.73007000005</v>
      </c>
      <c r="AA64" s="50">
        <f>'BGS PTY15 Cost Alloc'!AA64</f>
        <v>14752.871929717099</v>
      </c>
      <c r="AB64" s="50">
        <f>'BGS PTY15 Cost Alloc'!AB64</f>
        <v>521079.865340213</v>
      </c>
      <c r="AC64" s="50">
        <f>'BGS PTY15 Cost Alloc'!AC64</f>
        <v>434019.25773103401</v>
      </c>
      <c r="AD64" s="50">
        <f>'BGS PTY15 Cost Alloc'!AD64</f>
        <v>492911.394731034</v>
      </c>
      <c r="AG64" s="50">
        <f>'BGS PTY15 Cost Alloc'!AG64</f>
        <v>8804.0465103553979</v>
      </c>
    </row>
    <row r="65" spans="1:34" x14ac:dyDescent="0.25">
      <c r="A65" s="22"/>
      <c r="B65" s="28" t="s">
        <v>6</v>
      </c>
      <c r="C65" s="49"/>
      <c r="D65" s="49"/>
      <c r="E65" s="50">
        <f>'BGS PTY15 Cost Alloc'!E65</f>
        <v>16845</v>
      </c>
      <c r="F65" s="50">
        <f>'BGS PTY15 Cost Alloc'!F65</f>
        <v>688865</v>
      </c>
      <c r="G65" s="50">
        <f>'BGS PTY15 Cost Alloc'!G65</f>
        <v>502396</v>
      </c>
      <c r="H65" s="50">
        <f>'BGS PTY15 Cost Alloc'!H65</f>
        <v>7878</v>
      </c>
      <c r="I65" s="50">
        <f>'BGS PTY15 Cost Alloc'!I65</f>
        <v>9527</v>
      </c>
      <c r="J65" s="50">
        <f t="shared" si="7"/>
        <v>1225511</v>
      </c>
      <c r="K65" s="49"/>
      <c r="L65" s="50"/>
      <c r="M65" s="50">
        <f t="shared" si="8"/>
        <v>16370</v>
      </c>
      <c r="N65" s="51"/>
      <c r="O65" s="52"/>
      <c r="P65" s="157" t="s">
        <v>151</v>
      </c>
      <c r="Q65" s="158">
        <f>SUMPRODUCT(E38:E41,M65:M68)</f>
        <v>31192.8747</v>
      </c>
      <c r="R65" s="158">
        <f>'BGS PTY15 Cost Alloc'!R65</f>
        <v>1918973.8678962339</v>
      </c>
      <c r="S65" s="131" t="s">
        <v>177</v>
      </c>
      <c r="T65" s="53">
        <f>+SUMPRODUCT(H38:H41,H65:H68)</f>
        <v>16257.8182</v>
      </c>
      <c r="U65" s="56">
        <f>T65/T64</f>
        <v>0.46557325887743412</v>
      </c>
      <c r="V65" s="169">
        <f>'BGS PTY15 Cost Alloc'!V65</f>
        <v>42887</v>
      </c>
      <c r="W65" s="50">
        <f>'BGS PTY15 Cost Alloc'!W65</f>
        <v>475160.23876950005</v>
      </c>
      <c r="X65" s="50">
        <f>'BGS PTY15 Cost Alloc'!X65</f>
        <v>5917.9455939999998</v>
      </c>
      <c r="Y65" s="55">
        <f t="shared" si="9"/>
        <v>469242.29317550006</v>
      </c>
      <c r="Z65" s="50">
        <f>'BGS PTY15 Cost Alloc'!Z65</f>
        <v>1020365.9151083999</v>
      </c>
      <c r="AA65" s="50">
        <f>'BGS PTY15 Cost Alloc'!AA65</f>
        <v>15348.778122343101</v>
      </c>
      <c r="AB65" s="50">
        <f>'BGS PTY15 Cost Alloc'!AB65</f>
        <v>688865.18296254799</v>
      </c>
      <c r="AC65" s="50">
        <f>'BGS PTY15 Cost Alloc'!AC65</f>
        <v>502402.42463403905</v>
      </c>
      <c r="AD65" s="50">
        <f>'BGS PTY15 Cost Alloc'!AD65</f>
        <v>560966.69463403907</v>
      </c>
      <c r="AG65" s="50">
        <f>'BGS PTY15 Cost Alloc'!AG65</f>
        <v>7878.4735150011029</v>
      </c>
    </row>
    <row r="66" spans="1:34" x14ac:dyDescent="0.25">
      <c r="A66" s="22"/>
      <c r="B66" s="28" t="s">
        <v>7</v>
      </c>
      <c r="C66" s="49"/>
      <c r="D66" s="49"/>
      <c r="E66" s="50">
        <f>'BGS PTY15 Cost Alloc'!E66</f>
        <v>20605</v>
      </c>
      <c r="F66" s="50">
        <f>'BGS PTY15 Cost Alloc'!F66</f>
        <v>953644</v>
      </c>
      <c r="G66" s="50">
        <f>'BGS PTY15 Cost Alloc'!G66</f>
        <v>561805</v>
      </c>
      <c r="H66" s="50">
        <f>'BGS PTY15 Cost Alloc'!H66</f>
        <v>10987</v>
      </c>
      <c r="I66" s="50">
        <f>'BGS PTY15 Cost Alloc'!I66</f>
        <v>9521</v>
      </c>
      <c r="J66" s="50">
        <f t="shared" si="7"/>
        <v>1556562</v>
      </c>
      <c r="K66" s="49"/>
      <c r="L66" s="50"/>
      <c r="M66" s="50">
        <f t="shared" si="8"/>
        <v>20137</v>
      </c>
      <c r="N66" s="51"/>
      <c r="O66" s="52"/>
      <c r="P66" s="157" t="s">
        <v>152</v>
      </c>
      <c r="Q66" s="158">
        <f>SUMPRODUCT(Q38:Q41,M65:M68)</f>
        <v>45805.125300000007</v>
      </c>
      <c r="R66" s="158">
        <f>'BGS PTY15 Cost Alloc'!R66</f>
        <v>1658254.1321037663</v>
      </c>
      <c r="S66" s="131" t="s">
        <v>178</v>
      </c>
      <c r="T66" s="53">
        <f>+T64-T65</f>
        <v>18662.181799999998</v>
      </c>
      <c r="U66" s="48"/>
      <c r="V66" s="169">
        <f>'BGS PTY15 Cost Alloc'!V66</f>
        <v>42917</v>
      </c>
      <c r="W66" s="50">
        <f>'BGS PTY15 Cost Alloc'!W66</f>
        <v>467804.12626260007</v>
      </c>
      <c r="X66" s="50">
        <f>'BGS PTY15 Cost Alloc'!X66</f>
        <v>5871.1349178999999</v>
      </c>
      <c r="Y66" s="55">
        <f t="shared" si="9"/>
        <v>461932.99134470004</v>
      </c>
      <c r="Z66" s="50">
        <f>'BGS PTY15 Cost Alloc'!Z66</f>
        <v>1202871.6010984001</v>
      </c>
      <c r="AA66" s="50">
        <f>'BGS PTY15 Cost Alloc'!AA66</f>
        <v>18933.888761488499</v>
      </c>
      <c r="AB66" s="50">
        <f>'BGS PTY15 Cost Alloc'!AB66</f>
        <v>953643.82963741303</v>
      </c>
      <c r="AC66" s="50">
        <f>'BGS PTY15 Cost Alloc'!AC66</f>
        <v>561811.44278228702</v>
      </c>
      <c r="AD66" s="50">
        <f>'BGS PTY15 Cost Alloc'!AD66</f>
        <v>627859.71278228704</v>
      </c>
      <c r="AG66" s="50">
        <f>'BGS PTY15 Cost Alloc'!AG66</f>
        <v>10986.688543943197</v>
      </c>
    </row>
    <row r="67" spans="1:34" x14ac:dyDescent="0.25">
      <c r="A67" s="22"/>
      <c r="B67" s="28" t="s">
        <v>8</v>
      </c>
      <c r="C67" s="49"/>
      <c r="D67" s="49"/>
      <c r="E67" s="50">
        <f>'BGS PTY15 Cost Alloc'!E67</f>
        <v>22308</v>
      </c>
      <c r="F67" s="50">
        <f>'BGS PTY15 Cost Alloc'!F67</f>
        <v>1052047</v>
      </c>
      <c r="G67" s="50">
        <f>'BGS PTY15 Cost Alloc'!G67</f>
        <v>575694</v>
      </c>
      <c r="H67" s="50">
        <f>'BGS PTY15 Cost Alloc'!H67</f>
        <v>9081</v>
      </c>
      <c r="I67" s="50">
        <f>'BGS PTY15 Cost Alloc'!I67</f>
        <v>9516</v>
      </c>
      <c r="J67" s="50">
        <f t="shared" si="7"/>
        <v>1668646</v>
      </c>
      <c r="K67" s="49"/>
      <c r="L67" s="49"/>
      <c r="M67" s="50">
        <f t="shared" si="8"/>
        <v>21848</v>
      </c>
      <c r="N67" s="57"/>
      <c r="O67" s="58"/>
      <c r="P67" s="114" t="s">
        <v>195</v>
      </c>
      <c r="Q67" s="53">
        <f>SUM(W65:W68)/1000</f>
        <v>1856.3194371117004</v>
      </c>
      <c r="R67" s="66"/>
      <c r="S67" s="58"/>
      <c r="T67" s="58"/>
      <c r="U67" s="59"/>
      <c r="V67" s="169">
        <f>'BGS PTY15 Cost Alloc'!V67</f>
        <v>42948</v>
      </c>
      <c r="W67" s="50">
        <f>'BGS PTY15 Cost Alloc'!W67</f>
        <v>460373.23291780002</v>
      </c>
      <c r="X67" s="50">
        <f>'BGS PTY15 Cost Alloc'!X67</f>
        <v>5848.3550629000001</v>
      </c>
      <c r="Y67" s="55">
        <f t="shared" si="9"/>
        <v>454524.87785490003</v>
      </c>
      <c r="Z67" s="50">
        <f>'BGS PTY15 Cost Alloc'!Z67</f>
        <v>1285361.1229739001</v>
      </c>
      <c r="AA67" s="50">
        <f>'BGS PTY15 Cost Alloc'!AA67</f>
        <v>20561.611102725295</v>
      </c>
      <c r="AB67" s="50">
        <f>'BGS PTY15 Cost Alloc'!AB67</f>
        <v>1052047.2317742999</v>
      </c>
      <c r="AC67" s="50">
        <f>'BGS PTY15 Cost Alloc'!AC67</f>
        <v>575699.86236243497</v>
      </c>
      <c r="AD67" s="50">
        <f>'BGS PTY15 Cost Alloc'!AD67</f>
        <v>644654.26536243502</v>
      </c>
      <c r="AG67" s="50">
        <f>'BGS PTY15 Cost Alloc'!AG67</f>
        <v>9080.9945991096047</v>
      </c>
    </row>
    <row r="68" spans="1:34" x14ac:dyDescent="0.25">
      <c r="A68" s="22"/>
      <c r="B68" s="28" t="s">
        <v>9</v>
      </c>
      <c r="C68" s="49"/>
      <c r="D68" s="49"/>
      <c r="E68" s="50">
        <f>'BGS PTY15 Cost Alloc'!E68</f>
        <v>19096</v>
      </c>
      <c r="F68" s="50">
        <f>'BGS PTY15 Cost Alloc'!F68</f>
        <v>882672</v>
      </c>
      <c r="G68" s="50">
        <f>'BGS PTY15 Cost Alloc'!G68</f>
        <v>536035</v>
      </c>
      <c r="H68" s="50">
        <f>'BGS PTY15 Cost Alloc'!H68</f>
        <v>6974</v>
      </c>
      <c r="I68" s="50">
        <f>'BGS PTY15 Cost Alloc'!I68</f>
        <v>9511</v>
      </c>
      <c r="J68" s="50">
        <f t="shared" si="7"/>
        <v>1454288</v>
      </c>
      <c r="K68" s="49"/>
      <c r="L68" s="49"/>
      <c r="M68" s="50">
        <f t="shared" si="8"/>
        <v>18643</v>
      </c>
      <c r="N68" s="40"/>
      <c r="O68" s="41"/>
      <c r="P68" s="41"/>
      <c r="Q68" s="41" t="s">
        <v>130</v>
      </c>
      <c r="R68" s="41"/>
      <c r="S68" s="41"/>
      <c r="T68" s="41"/>
      <c r="U68" s="42"/>
      <c r="V68" s="169">
        <f>'BGS PTY15 Cost Alloc'!V68</f>
        <v>42979</v>
      </c>
      <c r="W68" s="50">
        <f>'BGS PTY15 Cost Alloc'!W68</f>
        <v>452981.8391618001</v>
      </c>
      <c r="X68" s="50">
        <f>'BGS PTY15 Cost Alloc'!X68</f>
        <v>5842.6624395999997</v>
      </c>
      <c r="Y68" s="55">
        <f t="shared" si="9"/>
        <v>447139.17672220012</v>
      </c>
      <c r="Z68" s="50">
        <f>'BGS PTY15 Cost Alloc'!Z68</f>
        <v>1125687.2011235</v>
      </c>
      <c r="AA68" s="50">
        <f>'BGS PTY15 Cost Alloc'!AA68</f>
        <v>17517.232770394399</v>
      </c>
      <c r="AB68" s="50">
        <f>'BGS PTY15 Cost Alloc'!AB68</f>
        <v>882672.45002848201</v>
      </c>
      <c r="AC68" s="50">
        <f>'BGS PTY15 Cost Alloc'!AC68</f>
        <v>536041.15971753804</v>
      </c>
      <c r="AD68" s="50">
        <f>'BGS PTY15 Cost Alloc'!AD68</f>
        <v>605068.07871753804</v>
      </c>
      <c r="AG68" s="50">
        <f>'BGS PTY15 Cost Alloc'!AG68</f>
        <v>6973.5088072957997</v>
      </c>
    </row>
    <row r="69" spans="1:34" x14ac:dyDescent="0.25">
      <c r="A69" s="22"/>
      <c r="B69" s="28" t="s">
        <v>10</v>
      </c>
      <c r="C69" s="49"/>
      <c r="D69" s="49"/>
      <c r="E69" s="50">
        <f>'BGS PTY15 Cost Alloc'!E69</f>
        <v>13873</v>
      </c>
      <c r="F69" s="50">
        <f>'BGS PTY15 Cost Alloc'!F69</f>
        <v>602455</v>
      </c>
      <c r="G69" s="50">
        <f>'BGS PTY15 Cost Alloc'!G69</f>
        <v>478374</v>
      </c>
      <c r="H69" s="50">
        <f>'BGS PTY15 Cost Alloc'!H69</f>
        <v>9312</v>
      </c>
      <c r="I69" s="50">
        <f>'BGS PTY15 Cost Alloc'!I69</f>
        <v>9506</v>
      </c>
      <c r="J69" s="50">
        <f t="shared" si="7"/>
        <v>1113520</v>
      </c>
      <c r="K69" s="49"/>
      <c r="L69" s="49"/>
      <c r="M69" s="50">
        <f t="shared" si="8"/>
        <v>13427</v>
      </c>
      <c r="N69" s="43"/>
      <c r="O69" s="44"/>
      <c r="P69" s="44"/>
      <c r="Q69" s="44" t="str">
        <f>+Q$13</f>
        <v>RT{1}</v>
      </c>
      <c r="R69" s="44"/>
      <c r="S69" s="44"/>
      <c r="T69" s="44" t="str">
        <f>+T$13</f>
        <v>GST</v>
      </c>
      <c r="U69" s="45"/>
      <c r="V69" s="169">
        <f>'BGS PTY15 Cost Alloc'!V69</f>
        <v>43009</v>
      </c>
      <c r="W69" s="50">
        <f>'BGS PTY15 Cost Alloc'!W69</f>
        <v>445966.08368579997</v>
      </c>
      <c r="X69" s="50">
        <f>'BGS PTY15 Cost Alloc'!X69</f>
        <v>5862.8538829999998</v>
      </c>
      <c r="Y69" s="55">
        <f t="shared" si="9"/>
        <v>440103.22980279999</v>
      </c>
      <c r="Z69" s="50">
        <f>'BGS PTY15 Cost Alloc'!Z69</f>
        <v>882396.9562748</v>
      </c>
      <c r="AA69" s="50">
        <f>'BGS PTY15 Cost Alloc'!AA69</f>
        <v>13426.7470064262</v>
      </c>
      <c r="AB69" s="50">
        <f>'BGS PTY15 Cost Alloc'!AB69</f>
        <v>601572.80703729903</v>
      </c>
      <c r="AC69" s="50">
        <f>'BGS PTY15 Cost Alloc'!AC69</f>
        <v>478379.81466621498</v>
      </c>
      <c r="AD69" s="50">
        <f>'BGS PTY15 Cost Alloc'!AD69</f>
        <v>539740.52566621499</v>
      </c>
      <c r="AG69" s="50">
        <f>'BGS PTY15 Cost Alloc'!AG69</f>
        <v>9312.1415514660039</v>
      </c>
    </row>
    <row r="70" spans="1:34" x14ac:dyDescent="0.25">
      <c r="A70" s="22"/>
      <c r="B70" s="28" t="s">
        <v>11</v>
      </c>
      <c r="C70" s="49"/>
      <c r="D70" s="49"/>
      <c r="E70" s="50">
        <f>'BGS PTY15 Cost Alloc'!E70</f>
        <v>15242</v>
      </c>
      <c r="F70" s="50">
        <f>'BGS PTY15 Cost Alloc'!F70</f>
        <v>553786</v>
      </c>
      <c r="G70" s="50">
        <f>'BGS PTY15 Cost Alloc'!G70</f>
        <v>417640</v>
      </c>
      <c r="H70" s="50">
        <f>'BGS PTY15 Cost Alloc'!H70</f>
        <v>6634</v>
      </c>
      <c r="I70" s="50">
        <f>'BGS PTY15 Cost Alloc'!I70</f>
        <v>9501</v>
      </c>
      <c r="J70" s="50">
        <f t="shared" si="7"/>
        <v>1002803</v>
      </c>
      <c r="K70" s="49"/>
      <c r="L70" s="49"/>
      <c r="M70" s="50">
        <f t="shared" si="8"/>
        <v>14803</v>
      </c>
      <c r="N70" s="46"/>
      <c r="O70" s="47"/>
      <c r="P70" s="47"/>
      <c r="Q70" s="47"/>
      <c r="R70" s="47"/>
      <c r="S70" s="47"/>
      <c r="T70" s="47"/>
      <c r="U70" s="48"/>
      <c r="V70" s="169">
        <f>'BGS PTY15 Cost Alloc'!V70</f>
        <v>43040</v>
      </c>
      <c r="W70" s="50">
        <f>'BGS PTY15 Cost Alloc'!W70</f>
        <v>438846.80242830003</v>
      </c>
      <c r="X70" s="50">
        <f>'BGS PTY15 Cost Alloc'!X70</f>
        <v>5854.1225477999997</v>
      </c>
      <c r="Y70" s="55">
        <f t="shared" si="9"/>
        <v>432992.67988050001</v>
      </c>
      <c r="Z70" s="50">
        <f>'BGS PTY15 Cost Alloc'!Z70</f>
        <v>1044357.1498209999</v>
      </c>
      <c r="AA70" s="50">
        <f>'BGS PTY15 Cost Alloc'!AA70</f>
        <v>14803.2619973324</v>
      </c>
      <c r="AB70" s="50">
        <f>'BGS PTY15 Cost Alloc'!AB70</f>
        <v>552741.82685284701</v>
      </c>
      <c r="AC70" s="50">
        <f>'BGS PTY15 Cost Alloc'!AC70</f>
        <v>417645.75918968703</v>
      </c>
      <c r="AD70" s="50">
        <f>'BGS PTY15 Cost Alloc'!AD70</f>
        <v>472707.90518968704</v>
      </c>
      <c r="AE70" s="13">
        <f>'BGS PTY15 Cost Alloc'!AE70</f>
        <v>0</v>
      </c>
      <c r="AG70" s="50">
        <f>'BGS PTY15 Cost Alloc'!AG70</f>
        <v>6633.778012933597</v>
      </c>
      <c r="AH70" s="13">
        <f>'BGS PTY15 Cost Alloc'!AH70</f>
        <v>0</v>
      </c>
    </row>
    <row r="71" spans="1:34" x14ac:dyDescent="0.25">
      <c r="A71" s="22"/>
      <c r="B71" s="28" t="s">
        <v>12</v>
      </c>
      <c r="C71" s="49"/>
      <c r="D71" s="49"/>
      <c r="E71" s="50">
        <f>'BGS PTY15 Cost Alloc'!E71</f>
        <v>20134</v>
      </c>
      <c r="F71" s="50">
        <f>'BGS PTY15 Cost Alloc'!F71</f>
        <v>640040</v>
      </c>
      <c r="G71" s="50">
        <f>'BGS PTY15 Cost Alloc'!G71</f>
        <v>451157</v>
      </c>
      <c r="H71" s="50">
        <f>'BGS PTY15 Cost Alloc'!H71</f>
        <v>9542</v>
      </c>
      <c r="I71" s="50">
        <f>'BGS PTY15 Cost Alloc'!I71</f>
        <v>9496</v>
      </c>
      <c r="J71" s="50">
        <f t="shared" si="7"/>
        <v>1130369</v>
      </c>
      <c r="K71" s="49"/>
      <c r="L71" s="49"/>
      <c r="M71" s="50">
        <f t="shared" si="8"/>
        <v>19702</v>
      </c>
      <c r="N71" s="51"/>
      <c r="O71" s="52"/>
      <c r="P71" s="115" t="s">
        <v>148</v>
      </c>
      <c r="Q71" s="53">
        <f>SUM(E60:E64,E69:E71)</f>
        <v>164662</v>
      </c>
      <c r="R71" s="53"/>
      <c r="S71" s="115" t="s">
        <v>148</v>
      </c>
      <c r="T71" s="53">
        <f>SUM(H60:H64,H69:H71)</f>
        <v>74592</v>
      </c>
      <c r="U71" s="54"/>
      <c r="V71" s="169">
        <f>'BGS PTY15 Cost Alloc'!V71</f>
        <v>43070</v>
      </c>
      <c r="W71" s="50">
        <f>'BGS PTY15 Cost Alloc'!W71</f>
        <v>431962.17631009995</v>
      </c>
      <c r="X71" s="50">
        <f>'BGS PTY15 Cost Alloc'!X71</f>
        <v>5823.9826819999998</v>
      </c>
      <c r="Y71" s="55">
        <f t="shared" si="9"/>
        <v>426138.19362809998</v>
      </c>
      <c r="Z71" s="50">
        <f>'BGS PTY15 Cost Alloc'!Z71</f>
        <v>1380320.4882654001</v>
      </c>
      <c r="AA71" s="50">
        <f>'BGS PTY15 Cost Alloc'!AA71</f>
        <v>19701.765860396899</v>
      </c>
      <c r="AB71" s="50">
        <f>'BGS PTY15 Cost Alloc'!AB71</f>
        <v>638660.08565133798</v>
      </c>
      <c r="AC71" s="50">
        <f>'BGS PTY15 Cost Alloc'!AC71</f>
        <v>451163.24256468198</v>
      </c>
      <c r="AD71" s="50">
        <f>'BGS PTY15 Cost Alloc'!AD71</f>
        <v>506285.85056468198</v>
      </c>
      <c r="AE71" s="13">
        <f>'BGS PTY15 Cost Alloc'!AE71</f>
        <v>0</v>
      </c>
      <c r="AG71" s="50">
        <f>'BGS PTY15 Cost Alloc'!AG71</f>
        <v>9542.2905637295989</v>
      </c>
      <c r="AH71" s="13">
        <f>'BGS PTY15 Cost Alloc'!AH71</f>
        <v>0</v>
      </c>
    </row>
    <row r="72" spans="1:34" x14ac:dyDescent="0.25">
      <c r="A72" s="22"/>
      <c r="B72" s="60" t="s">
        <v>13</v>
      </c>
      <c r="C72" s="55"/>
      <c r="D72" s="55"/>
      <c r="E72" s="55">
        <f>SUM(E60:E71)</f>
        <v>243516</v>
      </c>
      <c r="F72" s="55">
        <f>SUM(F60:F71)</f>
        <v>8599355</v>
      </c>
      <c r="G72" s="55">
        <f>SUM(G60:G71)</f>
        <v>5957553</v>
      </c>
      <c r="H72" s="55">
        <f>SUM(H60:H71)</f>
        <v>109512</v>
      </c>
      <c r="I72" s="55">
        <f>SUM(I60:I71)</f>
        <v>114289</v>
      </c>
      <c r="J72" s="55">
        <f t="shared" si="7"/>
        <v>15024225</v>
      </c>
      <c r="K72" s="55"/>
      <c r="L72" s="55"/>
      <c r="M72" s="55">
        <f>SUM(M60:M71)</f>
        <v>237854</v>
      </c>
      <c r="N72" s="51"/>
      <c r="O72" s="52"/>
      <c r="P72" s="114" t="s">
        <v>146</v>
      </c>
      <c r="Q72" s="53">
        <f>SUMPRODUCT(E15:E19,E60:E64)+SUMPRODUCT(E24:E26,E69:E71)</f>
        <v>79760.139599999995</v>
      </c>
      <c r="R72" s="47">
        <f>Q72/Q71</f>
        <v>0.48438704497698315</v>
      </c>
      <c r="S72" s="114" t="s">
        <v>177</v>
      </c>
      <c r="T72" s="53">
        <f>SUMPRODUCT(H15:H19,H60:H64)+SUMPRODUCT(H24:H26,H69:H71)</f>
        <v>42045.592999999993</v>
      </c>
      <c r="U72" s="48">
        <f>T72/T71</f>
        <v>0.56367429483054476</v>
      </c>
      <c r="W72" s="55">
        <f t="shared" ref="W72:AD72" si="10">SUM(W60:W71)</f>
        <v>5662803.6332761999</v>
      </c>
      <c r="X72" s="55">
        <f t="shared" si="10"/>
        <v>70710.861541799997</v>
      </c>
      <c r="Y72" s="55">
        <f t="shared" si="10"/>
        <v>5592092.7717344007</v>
      </c>
      <c r="Z72" s="55">
        <f t="shared" si="10"/>
        <v>15559574.431658402</v>
      </c>
      <c r="AA72" s="55">
        <f t="shared" si="10"/>
        <v>233217.22716247346</v>
      </c>
      <c r="AB72" s="55">
        <f t="shared" si="10"/>
        <v>8588430.6964058671</v>
      </c>
      <c r="AC72" s="55">
        <f t="shared" si="10"/>
        <v>5957626.3411695333</v>
      </c>
      <c r="AD72" s="55">
        <f t="shared" si="10"/>
        <v>6679394.7271695333</v>
      </c>
      <c r="AE72" s="13">
        <f>'BGS PTY15 Cost Alloc'!AE72</f>
        <v>0</v>
      </c>
      <c r="AG72" s="55">
        <f>SUM(AG60:AG71)</f>
        <v>109511.59413706331</v>
      </c>
      <c r="AH72" s="13">
        <f>'BGS PTY15 Cost Alloc'!AH72</f>
        <v>0</v>
      </c>
    </row>
    <row r="73" spans="1:34" x14ac:dyDescent="0.25">
      <c r="A73" s="22"/>
      <c r="B73" s="28"/>
      <c r="J73" s="61"/>
      <c r="N73" s="51"/>
      <c r="O73" s="52"/>
      <c r="P73" s="114" t="s">
        <v>145</v>
      </c>
      <c r="Q73" s="53">
        <f>+Q71-Q72</f>
        <v>84901.860400000005</v>
      </c>
      <c r="R73" s="47"/>
      <c r="S73" s="114" t="s">
        <v>178</v>
      </c>
      <c r="T73" s="53">
        <f>+T71-T72</f>
        <v>32546.407000000007</v>
      </c>
      <c r="U73" s="48"/>
    </row>
    <row r="74" spans="1:34" ht="15.6" x14ac:dyDescent="0.3">
      <c r="A74" s="22"/>
      <c r="N74" s="46"/>
      <c r="O74" s="47"/>
      <c r="P74" s="47"/>
      <c r="Q74" s="47"/>
      <c r="R74" s="47"/>
      <c r="S74" s="47"/>
      <c r="T74" s="47"/>
      <c r="U74" s="48"/>
      <c r="V74" s="71" t="s">
        <v>181</v>
      </c>
      <c r="W74" s="13" t="s">
        <v>185</v>
      </c>
      <c r="X74" s="13" t="s">
        <v>184</v>
      </c>
      <c r="Y74" s="13" t="s">
        <v>182</v>
      </c>
      <c r="Z74" s="13" t="s">
        <v>183</v>
      </c>
      <c r="AB74" s="13" t="s">
        <v>186</v>
      </c>
      <c r="AC74" s="13" t="s">
        <v>211</v>
      </c>
      <c r="AE74" s="14"/>
    </row>
    <row r="75" spans="1:34" x14ac:dyDescent="0.25">
      <c r="A75" s="18" t="s">
        <v>37</v>
      </c>
      <c r="B75" s="16" t="s">
        <v>19</v>
      </c>
      <c r="G75" s="62" t="s">
        <v>32</v>
      </c>
      <c r="H75" s="16" t="s">
        <v>175</v>
      </c>
      <c r="N75" s="51"/>
      <c r="O75" s="52"/>
      <c r="P75" s="116" t="s">
        <v>149</v>
      </c>
      <c r="Q75" s="53">
        <f>+SUM(E65:E68)</f>
        <v>78854</v>
      </c>
      <c r="R75" s="44"/>
      <c r="S75" s="116" t="s">
        <v>149</v>
      </c>
      <c r="T75" s="53">
        <f>+SUM(H65:H68)</f>
        <v>34920</v>
      </c>
      <c r="U75" s="45"/>
      <c r="V75" s="55">
        <f t="shared" ref="V75:V86" si="11">W60-W75</f>
        <v>1181.6766565000289</v>
      </c>
      <c r="W75" s="55">
        <f t="shared" ref="W75:W86" si="12">SUM(X75:Z75)</f>
        <v>511147</v>
      </c>
      <c r="X75" s="50">
        <f>'BGS PTY15 Cost Alloc'!X75</f>
        <v>12853</v>
      </c>
      <c r="Y75" s="50">
        <f>'BGS PTY15 Cost Alloc'!Y75</f>
        <v>492504</v>
      </c>
      <c r="Z75" s="50">
        <f>'BGS PTY15 Cost Alloc'!Z75</f>
        <v>5790</v>
      </c>
      <c r="AA75" s="55"/>
      <c r="AB75" s="13">
        <f t="shared" ref="AB75:AB86" si="13">(V75*$AA$94+W75*$AA$95)/1000</f>
        <v>145.53906120910713</v>
      </c>
      <c r="AC75" s="13">
        <f t="shared" ref="AC75:AC86" si="14">(W60/1000)-AB75</f>
        <v>366.78961544739298</v>
      </c>
    </row>
    <row r="76" spans="1:34" s="63" customFormat="1" x14ac:dyDescent="0.25">
      <c r="A76" s="22"/>
      <c r="B76" s="17" t="s">
        <v>21</v>
      </c>
      <c r="G76" s="21"/>
      <c r="H76" s="127" t="s">
        <v>174</v>
      </c>
      <c r="N76" s="51"/>
      <c r="O76" s="52"/>
      <c r="P76" s="114" t="s">
        <v>146</v>
      </c>
      <c r="Q76" s="53">
        <f>+SUMPRODUCT(E20:E23,E65:E68)</f>
        <v>40495.8802</v>
      </c>
      <c r="R76" s="47">
        <f>Q76/Q75</f>
        <v>0.51355518046009074</v>
      </c>
      <c r="S76" s="131" t="s">
        <v>177</v>
      </c>
      <c r="T76" s="53">
        <f>+SUMPRODUCT(H20:H23,H65:H68)</f>
        <v>20404.939000000002</v>
      </c>
      <c r="U76" s="48">
        <f>T76/T75</f>
        <v>0.58433387743413523</v>
      </c>
      <c r="V76" s="55">
        <f t="shared" si="11"/>
        <v>-2131.6399353000452</v>
      </c>
      <c r="W76" s="55">
        <f t="shared" si="12"/>
        <v>507269</v>
      </c>
      <c r="X76" s="50">
        <f>'BGS PTY15 Cost Alloc'!X76</f>
        <v>12767</v>
      </c>
      <c r="Y76" s="50">
        <f>'BGS PTY15 Cost Alloc'!Y76</f>
        <v>488751</v>
      </c>
      <c r="Z76" s="50">
        <f>'BGS PTY15 Cost Alloc'!Z76</f>
        <v>5751</v>
      </c>
      <c r="AA76" s="55"/>
      <c r="AB76" s="13">
        <f t="shared" si="13"/>
        <v>144.04150177052287</v>
      </c>
      <c r="AC76" s="13">
        <f t="shared" si="14"/>
        <v>361.09585829417711</v>
      </c>
      <c r="AD76" s="13"/>
    </row>
    <row r="77" spans="1:34" x14ac:dyDescent="0.25">
      <c r="A77" s="22"/>
      <c r="C77" s="26" t="s">
        <v>222</v>
      </c>
      <c r="D77" s="26" t="s">
        <v>218</v>
      </c>
      <c r="E77" s="26" t="s">
        <v>222</v>
      </c>
      <c r="F77" s="26" t="s">
        <v>218</v>
      </c>
      <c r="G77" s="26"/>
      <c r="N77" s="64"/>
      <c r="O77" s="65"/>
      <c r="P77" s="117" t="s">
        <v>145</v>
      </c>
      <c r="Q77" s="66">
        <f>Q75-Q76</f>
        <v>38358.1198</v>
      </c>
      <c r="R77" s="58"/>
      <c r="S77" s="132" t="s">
        <v>178</v>
      </c>
      <c r="T77" s="66">
        <f>T75-T76</f>
        <v>14515.060999999998</v>
      </c>
      <c r="U77" s="59"/>
      <c r="V77" s="55">
        <f t="shared" si="11"/>
        <v>-5198.8169529999723</v>
      </c>
      <c r="W77" s="55">
        <f t="shared" si="12"/>
        <v>503666</v>
      </c>
      <c r="X77" s="50">
        <f>'BGS PTY15 Cost Alloc'!X77</f>
        <v>12686</v>
      </c>
      <c r="Y77" s="50">
        <f>'BGS PTY15 Cost Alloc'!Y77</f>
        <v>485266</v>
      </c>
      <c r="Z77" s="50">
        <f>'BGS PTY15 Cost Alloc'!Z77</f>
        <v>5714</v>
      </c>
      <c r="AA77" s="55"/>
      <c r="AB77" s="13">
        <f t="shared" si="13"/>
        <v>142.65146982244505</v>
      </c>
      <c r="AC77" s="13">
        <f t="shared" si="14"/>
        <v>355.815713224555</v>
      </c>
      <c r="AD77" s="55">
        <f>SUM(AB65:AB68)</f>
        <v>3577228.6944027427</v>
      </c>
    </row>
    <row r="78" spans="1:34" x14ac:dyDescent="0.25">
      <c r="A78" s="22"/>
      <c r="C78" s="26" t="s">
        <v>14</v>
      </c>
      <c r="D78" s="26" t="s">
        <v>14</v>
      </c>
      <c r="E78" s="26" t="s">
        <v>15</v>
      </c>
      <c r="F78" s="26" t="s">
        <v>15</v>
      </c>
      <c r="H78" s="26" t="s">
        <v>14</v>
      </c>
      <c r="I78" s="26" t="s">
        <v>15</v>
      </c>
      <c r="N78" s="46"/>
      <c r="O78" s="47"/>
      <c r="P78" s="47"/>
      <c r="Q78" s="47" t="s">
        <v>58</v>
      </c>
      <c r="R78" s="47"/>
      <c r="S78" s="47"/>
      <c r="T78" s="47"/>
      <c r="U78" s="48"/>
      <c r="V78" s="55">
        <f t="shared" si="11"/>
        <v>-9073.056972099992</v>
      </c>
      <c r="W78" s="55">
        <f t="shared" si="12"/>
        <v>499844</v>
      </c>
      <c r="X78" s="50">
        <f>'BGS PTY15 Cost Alloc'!X78</f>
        <v>12600</v>
      </c>
      <c r="Y78" s="50">
        <f>'BGS PTY15 Cost Alloc'!Y78</f>
        <v>481569</v>
      </c>
      <c r="Z78" s="50">
        <f>'BGS PTY15 Cost Alloc'!Z78</f>
        <v>5675</v>
      </c>
      <c r="AA78" s="55"/>
      <c r="AB78" s="13">
        <f t="shared" si="13"/>
        <v>141.10306327255219</v>
      </c>
      <c r="AC78" s="13">
        <f t="shared" si="14"/>
        <v>349.66787975534783</v>
      </c>
    </row>
    <row r="79" spans="1:34" x14ac:dyDescent="0.25">
      <c r="A79" s="22"/>
      <c r="B79" s="28" t="s">
        <v>1</v>
      </c>
      <c r="C79" s="67">
        <v>54.72</v>
      </c>
      <c r="D79" s="162">
        <f>ROUND(C79*$H$309,3)</f>
        <v>69.055000000000007</v>
      </c>
      <c r="E79" s="67">
        <v>38.729999999999997</v>
      </c>
      <c r="F79" s="162">
        <f>ROUND(E79*$H$309,3)</f>
        <v>48.875999999999998</v>
      </c>
      <c r="H79" s="33">
        <v>1.0869147747616297</v>
      </c>
      <c r="I79" s="33">
        <v>1.0805056771162176</v>
      </c>
      <c r="L79" s="50"/>
      <c r="N79" s="43"/>
      <c r="O79" s="44"/>
      <c r="P79" s="26"/>
      <c r="Q79" s="26" t="str">
        <f>+Q$13</f>
        <v>RT{1}</v>
      </c>
      <c r="R79" s="26"/>
      <c r="S79" s="26"/>
      <c r="T79" s="26" t="str">
        <f>+T$13</f>
        <v>GST</v>
      </c>
      <c r="U79" s="45"/>
      <c r="V79" s="55">
        <f t="shared" si="11"/>
        <v>-13167.029055799998</v>
      </c>
      <c r="W79" s="55">
        <f t="shared" si="12"/>
        <v>496172</v>
      </c>
      <c r="X79" s="50">
        <f>'BGS PTY15 Cost Alloc'!X79</f>
        <v>12518</v>
      </c>
      <c r="Y79" s="50">
        <f>'BGS PTY15 Cost Alloc'!Y79</f>
        <v>478017</v>
      </c>
      <c r="Z79" s="50">
        <f>'BGS PTY15 Cost Alloc'!Z79</f>
        <v>5637</v>
      </c>
      <c r="AA79" s="55"/>
      <c r="AB79" s="13">
        <f t="shared" si="13"/>
        <v>139.57116641277108</v>
      </c>
      <c r="AC79" s="13">
        <f t="shared" si="14"/>
        <v>343.4338045314289</v>
      </c>
    </row>
    <row r="80" spans="1:34" x14ac:dyDescent="0.25">
      <c r="A80" s="22"/>
      <c r="B80" s="28" t="s">
        <v>2</v>
      </c>
      <c r="C80" s="67">
        <v>50.26</v>
      </c>
      <c r="D80" s="162">
        <f>ROUND(C80*$H$309,3)</f>
        <v>63.427</v>
      </c>
      <c r="E80" s="67">
        <v>35.573</v>
      </c>
      <c r="F80" s="162">
        <f>ROUND(E80*$H$309,3)</f>
        <v>44.892000000000003</v>
      </c>
      <c r="H80" s="177">
        <f>H79</f>
        <v>1.0869147747616297</v>
      </c>
      <c r="I80" s="177">
        <f>I79</f>
        <v>1.0805056771162176</v>
      </c>
      <c r="L80" s="139"/>
      <c r="N80" s="46"/>
      <c r="O80" s="47"/>
      <c r="P80" s="47"/>
      <c r="Q80" s="47"/>
      <c r="R80" s="47"/>
      <c r="S80" s="47"/>
      <c r="T80" s="47"/>
      <c r="U80" s="48"/>
      <c r="V80" s="55">
        <f t="shared" si="11"/>
        <v>-17245.761230499949</v>
      </c>
      <c r="W80" s="55">
        <f t="shared" si="12"/>
        <v>492406</v>
      </c>
      <c r="X80" s="50">
        <f>'BGS PTY15 Cost Alloc'!X80</f>
        <v>12433</v>
      </c>
      <c r="Y80" s="50">
        <f>'BGS PTY15 Cost Alloc'!Y80</f>
        <v>474375</v>
      </c>
      <c r="Z80" s="50">
        <f>'BGS PTY15 Cost Alloc'!Z80</f>
        <v>5598</v>
      </c>
      <c r="AA80" s="55"/>
      <c r="AB80" s="13">
        <f t="shared" si="13"/>
        <v>138.0143450458196</v>
      </c>
      <c r="AC80" s="13">
        <f t="shared" si="14"/>
        <v>337.14589372368044</v>
      </c>
    </row>
    <row r="81" spans="1:29" x14ac:dyDescent="0.25">
      <c r="A81" s="22"/>
      <c r="B81" s="28" t="s">
        <v>3</v>
      </c>
      <c r="C81" s="67">
        <v>41.72</v>
      </c>
      <c r="D81" s="162">
        <f>ROUND(C81*$H$309,3)</f>
        <v>52.65</v>
      </c>
      <c r="E81" s="67">
        <v>29.529</v>
      </c>
      <c r="F81" s="162">
        <f>ROUND(E81*$H$309,3)</f>
        <v>37.265000000000001</v>
      </c>
      <c r="H81" s="177">
        <f>H79</f>
        <v>1.0869147747616297</v>
      </c>
      <c r="I81" s="177">
        <f>I79</f>
        <v>1.0805056771162176</v>
      </c>
      <c r="L81" s="139"/>
      <c r="N81" s="51"/>
      <c r="O81" s="52"/>
      <c r="P81" s="115" t="s">
        <v>26</v>
      </c>
      <c r="Q81" s="53"/>
      <c r="R81" s="53"/>
      <c r="S81" s="115" t="s">
        <v>26</v>
      </c>
      <c r="T81" s="53"/>
      <c r="U81" s="54"/>
      <c r="V81" s="55">
        <f t="shared" si="11"/>
        <v>-20984.873737399932</v>
      </c>
      <c r="W81" s="55">
        <f t="shared" si="12"/>
        <v>488789</v>
      </c>
      <c r="X81" s="50">
        <f>'BGS PTY15 Cost Alloc'!X81</f>
        <v>12352</v>
      </c>
      <c r="Y81" s="50">
        <f>'BGS PTY15 Cost Alloc'!Y81</f>
        <v>470876</v>
      </c>
      <c r="Z81" s="50">
        <f>'BGS PTY15 Cost Alloc'!Z81</f>
        <v>5561</v>
      </c>
      <c r="AA81" s="55"/>
      <c r="AB81" s="13">
        <f t="shared" si="13"/>
        <v>136.54033840580405</v>
      </c>
      <c r="AC81" s="13">
        <f t="shared" si="14"/>
        <v>331.263787856796</v>
      </c>
    </row>
    <row r="82" spans="1:29" x14ac:dyDescent="0.25">
      <c r="A82" s="22"/>
      <c r="B82" s="28" t="s">
        <v>4</v>
      </c>
      <c r="C82" s="67">
        <v>38.06</v>
      </c>
      <c r="D82" s="162">
        <f>ROUND(C82*$H$309,3)</f>
        <v>48.030999999999999</v>
      </c>
      <c r="E82" s="67">
        <v>26.937999999999999</v>
      </c>
      <c r="F82" s="162">
        <f>ROUND(E82*$H$309,3)</f>
        <v>33.994999999999997</v>
      </c>
      <c r="H82" s="177">
        <f>H79</f>
        <v>1.0869147747616297</v>
      </c>
      <c r="I82" s="177">
        <f>I79</f>
        <v>1.0805056771162176</v>
      </c>
      <c r="L82" s="139"/>
      <c r="N82" s="51"/>
      <c r="O82" s="52"/>
      <c r="P82" s="114" t="s">
        <v>147</v>
      </c>
      <c r="Q82" s="53">
        <f>Q72-Q61</f>
        <v>22914.639299999995</v>
      </c>
      <c r="R82" s="47"/>
      <c r="S82" s="114" t="s">
        <v>147</v>
      </c>
      <c r="T82" s="53">
        <f>T72-T61</f>
        <v>9335.2788999999939</v>
      </c>
      <c r="U82" s="48"/>
      <c r="V82" s="55">
        <f t="shared" si="11"/>
        <v>-24706.767082199978</v>
      </c>
      <c r="W82" s="55">
        <f t="shared" si="12"/>
        <v>485080</v>
      </c>
      <c r="X82" s="50">
        <f>'BGS PTY15 Cost Alloc'!X82</f>
        <v>12269</v>
      </c>
      <c r="Y82" s="50">
        <f>'BGS PTY15 Cost Alloc'!Y82</f>
        <v>467288</v>
      </c>
      <c r="Z82" s="50">
        <f>'BGS PTY15 Cost Alloc'!Z82</f>
        <v>5523</v>
      </c>
      <c r="AA82" s="55"/>
      <c r="AB82" s="13">
        <f t="shared" si="13"/>
        <v>135.0422117942436</v>
      </c>
      <c r="AC82" s="13">
        <f t="shared" si="14"/>
        <v>325.33102112355641</v>
      </c>
    </row>
    <row r="83" spans="1:29" x14ac:dyDescent="0.25">
      <c r="A83" s="22"/>
      <c r="B83" s="28" t="s">
        <v>5</v>
      </c>
      <c r="C83" s="67">
        <v>38.64</v>
      </c>
      <c r="D83" s="162">
        <f>ROUND(C83*$H$309,3)</f>
        <v>48.762999999999998</v>
      </c>
      <c r="E83" s="67">
        <v>27.349</v>
      </c>
      <c r="F83" s="162">
        <f>ROUND(E83*$H$309,3)</f>
        <v>34.514000000000003</v>
      </c>
      <c r="H83" s="177">
        <f>H79</f>
        <v>1.0869147747616297</v>
      </c>
      <c r="I83" s="177">
        <f>I79</f>
        <v>1.0805056771162176</v>
      </c>
      <c r="L83" s="139"/>
      <c r="N83" s="51"/>
      <c r="O83" s="52"/>
      <c r="P83" s="114" t="s">
        <v>150</v>
      </c>
      <c r="Q83" s="140">
        <f>Q82*(E117-E118)</f>
        <v>452220.23969647108</v>
      </c>
      <c r="R83" s="47"/>
      <c r="S83" s="114" t="s">
        <v>150</v>
      </c>
      <c r="T83" s="140">
        <f>T82*(H117-H118)</f>
        <v>179122.1649161549</v>
      </c>
      <c r="U83" s="48"/>
      <c r="V83" s="55">
        <f t="shared" si="11"/>
        <v>-28417.160838199896</v>
      </c>
      <c r="W83" s="55">
        <f t="shared" si="12"/>
        <v>481399</v>
      </c>
      <c r="X83" s="50">
        <f>'BGS PTY15 Cost Alloc'!X83</f>
        <v>12186</v>
      </c>
      <c r="Y83" s="50">
        <f>'BGS PTY15 Cost Alloc'!Y83</f>
        <v>463728</v>
      </c>
      <c r="Z83" s="50">
        <f>'BGS PTY15 Cost Alloc'!Z83</f>
        <v>5485</v>
      </c>
      <c r="AA83" s="55"/>
      <c r="AB83" s="13">
        <f t="shared" si="13"/>
        <v>133.55341892493956</v>
      </c>
      <c r="AC83" s="13">
        <f t="shared" si="14"/>
        <v>319.42842023686057</v>
      </c>
    </row>
    <row r="84" spans="1:29" x14ac:dyDescent="0.25">
      <c r="A84" s="22"/>
      <c r="B84" s="186" t="s">
        <v>6</v>
      </c>
      <c r="C84" s="227">
        <v>40.99</v>
      </c>
      <c r="D84" s="228">
        <f>ROUND(C84*$H$308,3)</f>
        <v>58.601999999999997</v>
      </c>
      <c r="E84" s="227">
        <v>25.803999999999998</v>
      </c>
      <c r="F84" s="229">
        <f>ROUND(E84*$H$308,3)</f>
        <v>36.890999999999998</v>
      </c>
      <c r="H84" s="128">
        <v>1.0301218156958498</v>
      </c>
      <c r="I84" s="129">
        <v>1.0097263866259354</v>
      </c>
      <c r="L84" s="139"/>
      <c r="N84" s="46"/>
      <c r="O84" s="47"/>
      <c r="P84" s="47"/>
      <c r="Q84" s="68"/>
      <c r="R84" s="47"/>
      <c r="S84" s="47"/>
      <c r="T84" s="68"/>
      <c r="U84" s="48"/>
      <c r="V84" s="55">
        <f t="shared" si="11"/>
        <v>-31896.916314200033</v>
      </c>
      <c r="W84" s="55">
        <f t="shared" si="12"/>
        <v>477863</v>
      </c>
      <c r="X84" s="50">
        <f>'BGS PTY15 Cost Alloc'!X84</f>
        <v>12106</v>
      </c>
      <c r="Y84" s="50">
        <f>'BGS PTY15 Cost Alloc'!Y84</f>
        <v>460308</v>
      </c>
      <c r="Z84" s="50">
        <f>'BGS PTY15 Cost Alloc'!Z84</f>
        <v>5449</v>
      </c>
      <c r="AA84" s="55"/>
      <c r="AB84" s="13">
        <f t="shared" si="13"/>
        <v>132.13332898732051</v>
      </c>
      <c r="AC84" s="13">
        <f t="shared" si="14"/>
        <v>313.83275469847945</v>
      </c>
    </row>
    <row r="85" spans="1:29" x14ac:dyDescent="0.25">
      <c r="A85" s="22"/>
      <c r="B85" s="190" t="s">
        <v>7</v>
      </c>
      <c r="C85" s="230">
        <v>51.62</v>
      </c>
      <c r="D85" s="231">
        <f>ROUND(C85*$H$308,3)</f>
        <v>73.8</v>
      </c>
      <c r="E85" s="230">
        <v>32.496000000000002</v>
      </c>
      <c r="F85" s="232">
        <f>ROUND(E85*$H$308,3)</f>
        <v>46.459000000000003</v>
      </c>
      <c r="H85" s="175">
        <f t="shared" ref="H85:I87" si="15">H84</f>
        <v>1.0301218156958498</v>
      </c>
      <c r="I85" s="272">
        <f t="shared" si="15"/>
        <v>1.0097263866259354</v>
      </c>
      <c r="L85" s="139"/>
      <c r="N85" s="51"/>
      <c r="O85" s="52"/>
      <c r="P85" s="116" t="s">
        <v>25</v>
      </c>
      <c r="Q85" s="68"/>
      <c r="R85" s="44"/>
      <c r="S85" s="116" t="s">
        <v>25</v>
      </c>
      <c r="T85" s="68"/>
      <c r="U85" s="45"/>
      <c r="V85" s="55">
        <f t="shared" si="11"/>
        <v>-35390.197571699973</v>
      </c>
      <c r="W85" s="55">
        <f t="shared" si="12"/>
        <v>474237</v>
      </c>
      <c r="X85" s="50">
        <f>'BGS PTY15 Cost Alloc'!X85</f>
        <v>12025</v>
      </c>
      <c r="Y85" s="50">
        <f>'BGS PTY15 Cost Alloc'!Y85</f>
        <v>456800</v>
      </c>
      <c r="Z85" s="50">
        <f>'BGS PTY15 Cost Alloc'!Z85</f>
        <v>5412</v>
      </c>
      <c r="AA85" s="55"/>
      <c r="AB85" s="13">
        <f t="shared" si="13"/>
        <v>130.68602787607966</v>
      </c>
      <c r="AC85" s="13">
        <f t="shared" si="14"/>
        <v>308.16077455222035</v>
      </c>
    </row>
    <row r="86" spans="1:29" x14ac:dyDescent="0.25">
      <c r="A86" s="22"/>
      <c r="B86" s="190" t="s">
        <v>8</v>
      </c>
      <c r="C86" s="230">
        <v>46.35</v>
      </c>
      <c r="D86" s="231">
        <f>ROUND(C86*$H$308,3)</f>
        <v>66.265000000000001</v>
      </c>
      <c r="E86" s="230">
        <v>29.178000000000001</v>
      </c>
      <c r="F86" s="232">
        <f>ROUND(E86*$H$308,3)</f>
        <v>41.715000000000003</v>
      </c>
      <c r="H86" s="175">
        <f t="shared" si="15"/>
        <v>1.0301218156958498</v>
      </c>
      <c r="I86" s="272">
        <f t="shared" si="15"/>
        <v>1.0097263866259354</v>
      </c>
      <c r="L86" s="139"/>
      <c r="N86" s="51"/>
      <c r="O86" s="52"/>
      <c r="P86" s="114" t="s">
        <v>147</v>
      </c>
      <c r="Q86" s="53">
        <f>Q76-Q65</f>
        <v>9303.0054999999993</v>
      </c>
      <c r="R86" s="47"/>
      <c r="S86" s="114" t="s">
        <v>147</v>
      </c>
      <c r="T86" s="53">
        <f>T76-T65</f>
        <v>4147.1208000000024</v>
      </c>
      <c r="U86" s="48"/>
      <c r="V86" s="55">
        <f t="shared" si="11"/>
        <v>-38791.823689900048</v>
      </c>
      <c r="W86" s="55">
        <f t="shared" si="12"/>
        <v>470754</v>
      </c>
      <c r="X86" s="50">
        <f>'BGS PTY15 Cost Alloc'!X86</f>
        <v>11946</v>
      </c>
      <c r="Y86" s="50">
        <f>'BGS PTY15 Cost Alloc'!Y86</f>
        <v>453432</v>
      </c>
      <c r="Z86" s="50">
        <f>'BGS PTY15 Cost Alloc'!Z86</f>
        <v>5376</v>
      </c>
      <c r="AA86" s="55"/>
      <c r="AB86" s="13">
        <f t="shared" si="13"/>
        <v>129.29031517427927</v>
      </c>
      <c r="AC86" s="13">
        <f t="shared" si="14"/>
        <v>302.67186113582068</v>
      </c>
    </row>
    <row r="87" spans="1:29" x14ac:dyDescent="0.25">
      <c r="A87" s="22"/>
      <c r="B87" s="193" t="s">
        <v>9</v>
      </c>
      <c r="C87" s="233">
        <v>37.799999999999997</v>
      </c>
      <c r="D87" s="234">
        <f>ROUND(C87*$H$308,3)</f>
        <v>54.042000000000002</v>
      </c>
      <c r="E87" s="233">
        <v>23.795999999999999</v>
      </c>
      <c r="F87" s="235">
        <f>ROUND(E87*$H$308,3)</f>
        <v>34.020000000000003</v>
      </c>
      <c r="H87" s="176">
        <f t="shared" si="15"/>
        <v>1.0301218156958498</v>
      </c>
      <c r="I87" s="273">
        <f t="shared" si="15"/>
        <v>1.0097263866259354</v>
      </c>
      <c r="L87" s="139"/>
      <c r="N87" s="64"/>
      <c r="O87" s="65"/>
      <c r="P87" s="117" t="s">
        <v>150</v>
      </c>
      <c r="Q87" s="141">
        <f>Q86*(E113-E114)</f>
        <v>264731.44957629102</v>
      </c>
      <c r="R87" s="58"/>
      <c r="S87" s="117" t="s">
        <v>150</v>
      </c>
      <c r="T87" s="141">
        <f>T86*(H113-H114)</f>
        <v>118464.89680847703</v>
      </c>
      <c r="U87" s="59"/>
      <c r="AA87" s="55"/>
    </row>
    <row r="88" spans="1:29" x14ac:dyDescent="0.25">
      <c r="A88" s="22"/>
      <c r="B88" s="28" t="s">
        <v>10</v>
      </c>
      <c r="C88" s="67">
        <v>36.049999999999997</v>
      </c>
      <c r="D88" s="162">
        <f>ROUND(C88*$H$309,3)</f>
        <v>45.494</v>
      </c>
      <c r="E88" s="67">
        <v>25.515999999999998</v>
      </c>
      <c r="F88" s="162">
        <f>ROUND(E88*$H$309,3)</f>
        <v>32.201000000000001</v>
      </c>
      <c r="H88" s="177">
        <f>H79</f>
        <v>1.0869147747616297</v>
      </c>
      <c r="I88" s="177">
        <f>I79</f>
        <v>1.0805056771162176</v>
      </c>
      <c r="L88" s="139"/>
    </row>
    <row r="89" spans="1:29" x14ac:dyDescent="0.25">
      <c r="A89" s="22"/>
      <c r="B89" s="28" t="s">
        <v>11</v>
      </c>
      <c r="C89" s="67">
        <v>37.08</v>
      </c>
      <c r="D89" s="162">
        <f>ROUND(C89*$H$309,3)</f>
        <v>46.793999999999997</v>
      </c>
      <c r="E89" s="67">
        <v>26.245000000000001</v>
      </c>
      <c r="F89" s="162">
        <f>ROUND(E89*$H$309,3)</f>
        <v>33.121000000000002</v>
      </c>
      <c r="H89" s="177">
        <f>H79</f>
        <v>1.0869147747616297</v>
      </c>
      <c r="I89" s="177">
        <f>I79</f>
        <v>1.0805056771162176</v>
      </c>
      <c r="L89" s="139"/>
    </row>
    <row r="90" spans="1:29" x14ac:dyDescent="0.25">
      <c r="A90" s="22"/>
      <c r="B90" s="28" t="s">
        <v>12</v>
      </c>
      <c r="C90" s="67">
        <v>39.130000000000003</v>
      </c>
      <c r="D90" s="162">
        <f>ROUND(C90*$H$309,3)</f>
        <v>49.381</v>
      </c>
      <c r="E90" s="67">
        <v>27.695</v>
      </c>
      <c r="F90" s="162">
        <f>ROUND(E90*$H$309,3)</f>
        <v>34.951000000000001</v>
      </c>
      <c r="G90" s="70"/>
      <c r="H90" s="177">
        <f>H79</f>
        <v>1.0869147747616297</v>
      </c>
      <c r="I90" s="177">
        <f>I79</f>
        <v>1.0805056771162176</v>
      </c>
      <c r="L90" s="139"/>
    </row>
    <row r="91" spans="1:29" x14ac:dyDescent="0.25">
      <c r="A91" s="22"/>
      <c r="B91" s="28"/>
      <c r="C91" s="69"/>
      <c r="D91" s="69"/>
      <c r="G91" s="70"/>
      <c r="K91" s="70"/>
      <c r="X91" s="13" t="s">
        <v>210</v>
      </c>
    </row>
    <row r="92" spans="1:29" x14ac:dyDescent="0.25">
      <c r="A92" s="18" t="s">
        <v>33</v>
      </c>
      <c r="B92" s="37" t="s">
        <v>22</v>
      </c>
      <c r="C92" s="26"/>
      <c r="D92" s="26"/>
      <c r="E92" s="26" t="str">
        <f>+E$13</f>
        <v>RT{1}</v>
      </c>
      <c r="F92" s="26" t="str">
        <f>+F$13</f>
        <v>RS{2}</v>
      </c>
      <c r="G92" s="26" t="str">
        <f>+G$13</f>
        <v>GS{3}</v>
      </c>
      <c r="H92" s="26" t="str">
        <f>+H$58</f>
        <v>GST {4}</v>
      </c>
      <c r="I92" s="26" t="str">
        <f>+I$13</f>
        <v>OL/SL</v>
      </c>
      <c r="J92" s="26"/>
      <c r="K92" s="26"/>
      <c r="L92" s="26"/>
      <c r="M92" s="26"/>
      <c r="X92" s="13" t="s">
        <v>205</v>
      </c>
      <c r="Y92" s="71" t="s">
        <v>13</v>
      </c>
      <c r="Z92" s="71" t="s">
        <v>13</v>
      </c>
      <c r="AA92" s="71" t="s">
        <v>207</v>
      </c>
    </row>
    <row r="93" spans="1:29" x14ac:dyDescent="0.25">
      <c r="A93" s="22"/>
      <c r="C93" s="71"/>
      <c r="D93" s="71"/>
      <c r="E93" s="71"/>
      <c r="F93" s="71"/>
      <c r="X93" s="133" t="s">
        <v>206</v>
      </c>
      <c r="Y93" s="38" t="s">
        <v>207</v>
      </c>
      <c r="Z93" s="38" t="s">
        <v>208</v>
      </c>
      <c r="AA93" s="38" t="s">
        <v>209</v>
      </c>
    </row>
    <row r="94" spans="1:29" x14ac:dyDescent="0.25">
      <c r="A94" s="22"/>
      <c r="B94" s="28" t="s">
        <v>23</v>
      </c>
      <c r="C94" s="72"/>
      <c r="D94" s="72"/>
      <c r="E94" s="154">
        <f>'BGS PTY15 Cost Alloc'!E94</f>
        <v>0.105545</v>
      </c>
      <c r="F94" s="154">
        <f>'BGS PTY15 Cost Alloc'!F94</f>
        <v>0.105545</v>
      </c>
      <c r="G94" s="154">
        <f>'BGS PTY15 Cost Alloc'!G94</f>
        <v>0.105545</v>
      </c>
      <c r="H94" s="154">
        <f>'BGS PTY15 Cost Alloc'!H94</f>
        <v>0.105545</v>
      </c>
      <c r="I94" s="154">
        <f>'BGS PTY15 Cost Alloc'!I94</f>
        <v>0.105545</v>
      </c>
      <c r="J94" s="72"/>
      <c r="K94" s="72"/>
      <c r="L94" s="72"/>
      <c r="M94" s="72"/>
      <c r="W94" s="13" t="s">
        <v>181</v>
      </c>
      <c r="X94" s="13">
        <v>4</v>
      </c>
      <c r="Y94" s="13">
        <f>X94*365*5/7</f>
        <v>1042.8571428571429</v>
      </c>
      <c r="Z94" s="13">
        <f>365*24</f>
        <v>8760</v>
      </c>
      <c r="AA94" s="13">
        <f>Y94/Z94</f>
        <v>0.11904761904761905</v>
      </c>
    </row>
    <row r="95" spans="1:29" x14ac:dyDescent="0.25">
      <c r="A95" s="22"/>
      <c r="B95" s="13" t="s">
        <v>20</v>
      </c>
      <c r="C95" s="73"/>
      <c r="D95" s="73"/>
      <c r="E95" s="73">
        <f>1/(1-E94)</f>
        <v>1.1179992285805322</v>
      </c>
      <c r="F95" s="73">
        <f>1/(1-F94)</f>
        <v>1.1179992285805322</v>
      </c>
      <c r="G95" s="73">
        <f>1/(1-G94)</f>
        <v>1.1179992285805322</v>
      </c>
      <c r="H95" s="73">
        <f>1/(1-H94)</f>
        <v>1.1179992285805322</v>
      </c>
      <c r="I95" s="73">
        <f>1/(1-I94)</f>
        <v>1.1179992285805322</v>
      </c>
      <c r="J95" s="73"/>
      <c r="K95" s="73"/>
      <c r="L95" s="73"/>
      <c r="M95" s="73"/>
      <c r="W95" s="13" t="s">
        <v>204</v>
      </c>
      <c r="X95" s="13">
        <f>(9*23+10*29)/52</f>
        <v>9.5576923076923084</v>
      </c>
      <c r="Y95" s="13">
        <f>X95*365*5/7</f>
        <v>2491.8269230769229</v>
      </c>
      <c r="Z95" s="13">
        <f>365*24</f>
        <v>8760</v>
      </c>
      <c r="AA95" s="13">
        <f>Y95/Z95</f>
        <v>0.28445512820512819</v>
      </c>
    </row>
    <row r="96" spans="1:29" x14ac:dyDescent="0.25">
      <c r="A96" s="22"/>
      <c r="C96" s="73"/>
      <c r="D96" s="73"/>
      <c r="E96" s="73"/>
      <c r="F96" s="73"/>
      <c r="G96" s="73"/>
      <c r="H96" s="73"/>
      <c r="I96" s="73"/>
      <c r="J96" s="73"/>
      <c r="K96" s="73"/>
      <c r="L96" s="73"/>
      <c r="M96" s="73"/>
    </row>
    <row r="97" spans="1:22" x14ac:dyDescent="0.25">
      <c r="A97" s="22"/>
      <c r="B97" s="241" t="s">
        <v>267</v>
      </c>
      <c r="C97" s="246"/>
      <c r="D97" s="246"/>
      <c r="E97" s="250">
        <f>ROUND(1-1/E98,6)</f>
        <v>9.7923999999999997E-2</v>
      </c>
      <c r="F97" s="250">
        <f>ROUND(1-1/F98,6)</f>
        <v>9.7923999999999997E-2</v>
      </c>
      <c r="G97" s="250">
        <f>ROUND(1-1/G98,6)</f>
        <v>9.7923999999999997E-2</v>
      </c>
      <c r="H97" s="250">
        <f>ROUND(1-1/H98,6)</f>
        <v>9.7923999999999997E-2</v>
      </c>
      <c r="I97" s="250">
        <f>ROUND(1-1/I98,6)</f>
        <v>9.7923999999999997E-2</v>
      </c>
      <c r="J97" s="73"/>
      <c r="K97" s="73"/>
      <c r="L97" s="73"/>
      <c r="M97" s="73"/>
    </row>
    <row r="98" spans="1:22" ht="12" customHeight="1" x14ac:dyDescent="0.25">
      <c r="A98" s="22"/>
      <c r="B98" s="241" t="s">
        <v>266</v>
      </c>
      <c r="C98" s="246"/>
      <c r="D98" s="246"/>
      <c r="E98" s="246">
        <v>1.1085534536389932</v>
      </c>
      <c r="F98" s="246">
        <v>1.1085534536389932</v>
      </c>
      <c r="G98" s="246">
        <v>1.1085534536389932</v>
      </c>
      <c r="H98" s="246">
        <v>1.1085534536389932</v>
      </c>
      <c r="I98" s="246">
        <v>1.1085534536389932</v>
      </c>
      <c r="J98" s="73"/>
      <c r="K98" s="73"/>
      <c r="L98" s="73"/>
      <c r="M98" s="47"/>
      <c r="N98" s="47"/>
      <c r="O98" s="47"/>
      <c r="P98" s="47"/>
      <c r="Q98" s="158"/>
      <c r="R98" s="158"/>
      <c r="S98" s="158"/>
      <c r="T98" s="47"/>
      <c r="U98" s="47"/>
      <c r="V98" s="47"/>
    </row>
    <row r="99" spans="1:22" x14ac:dyDescent="0.25">
      <c r="A99" s="22"/>
      <c r="C99" s="73"/>
      <c r="D99" s="73"/>
      <c r="E99" s="73"/>
      <c r="F99" s="73"/>
      <c r="G99" s="73"/>
      <c r="H99" s="73"/>
      <c r="I99" s="73"/>
      <c r="J99" s="73"/>
      <c r="K99" s="73"/>
      <c r="L99" s="73"/>
      <c r="M99" s="47"/>
      <c r="N99" s="47"/>
      <c r="O99" s="47"/>
      <c r="P99" s="47"/>
      <c r="Q99" s="158"/>
      <c r="R99" s="158"/>
      <c r="S99" s="158"/>
      <c r="T99" s="47"/>
      <c r="U99" s="47"/>
      <c r="V99" s="47"/>
    </row>
    <row r="100" spans="1:22" x14ac:dyDescent="0.25">
      <c r="A100" s="22"/>
      <c r="C100" s="73"/>
      <c r="D100" s="73"/>
      <c r="E100" s="73"/>
      <c r="F100" s="73"/>
      <c r="G100" s="73"/>
      <c r="H100" s="73"/>
      <c r="I100" s="73"/>
      <c r="J100" s="73"/>
      <c r="K100" s="73"/>
      <c r="L100" s="73"/>
      <c r="M100" s="47"/>
      <c r="N100" s="47"/>
      <c r="O100" s="47"/>
      <c r="P100" s="47"/>
      <c r="Q100" s="47"/>
      <c r="R100" s="47"/>
      <c r="S100" s="47"/>
      <c r="T100" s="47"/>
      <c r="U100" s="47"/>
      <c r="V100" s="47"/>
    </row>
    <row r="101" spans="1:22" x14ac:dyDescent="0.25">
      <c r="A101" s="22"/>
      <c r="B101" s="36" t="s">
        <v>286</v>
      </c>
      <c r="C101" s="73"/>
      <c r="D101" s="73"/>
      <c r="E101" s="73"/>
      <c r="F101" s="73"/>
      <c r="G101" s="73"/>
      <c r="H101" s="73"/>
      <c r="I101" s="73"/>
      <c r="J101" s="73"/>
      <c r="K101" s="73"/>
      <c r="L101" s="73"/>
      <c r="M101" s="47"/>
      <c r="N101" s="47"/>
      <c r="O101" s="47"/>
      <c r="P101" s="47"/>
      <c r="Q101" s="47"/>
      <c r="R101" s="47"/>
      <c r="S101" s="47"/>
      <c r="T101" s="47"/>
      <c r="U101" s="47"/>
      <c r="V101" s="47"/>
    </row>
    <row r="102" spans="1:22" x14ac:dyDescent="0.25">
      <c r="A102" s="22"/>
      <c r="B102" s="36" t="str">
        <f>'BGS PTY15 Cost Alloc'!$B$102</f>
        <v xml:space="preserve"> </v>
      </c>
      <c r="M102" s="47"/>
      <c r="N102" s="47"/>
      <c r="O102" s="47"/>
      <c r="P102" s="47"/>
      <c r="Q102" s="47"/>
      <c r="R102" s="47"/>
      <c r="S102" s="47"/>
      <c r="T102" s="47"/>
      <c r="U102" s="47"/>
      <c r="V102" s="47"/>
    </row>
    <row r="103" spans="1:22" ht="15.6" x14ac:dyDescent="0.3">
      <c r="A103" s="22"/>
      <c r="B103" s="519" t="str">
        <f>$B$1</f>
        <v xml:space="preserve">Jersey Central Power &amp; Light </v>
      </c>
      <c r="C103" s="519"/>
      <c r="D103" s="519"/>
      <c r="E103" s="519"/>
      <c r="F103" s="519"/>
      <c r="G103" s="519"/>
      <c r="H103" s="519"/>
      <c r="I103" s="519"/>
      <c r="J103" s="519"/>
      <c r="K103" s="519"/>
      <c r="L103" s="519"/>
      <c r="M103" s="47"/>
      <c r="N103" s="47"/>
      <c r="O103" s="47"/>
      <c r="P103" s="47"/>
      <c r="Q103" s="47"/>
      <c r="R103" s="47"/>
      <c r="S103" s="47"/>
      <c r="T103" s="47"/>
      <c r="U103" s="47"/>
      <c r="V103" s="47"/>
    </row>
    <row r="104" spans="1:22" ht="15.6" x14ac:dyDescent="0.3">
      <c r="A104" s="22"/>
      <c r="B104" s="519" t="str">
        <f>$B$2</f>
        <v>Attachment 2</v>
      </c>
      <c r="C104" s="519"/>
      <c r="D104" s="519"/>
      <c r="E104" s="519"/>
      <c r="F104" s="519"/>
      <c r="G104" s="519"/>
      <c r="H104" s="519"/>
      <c r="I104" s="519"/>
      <c r="J104" s="519"/>
      <c r="K104" s="519"/>
      <c r="L104" s="519"/>
      <c r="M104" s="47"/>
      <c r="N104" s="47"/>
      <c r="O104" s="47"/>
      <c r="P104" s="47"/>
      <c r="Q104" s="47"/>
      <c r="R104" s="47"/>
      <c r="S104" s="47"/>
      <c r="T104" s="47"/>
      <c r="U104" s="47"/>
      <c r="V104" s="47"/>
    </row>
    <row r="105" spans="1:22" x14ac:dyDescent="0.25">
      <c r="A105" s="22"/>
      <c r="M105" s="47"/>
      <c r="N105" s="47"/>
      <c r="O105" s="47"/>
      <c r="P105" s="47"/>
      <c r="Q105" s="47"/>
      <c r="R105" s="47"/>
      <c r="S105" s="47"/>
      <c r="T105" s="47"/>
      <c r="U105" s="47"/>
      <c r="V105" s="47"/>
    </row>
    <row r="106" spans="1:22" x14ac:dyDescent="0.25">
      <c r="A106" s="22"/>
      <c r="M106" s="47"/>
      <c r="N106" s="47"/>
      <c r="O106" s="47"/>
      <c r="P106" s="47"/>
      <c r="Q106" s="47"/>
      <c r="R106" s="47"/>
      <c r="S106" s="47"/>
      <c r="T106" s="47"/>
      <c r="U106" s="47"/>
      <c r="V106" s="47"/>
    </row>
    <row r="107" spans="1:22" x14ac:dyDescent="0.25">
      <c r="A107" s="18" t="s">
        <v>34</v>
      </c>
      <c r="B107" s="16" t="s">
        <v>51</v>
      </c>
      <c r="M107" s="47"/>
      <c r="N107" s="47"/>
      <c r="O107" s="47"/>
      <c r="P107" s="47"/>
      <c r="Q107" s="47"/>
      <c r="R107" s="47"/>
      <c r="S107" s="47"/>
      <c r="T107" s="47"/>
      <c r="U107" s="47"/>
      <c r="V107" s="47"/>
    </row>
    <row r="108" spans="1:22" x14ac:dyDescent="0.25">
      <c r="A108" s="22"/>
      <c r="B108" s="17" t="s">
        <v>171</v>
      </c>
      <c r="M108" s="47"/>
      <c r="N108" s="47"/>
      <c r="O108" s="47"/>
      <c r="P108" s="47"/>
      <c r="Q108" s="47"/>
      <c r="R108" s="47"/>
      <c r="S108" s="477"/>
      <c r="T108" s="47"/>
      <c r="U108" s="47"/>
      <c r="V108" s="47"/>
    </row>
    <row r="109" spans="1:22" x14ac:dyDescent="0.25">
      <c r="A109" s="22"/>
      <c r="B109" s="17" t="s">
        <v>21</v>
      </c>
      <c r="M109" s="47"/>
      <c r="N109" s="47"/>
      <c r="O109" s="47"/>
      <c r="P109" s="47"/>
      <c r="Q109" s="47"/>
      <c r="R109" s="47"/>
      <c r="S109" s="467"/>
      <c r="T109" s="47"/>
      <c r="U109" s="47"/>
      <c r="V109" s="47"/>
    </row>
    <row r="110" spans="1:22" x14ac:dyDescent="0.25">
      <c r="A110" s="22"/>
      <c r="B110" s="16"/>
      <c r="C110" s="26"/>
      <c r="D110" s="26"/>
      <c r="E110" s="26" t="str">
        <f>+E$13</f>
        <v>RT{1}</v>
      </c>
      <c r="F110" s="26" t="str">
        <f>+F$13</f>
        <v>RS{2}</v>
      </c>
      <c r="G110" s="26" t="str">
        <f>+G$13</f>
        <v>GS{3}</v>
      </c>
      <c r="H110" s="26" t="str">
        <f>+H$58</f>
        <v>GST {4}</v>
      </c>
      <c r="I110" s="26" t="str">
        <f>+I$13</f>
        <v>OL/SL</v>
      </c>
      <c r="J110" s="26"/>
      <c r="K110" s="26"/>
      <c r="L110" s="26"/>
      <c r="M110" s="44"/>
      <c r="N110" s="478"/>
      <c r="O110" s="47"/>
      <c r="P110" s="131"/>
      <c r="Q110" s="47"/>
      <c r="R110" s="47"/>
      <c r="S110" s="47"/>
      <c r="T110" s="47"/>
      <c r="U110" s="47"/>
      <c r="V110" s="47"/>
    </row>
    <row r="111" spans="1:22" x14ac:dyDescent="0.25">
      <c r="A111" s="22"/>
      <c r="M111" s="47"/>
      <c r="N111" s="47"/>
      <c r="O111" s="47"/>
      <c r="P111" s="47"/>
      <c r="Q111" s="47"/>
      <c r="R111" s="114"/>
      <c r="S111" s="479"/>
      <c r="T111" s="47"/>
      <c r="U111" s="47"/>
      <c r="V111" s="47"/>
    </row>
    <row r="112" spans="1:22" x14ac:dyDescent="0.25">
      <c r="A112" s="22"/>
      <c r="B112" s="28" t="s">
        <v>17</v>
      </c>
      <c r="C112" s="74"/>
      <c r="D112" s="74"/>
      <c r="E112" s="75">
        <f>(SUMPRODUCT(E20:E23,E65:E68,$D84:$D87,$H84:$H87)*E95+SUMPRODUCT(Q20:Q23,E65:E68,$F84:$F87,$I84:$I87)*E95)/SUM(E65:E68)</f>
        <v>59.683195133483707</v>
      </c>
      <c r="F112" s="75">
        <f>(SUMPRODUCT(F20:F23,F65:F68,$D84:$D87,$H84:$H87)*F95+SUMPRODUCT(R20:R23,F65:F68,$F84:$F87,$I84:$I87)*F95)/SUM(F65:F68)</f>
        <v>59.88327606394229</v>
      </c>
      <c r="G112" s="75">
        <f>(SUMPRODUCT(G20:G23,G65:G68,$D84:$D87,$H84:$H87)*G95+SUMPRODUCT(S20:S23,G65:G68,$F84:$F87,$I84:$I87)*G95)/SUM(G65:G68)</f>
        <v>61.568988581589615</v>
      </c>
      <c r="H112" s="75">
        <f>(SUMPRODUCT(H20:H23,H65:H68,$D84:$D87,$H84:$H87)*H95+SUMPRODUCT(T20:T23,H65:H68,$F84:$F87,$I84:$I87)*H95)/SUM(H65:H68)</f>
        <v>62.441958395627225</v>
      </c>
      <c r="I112" s="75">
        <f>(SUMPRODUCT(I20:I23,I65:I68,$D84:$D87,$H84:$H87)*I95+SUMPRODUCT(U20:U23,I65:I68,$F84:$F87,$I84:$I87)*I95)/SUM(I65:I68)</f>
        <v>51.634937353677344</v>
      </c>
      <c r="J112" s="76"/>
      <c r="K112" s="74"/>
      <c r="L112" s="74"/>
      <c r="M112" s="480"/>
      <c r="N112" s="47"/>
      <c r="O112" s="47"/>
      <c r="P112" s="47"/>
      <c r="Q112" s="47"/>
      <c r="R112" s="47"/>
      <c r="S112" s="47"/>
      <c r="T112" s="47"/>
      <c r="U112" s="47"/>
      <c r="V112" s="47"/>
    </row>
    <row r="113" spans="1:22" x14ac:dyDescent="0.25">
      <c r="A113" s="22"/>
      <c r="B113" s="77" t="s">
        <v>41</v>
      </c>
      <c r="C113" s="74"/>
      <c r="D113" s="74"/>
      <c r="E113" s="75">
        <f>(SUMPRODUCT(E20:E23,E65:E68,$D84:$D87,$H84:$H87)*E95)/SUMPRODUCT(E20:E23,E65:E68)</f>
        <v>73.52573690298793</v>
      </c>
      <c r="F113" s="75">
        <f>(SUMPRODUCT(F20:F23,F65:F68,$D84:$D87,$H84:$H87)*F95)/SUMPRODUCT(F20:F23,F65:F68)</f>
        <v>73.633444507325407</v>
      </c>
      <c r="G113" s="75">
        <f>(SUMPRODUCT(G20:G23,G65:G68,$D84:$D87,$H84:$H87)*G95)/SUMPRODUCT(G20:G23,G65:G68)</f>
        <v>73.093842167124876</v>
      </c>
      <c r="H113" s="75">
        <f>(SUMPRODUCT(H20:H23,H65:H68,$D84:$D87,$H84:$H87)*H95)/SUMPRODUCT(H20:H23,H65:H68)</f>
        <v>74.315700852452906</v>
      </c>
      <c r="I113" s="75">
        <f>(SUMPRODUCT(I20:I23,I65:I68,$D84:$D87,$H84:$H87)*I95)/SUMPRODUCT(I20:I23,I65:I68)</f>
        <v>72.522923468021091</v>
      </c>
      <c r="J113" s="76"/>
      <c r="K113" s="74"/>
      <c r="L113" s="74"/>
      <c r="M113" s="480"/>
      <c r="N113" s="47"/>
      <c r="O113" s="47"/>
      <c r="P113" s="47"/>
      <c r="Q113" s="47"/>
      <c r="R113" s="47"/>
      <c r="S113" s="504"/>
      <c r="T113" s="47"/>
      <c r="U113" s="47"/>
      <c r="V113" s="47"/>
    </row>
    <row r="114" spans="1:22" x14ac:dyDescent="0.25">
      <c r="A114" s="22"/>
      <c r="B114" s="77" t="s">
        <v>42</v>
      </c>
      <c r="C114" s="74"/>
      <c r="D114" s="74"/>
      <c r="E114" s="75">
        <f>(SUMPRODUCT(Q20:Q23,E65:E68,$F84:$F87,$I84:$I87)*E95)/SUMPRODUCT(Q20:Q23,E65:E68)</f>
        <v>45.069185998412948</v>
      </c>
      <c r="F114" s="75">
        <f>(SUMPRODUCT(R20:R23,F65:F68,$F84:$F87,$I84:$I87)*F95)/SUMPRODUCT(R20:R23,F65:F68)</f>
        <v>45.209849487031981</v>
      </c>
      <c r="G114" s="75">
        <f>(SUMPRODUCT(S20:S23,G65:G68,$F84:$F87,$I84:$I87)*G95)/SUMPRODUCT(S20:S23,G65:G68)</f>
        <v>45.038316052672712</v>
      </c>
      <c r="H114" s="75">
        <f>(SUMPRODUCT(T20:T23,H65:H68,$F84:$F87,$I84:$I87)*H95)/SUMPRODUCT(T20:T23,H65:H68)</f>
        <v>45.750124270146223</v>
      </c>
      <c r="I114" s="75">
        <f>(SUMPRODUCT(U20:U23,I65:I68,$F84:$F87,$I84:$I87)*I95)/SUMPRODUCT(U20:U23,I65:I68)</f>
        <v>44.944694378346405</v>
      </c>
      <c r="J114" s="76"/>
      <c r="K114" s="74"/>
      <c r="L114" s="74"/>
      <c r="M114" s="44"/>
      <c r="N114" s="478"/>
      <c r="O114" s="47"/>
      <c r="P114" s="131"/>
      <c r="Q114" s="47"/>
      <c r="R114" s="47"/>
      <c r="S114" s="47"/>
      <c r="T114" s="47"/>
      <c r="U114" s="47"/>
      <c r="V114" s="47"/>
    </row>
    <row r="115" spans="1:22" x14ac:dyDescent="0.25">
      <c r="A115" s="22"/>
      <c r="C115" s="142"/>
      <c r="D115" s="142"/>
      <c r="E115" s="143"/>
      <c r="F115" s="143"/>
      <c r="G115" s="143"/>
      <c r="H115" s="143"/>
      <c r="I115" s="143"/>
      <c r="J115" s="76"/>
      <c r="K115" s="142"/>
      <c r="L115" s="142"/>
      <c r="M115" s="47"/>
      <c r="N115" s="47"/>
      <c r="O115" s="47"/>
      <c r="P115" s="47"/>
      <c r="Q115" s="47"/>
      <c r="R115" s="114"/>
      <c r="S115" s="479"/>
      <c r="T115" s="47"/>
      <c r="U115" s="47"/>
      <c r="V115" s="47"/>
    </row>
    <row r="116" spans="1:22" x14ac:dyDescent="0.25">
      <c r="A116" s="22"/>
      <c r="B116" s="28" t="s">
        <v>18</v>
      </c>
      <c r="C116" s="74"/>
      <c r="D116" s="74"/>
      <c r="E116" s="75">
        <f>(SUMPRODUCT(E15:E19,E60:E64,$D79:$D83,$H79:$H83)*E95+SUMPRODUCT(Q15:Q19,E60:E64,$F79:$F83,$I79:$I83)*E95+SUMPRODUCT(E24:E26,E69:E71,$D88:$D90,$H88:$H90)*E95+SUMPRODUCT(Q24:Q26,E69:E71,$F88:$F90,$I88:$I90)*E95)/SUM(E60:E64,E69:E71)</f>
        <v>56.277252918051268</v>
      </c>
      <c r="F116" s="75">
        <f>(SUMPRODUCT(F15:F19,F60:F64,$D79:$D83,$H79:$H83)*F95+SUMPRODUCT(R15:R19,F60:F64,$F79:$F83,$I79:$I83)*F95+SUMPRODUCT(F24:F26,F69:F71,$D88:$D90,$H88:$H90)*F95+SUMPRODUCT(R24:R26,F69:F71,$F88:$F90,$I88:$I90)*F95)/SUM(F60:F64,F69:F71)</f>
        <v>55.863047815606727</v>
      </c>
      <c r="G116" s="75">
        <f>(SUMPRODUCT(G15:G19,G60:G64,$D79:$D83,$H79:$H83)*G95+SUMPRODUCT(S15:S19,G60:G64,$F79:$F83,$I79:$I83)*G95+SUMPRODUCT(G24:G26,G69:G71,$D88:$D90,$H88:$H90)*G95+SUMPRODUCT(S24:S26,G69:G71,$F88:$F90,$I88:$I90)*G95)/SUM(G60:G64,G69:G71)</f>
        <v>56.97811916862512</v>
      </c>
      <c r="H116" s="75">
        <f>(SUMPRODUCT(H15:H19,H60:H64,$D79:$D83,$H79:$H83)*H95+SUMPRODUCT(T15:T19,H60:H64,$F79:$F83,$I79:$I83)*H95+SUMPRODUCT(H24:H26,H69:H71,$D88:$D90,$H88:$H90)*H95+SUMPRODUCT(T24:T26,H69:H71,$F88:$F90,$I88:$I90)*H95)/SUM(H60:H64,H69:H71)</f>
        <v>57.203618729893705</v>
      </c>
      <c r="I116" s="75">
        <f>(SUMPRODUCT(I15:I19,I60:I64,$D79:$D83,$H79:$H83)*I95+SUMPRODUCT(U15:U19,I60:I64,$F79:$F83,$I79:$I83)*I95+SUMPRODUCT(I24:I26,I69:I71,$D88:$D90,$H88:$H90)*I95+SUMPRODUCT(U24:U26,I69:I71,$F88:$F90,$I88:$I90)*I95)/SUM(I60:I64,I69:I71)</f>
        <v>51.059397027133812</v>
      </c>
      <c r="J116" s="76"/>
      <c r="K116" s="74"/>
      <c r="L116" s="74"/>
      <c r="M116" s="481"/>
      <c r="N116" s="47"/>
      <c r="O116" s="47"/>
      <c r="P116" s="47"/>
      <c r="Q116" s="47"/>
      <c r="R116" s="47"/>
      <c r="S116" s="47"/>
      <c r="T116" s="47"/>
      <c r="U116" s="47"/>
      <c r="V116" s="47"/>
    </row>
    <row r="117" spans="1:22" x14ac:dyDescent="0.25">
      <c r="A117" s="22"/>
      <c r="B117" s="77" t="s">
        <v>41</v>
      </c>
      <c r="C117" s="74"/>
      <c r="D117" s="74"/>
      <c r="E117" s="75">
        <f>(SUMPRODUCT(E15:E19,E60:E64,$D79:$D83,$H79:$H83)*E95+SUMPRODUCT(E24:E26,E69:E71,$D88:$D90,$H88:$H90)*E95)/(SUMPRODUCT(E15:E19,E60:E64)+SUMPRODUCT(E24:E26,E69:E71))</f>
        <v>66.45287083018286</v>
      </c>
      <c r="F117" s="75">
        <f>(SUMPRODUCT(F15:F19,F60:F64,$D79:$D83,$H79:$H83)*F95+SUMPRODUCT(F24:F26,F69:F71,$D88:$D90,$H88:$H90)*F95)/(SUMPRODUCT(F15:F19,F60:F64)+SUMPRODUCT(F24:F26,F69:F71))</f>
        <v>65.518809056233877</v>
      </c>
      <c r="G117" s="75">
        <f>(SUMPRODUCT(G15:G19,G60:G64,$D79:$D83,$H79:$H83)*G95+SUMPRODUCT(G24:G26,G69:G71,$D88:$D90,$H88:$H90)*G95)/(SUMPRODUCT(G15:G19,G60:G64)+SUMPRODUCT(G24:G26,G69:G71))</f>
        <v>64.85503900355603</v>
      </c>
      <c r="H117" s="75">
        <f>(SUMPRODUCT(H15:H19,H60:H64,$D79:$D83,$H79:$H83)*H95+SUMPRODUCT(H24:H26,H69:H71,$D88:$D90,$H88:$H90)*H95)/(SUMPRODUCT(H15:H19,H60:H64)+SUMPRODUCT(H24:H26,H69:H71))</f>
        <v>65.575688354778805</v>
      </c>
      <c r="I117" s="75">
        <f>(SUMPRODUCT(I15:I19,I60:I64,$D79:$D83,$H79:$H83)*I95+SUMPRODUCT(I24:I26,I69:I71,$D88:$D90,$H88:$H90)*I95)/(SUMPRODUCT(I15:I19,I60:I64)+SUMPRODUCT(I24:I26,I69:I71))</f>
        <v>64.866690429396087</v>
      </c>
      <c r="J117" s="76"/>
      <c r="K117" s="74"/>
      <c r="L117" s="74"/>
      <c r="M117" s="480"/>
      <c r="N117" s="47"/>
      <c r="O117" s="47"/>
      <c r="P117" s="47"/>
      <c r="Q117" s="47"/>
      <c r="R117" s="47"/>
      <c r="S117" s="484"/>
      <c r="T117" s="47"/>
      <c r="U117" s="47"/>
      <c r="V117" s="47"/>
    </row>
    <row r="118" spans="1:22" x14ac:dyDescent="0.25">
      <c r="A118" s="22"/>
      <c r="B118" s="77" t="s">
        <v>42</v>
      </c>
      <c r="C118" s="74"/>
      <c r="D118" s="74"/>
      <c r="E118" s="75">
        <f>(SUMPRODUCT(Q15:Q19,E60:E64,$F79:$F83,$I79:$I83)*E95+SUMPRODUCT(Q24:Q26,E69:E71,$F88:$F90,$I88:$I90)*E95)/(SUMPRODUCT(Q15:Q19,E60:E64)+SUMPRODUCT(Q24:Q26,E69:E71))</f>
        <v>46.71787811325752</v>
      </c>
      <c r="F118" s="75">
        <f>(SUMPRODUCT(R15:R19,F60:F64,$F79:$F83,$I79:$I83)*F95+SUMPRODUCT(R24:R26,F69:F71,$F88:$F90,$I88:$I90)*F95)/(SUMPRODUCT(R15:R19,F60:F64)+SUMPRODUCT(R24:R26,F69:F71))</f>
        <v>45.975802345209232</v>
      </c>
      <c r="G118" s="75">
        <f>(SUMPRODUCT(S15:S19,G60:G64,$F79:$F83,$I79:$I83)*G95+SUMPRODUCT(S24:S26,G69:G71,$F88:$F90,$I88:$I90)*G95)/(SUMPRODUCT(S15:S19,G60:G64)+SUMPRODUCT(S24:S26,G69:G71))</f>
        <v>45.827590916639366</v>
      </c>
      <c r="H118" s="75">
        <f>(SUMPRODUCT(T15:T19,H60:H64,$F79:$F83,$I79:$I83)*H95+SUMPRODUCT(T24:T26,H69:H71,$F88:$F90,$I88:$I90)*H95)/(SUMPRODUCT(T15:T19,H60:H64)+SUMPRODUCT(T24:T26,H69:H71))</f>
        <v>46.388027564467009</v>
      </c>
      <c r="I118" s="75">
        <f>(SUMPRODUCT(U15:U19,I60:I64,$F79:$F83,$I79:$I83)*I95+SUMPRODUCT(U24:U26,I69:I71,$F88:$F90,$I88:$I90)*I95)/(SUMPRODUCT(U15:U19,I60:I64)+SUMPRODUCT(U24:U26,I69:I71))</f>
        <v>45.129558639506229</v>
      </c>
      <c r="J118" s="76"/>
      <c r="K118" s="74"/>
      <c r="L118" s="74"/>
      <c r="M118" s="44"/>
      <c r="N118" s="478"/>
      <c r="O118" s="47"/>
      <c r="P118" s="131"/>
      <c r="Q118" s="47"/>
      <c r="R118" s="47"/>
      <c r="S118" s="47"/>
      <c r="T118" s="47"/>
      <c r="U118" s="47"/>
      <c r="V118" s="47"/>
    </row>
    <row r="119" spans="1:22" x14ac:dyDescent="0.25">
      <c r="A119" s="22"/>
      <c r="C119" s="142"/>
      <c r="D119" s="142"/>
      <c r="E119" s="143"/>
      <c r="F119" s="143"/>
      <c r="G119" s="143"/>
      <c r="H119" s="143"/>
      <c r="I119" s="143"/>
      <c r="J119" s="76"/>
      <c r="K119" s="142"/>
      <c r="L119" s="142"/>
      <c r="M119" s="47"/>
      <c r="N119" s="47"/>
      <c r="O119" s="47"/>
      <c r="P119" s="47"/>
      <c r="Q119" s="47"/>
      <c r="R119" s="114"/>
      <c r="S119" s="479"/>
      <c r="T119" s="47"/>
      <c r="U119" s="47"/>
      <c r="V119" s="47"/>
    </row>
    <row r="120" spans="1:22" x14ac:dyDescent="0.25">
      <c r="A120" s="22"/>
      <c r="B120" s="13" t="s">
        <v>16</v>
      </c>
      <c r="C120" s="74"/>
      <c r="D120" s="78"/>
      <c r="E120" s="79">
        <f>(E112*SUM(E65:E68)+E116*SUM(E60:E64,E69:E71))/E72</f>
        <v>57.3801462287812</v>
      </c>
      <c r="F120" s="79">
        <f>(F112*SUM(F65:F68)+F116*SUM(F60:F64,F69:F71))/F72</f>
        <v>57.535414296155203</v>
      </c>
      <c r="G120" s="79">
        <f>(G112*SUM(G65:G68)+G116*SUM(G60:G64,G69:G71))/G72</f>
        <v>58.654883182600628</v>
      </c>
      <c r="H120" s="79">
        <f>(H112*SUM(H65:H68)+H116*SUM(H60:H64,H69:H71))/H72</f>
        <v>58.873963725213073</v>
      </c>
      <c r="I120" s="79">
        <f>(I112*SUM(I65:I68)+I116*SUM(I60:I64,I69:I71))/I72</f>
        <v>51.251136371542678</v>
      </c>
      <c r="J120" s="76"/>
      <c r="K120" s="78"/>
      <c r="L120" s="78"/>
      <c r="M120" s="480"/>
      <c r="N120" s="47"/>
      <c r="O120" s="47"/>
      <c r="P120" s="47"/>
      <c r="Q120" s="47"/>
      <c r="R120" s="47"/>
      <c r="S120" s="47"/>
      <c r="T120" s="47"/>
      <c r="U120" s="47"/>
      <c r="V120" s="47"/>
    </row>
    <row r="121" spans="1:22" x14ac:dyDescent="0.25">
      <c r="A121" s="22"/>
      <c r="C121" s="74"/>
      <c r="D121" s="78"/>
      <c r="E121" s="78"/>
      <c r="F121" s="78"/>
      <c r="G121" s="78"/>
      <c r="H121" s="78"/>
      <c r="I121" s="78"/>
      <c r="J121" s="78"/>
      <c r="K121" s="78"/>
      <c r="L121" s="78"/>
      <c r="M121" s="480"/>
      <c r="N121" s="47"/>
      <c r="O121" s="47"/>
      <c r="P121" s="47"/>
      <c r="Q121" s="47"/>
      <c r="R121" s="47"/>
      <c r="S121" s="484"/>
      <c r="T121" s="47"/>
      <c r="U121" s="47"/>
      <c r="V121" s="47"/>
    </row>
    <row r="122" spans="1:22" x14ac:dyDescent="0.25">
      <c r="A122" s="22"/>
      <c r="B122" s="13" t="s">
        <v>44</v>
      </c>
      <c r="C122" s="80">
        <f>SUMPRODUCT(C120:I120,C72:I72)/SUM(C72:I72)</f>
        <v>57.938752794447382</v>
      </c>
      <c r="D122" s="78"/>
      <c r="E122" s="78"/>
      <c r="F122" s="78"/>
      <c r="G122" s="78"/>
      <c r="H122" s="78"/>
      <c r="I122" s="78"/>
      <c r="J122" s="78"/>
      <c r="K122" s="78"/>
      <c r="L122" s="78"/>
      <c r="M122" s="44"/>
      <c r="N122" s="478"/>
      <c r="O122" s="47"/>
      <c r="P122" s="131"/>
      <c r="Q122" s="47"/>
      <c r="R122" s="47"/>
      <c r="S122" s="47"/>
      <c r="T122" s="47"/>
      <c r="U122" s="47"/>
      <c r="V122" s="47"/>
    </row>
    <row r="123" spans="1:22" x14ac:dyDescent="0.25">
      <c r="A123" s="22"/>
      <c r="C123" s="74"/>
      <c r="D123" s="78"/>
      <c r="E123" s="78"/>
      <c r="F123" s="78"/>
      <c r="G123" s="78"/>
      <c r="H123" s="78"/>
      <c r="I123" s="78"/>
      <c r="J123" s="78"/>
      <c r="K123" s="78"/>
      <c r="L123" s="78"/>
      <c r="M123" s="47"/>
      <c r="N123" s="47"/>
      <c r="O123" s="47"/>
      <c r="P123" s="47"/>
      <c r="Q123" s="47"/>
      <c r="R123" s="114"/>
      <c r="S123" s="479"/>
      <c r="T123" s="47"/>
      <c r="U123" s="47"/>
      <c r="V123" s="47"/>
    </row>
    <row r="124" spans="1:22" x14ac:dyDescent="0.25">
      <c r="A124" s="22"/>
      <c r="C124" s="78"/>
      <c r="D124" s="78"/>
      <c r="E124" s="78"/>
      <c r="F124" s="78"/>
      <c r="G124" s="78"/>
      <c r="H124" s="78"/>
      <c r="I124" s="78"/>
      <c r="J124" s="78"/>
      <c r="K124" s="78"/>
      <c r="L124" s="78"/>
      <c r="M124" s="480"/>
      <c r="N124" s="47"/>
      <c r="O124" s="47"/>
      <c r="P124" s="47"/>
      <c r="Q124" s="47"/>
      <c r="R124" s="47"/>
      <c r="S124" s="47"/>
      <c r="T124" s="47"/>
      <c r="U124" s="47"/>
      <c r="V124" s="47"/>
    </row>
    <row r="125" spans="1:22" x14ac:dyDescent="0.25">
      <c r="A125" s="18" t="s">
        <v>35</v>
      </c>
      <c r="B125" s="16" t="s">
        <v>49</v>
      </c>
      <c r="C125" s="78"/>
      <c r="D125" s="78"/>
      <c r="E125" s="78"/>
      <c r="F125" s="78"/>
      <c r="G125" s="78"/>
      <c r="H125" s="78"/>
      <c r="I125" s="78"/>
      <c r="J125" s="78"/>
      <c r="K125" s="78"/>
      <c r="L125" s="78"/>
      <c r="M125" s="483"/>
      <c r="N125" s="47"/>
      <c r="O125" s="47"/>
      <c r="P125" s="47"/>
      <c r="Q125" s="47"/>
      <c r="R125" s="47"/>
      <c r="S125" s="484"/>
      <c r="T125" s="47"/>
      <c r="U125" s="47"/>
      <c r="V125" s="47"/>
    </row>
    <row r="126" spans="1:22" x14ac:dyDescent="0.25">
      <c r="A126" s="22"/>
      <c r="B126" s="17" t="s">
        <v>172</v>
      </c>
      <c r="C126" s="78"/>
      <c r="D126" s="78"/>
      <c r="E126" s="78"/>
      <c r="F126" s="78"/>
      <c r="G126" s="78"/>
      <c r="H126" s="78"/>
      <c r="I126" s="78"/>
      <c r="J126" s="78"/>
      <c r="K126" s="78"/>
      <c r="L126" s="78"/>
      <c r="M126" s="44"/>
      <c r="N126" s="478"/>
      <c r="O126" s="47"/>
      <c r="P126" s="131"/>
      <c r="Q126" s="47"/>
      <c r="R126" s="47"/>
      <c r="S126" s="47"/>
      <c r="T126" s="47"/>
      <c r="U126" s="47"/>
      <c r="V126" s="47"/>
    </row>
    <row r="127" spans="1:22" x14ac:dyDescent="0.25">
      <c r="A127" s="22"/>
      <c r="B127" s="17" t="s">
        <v>43</v>
      </c>
      <c r="C127" s="78"/>
      <c r="D127" s="78"/>
      <c r="E127" s="78"/>
      <c r="F127" s="78"/>
      <c r="G127" s="78"/>
      <c r="H127" s="78"/>
      <c r="I127" s="78"/>
      <c r="J127" s="78"/>
      <c r="K127" s="78"/>
      <c r="L127" s="78"/>
      <c r="M127" s="47"/>
      <c r="N127" s="47"/>
      <c r="O127" s="47"/>
      <c r="P127" s="47"/>
      <c r="Q127" s="47"/>
      <c r="R127" s="114"/>
      <c r="S127" s="479"/>
      <c r="T127" s="47"/>
      <c r="U127" s="47"/>
      <c r="V127" s="47"/>
    </row>
    <row r="128" spans="1:22" x14ac:dyDescent="0.25">
      <c r="A128" s="22"/>
      <c r="B128" s="16"/>
      <c r="C128" s="26"/>
      <c r="D128" s="26"/>
      <c r="E128" s="26" t="str">
        <f>+E$13</f>
        <v>RT{1}</v>
      </c>
      <c r="F128" s="26" t="str">
        <f>+F$13</f>
        <v>RS{2}</v>
      </c>
      <c r="G128" s="26" t="str">
        <f>+G$13</f>
        <v>GS{3}</v>
      </c>
      <c r="H128" s="26" t="str">
        <f>+H$58</f>
        <v>GST {4}</v>
      </c>
      <c r="I128" s="26" t="str">
        <f>+I$13</f>
        <v>OL/SL</v>
      </c>
      <c r="J128" s="26" t="s">
        <v>13</v>
      </c>
      <c r="K128" s="26"/>
      <c r="L128" s="26"/>
      <c r="M128" s="44"/>
      <c r="N128" s="47"/>
      <c r="O128" s="47"/>
      <c r="P128" s="47"/>
      <c r="Q128" s="47"/>
      <c r="R128" s="47"/>
      <c r="S128" s="47"/>
      <c r="T128" s="47"/>
      <c r="U128" s="47"/>
      <c r="V128" s="47"/>
    </row>
    <row r="129" spans="1:22" x14ac:dyDescent="0.25">
      <c r="A129" s="22"/>
      <c r="C129" s="81"/>
      <c r="M129" s="483"/>
      <c r="N129" s="47"/>
      <c r="O129" s="47"/>
      <c r="P129" s="47"/>
      <c r="Q129" s="47"/>
      <c r="R129" s="47"/>
      <c r="S129" s="484"/>
      <c r="T129" s="47"/>
      <c r="U129" s="47"/>
      <c r="V129" s="47"/>
    </row>
    <row r="130" spans="1:22" x14ac:dyDescent="0.25">
      <c r="A130" s="22"/>
      <c r="B130" s="28" t="s">
        <v>17</v>
      </c>
      <c r="C130" s="76"/>
      <c r="D130" s="76"/>
      <c r="E130" s="76">
        <f>SUM(E65:E68)*E112/1000</f>
        <v>4706.2586690557246</v>
      </c>
      <c r="F130" s="76">
        <f>SUM(F65:F68)*F112/1000</f>
        <v>214216.13186766417</v>
      </c>
      <c r="G130" s="76">
        <f>SUM(G65:G68)*G112/1000</f>
        <v>133969.80932433828</v>
      </c>
      <c r="H130" s="76">
        <f>SUM(H65:H68)*H112/1000</f>
        <v>2180.4731871753029</v>
      </c>
      <c r="I130" s="76">
        <f>SUM(I65:I68)*I112/1000</f>
        <v>1966.0002397412647</v>
      </c>
      <c r="J130" s="76">
        <f>SUM(E130:I130)</f>
        <v>357038.67328797473</v>
      </c>
      <c r="K130" s="76"/>
      <c r="L130" s="76"/>
      <c r="M130" s="44"/>
      <c r="N130" s="478"/>
      <c r="O130" s="47"/>
      <c r="P130" s="131"/>
      <c r="Q130" s="47"/>
      <c r="R130" s="47"/>
      <c r="S130" s="47"/>
      <c r="T130" s="47"/>
      <c r="U130" s="47"/>
      <c r="V130" s="47"/>
    </row>
    <row r="131" spans="1:22" x14ac:dyDescent="0.25">
      <c r="A131" s="22"/>
      <c r="B131" s="77" t="s">
        <v>41</v>
      </c>
      <c r="C131" s="76"/>
      <c r="D131" s="76"/>
      <c r="E131" s="76">
        <f>SUMPRODUCT(E65:E68,E20:E23)*E113/1000</f>
        <v>2977.4894332401186</v>
      </c>
      <c r="F131" s="76">
        <f>SUMPRODUCT(F65:F68,F20:F23)*F113/1000</f>
        <v>135979.76142744898</v>
      </c>
      <c r="G131" s="76">
        <f>SUMPRODUCT(G65:G68,G20:G23)*G113/1000</f>
        <v>93712.563127060028</v>
      </c>
      <c r="H131" s="76">
        <f>SUMPRODUCT(H65:H68,H20:H23)*H113/1000</f>
        <v>1516.4073426365496</v>
      </c>
      <c r="I131" s="76">
        <f>SUMPRODUCT(I65:I68,I20:I23)*I113/1000</f>
        <v>669.87031150936639</v>
      </c>
      <c r="J131" s="76">
        <f>SUM(E131:I131)</f>
        <v>234856.09164189501</v>
      </c>
      <c r="K131" s="76"/>
      <c r="L131" s="76"/>
      <c r="M131" s="47"/>
      <c r="N131" s="47"/>
      <c r="O131" s="47"/>
      <c r="P131" s="47"/>
      <c r="Q131" s="47"/>
      <c r="R131" s="114"/>
      <c r="S131" s="479"/>
      <c r="T131" s="47"/>
      <c r="U131" s="47"/>
      <c r="V131" s="47"/>
    </row>
    <row r="132" spans="1:22" x14ac:dyDescent="0.25">
      <c r="A132" s="22"/>
      <c r="B132" s="77" t="s">
        <v>42</v>
      </c>
      <c r="C132" s="76"/>
      <c r="D132" s="76"/>
      <c r="E132" s="76">
        <f>SUMPRODUCT(E65:E68,Q20:Q23)*E114/1000</f>
        <v>1728.7692358156066</v>
      </c>
      <c r="F132" s="76">
        <f>SUMPRODUCT(F65:F68,R20:R23)*F114/1000</f>
        <v>78236.370440215163</v>
      </c>
      <c r="G132" s="76">
        <f>SUMPRODUCT(G65:G68,S20:S23)*G114/1000</f>
        <v>40257.246197278262</v>
      </c>
      <c r="H132" s="76">
        <f>SUMPRODUCT(H65:H68,T20:T23)*H114/1000</f>
        <v>664.0658445387528</v>
      </c>
      <c r="I132" s="76">
        <f>SUMPRODUCT(I65:I68,U20:U23)*I114/1000</f>
        <v>1296.1299282318985</v>
      </c>
      <c r="J132" s="76">
        <f>SUM(E132:I132)</f>
        <v>122182.58164607968</v>
      </c>
      <c r="K132" s="76"/>
      <c r="L132" s="76"/>
      <c r="M132" s="482"/>
      <c r="N132" s="47"/>
      <c r="O132" s="47"/>
      <c r="P132" s="47"/>
      <c r="Q132" s="47"/>
      <c r="R132" s="47"/>
      <c r="S132" s="47"/>
      <c r="T132" s="47"/>
      <c r="U132" s="47"/>
      <c r="V132" s="47"/>
    </row>
    <row r="133" spans="1:22" x14ac:dyDescent="0.25">
      <c r="A133" s="22"/>
      <c r="C133" s="82"/>
      <c r="D133" s="82"/>
      <c r="E133" s="82"/>
      <c r="F133" s="82"/>
      <c r="G133" s="82"/>
      <c r="H133" s="82"/>
      <c r="I133" s="82"/>
      <c r="J133" s="76"/>
      <c r="K133" s="82"/>
      <c r="L133" s="82"/>
      <c r="M133" s="483"/>
      <c r="N133" s="47"/>
      <c r="O133" s="47"/>
      <c r="P133" s="47"/>
      <c r="Q133" s="47"/>
      <c r="R133" s="47"/>
      <c r="S133" s="484"/>
      <c r="T133" s="47"/>
      <c r="U133" s="47"/>
      <c r="V133" s="47"/>
    </row>
    <row r="134" spans="1:22" x14ac:dyDescent="0.25">
      <c r="A134" s="22"/>
      <c r="B134" s="28" t="s">
        <v>18</v>
      </c>
      <c r="C134" s="82"/>
      <c r="D134" s="82"/>
      <c r="E134" s="82">
        <f>SUM(E60:E64,E69:E71)*E116/1000</f>
        <v>9266.7250199921582</v>
      </c>
      <c r="F134" s="82">
        <f>SUM(F60:F64,F69:F71)*F116/1000</f>
        <v>280551.32073704957</v>
      </c>
      <c r="G134" s="82">
        <f>SUM(G60:G64,G69:G71)*G116/1000</f>
        <v>215469.76594481364</v>
      </c>
      <c r="H134" s="82">
        <f>SUM(H60:H64,H69:H71)*H116/1000</f>
        <v>4266.9323283002313</v>
      </c>
      <c r="I134" s="82">
        <f>SUM(I60:I64,I69:I71)*I116/1000</f>
        <v>3891.4408850259761</v>
      </c>
      <c r="J134" s="76">
        <f>SUM(E134:I134)</f>
        <v>513446.1849151816</v>
      </c>
      <c r="K134" s="82"/>
      <c r="L134" s="82"/>
      <c r="M134" s="44"/>
      <c r="N134" s="478"/>
      <c r="O134" s="47"/>
      <c r="P134" s="131"/>
      <c r="Q134" s="47"/>
      <c r="R134" s="47"/>
      <c r="S134" s="47"/>
      <c r="T134" s="47"/>
      <c r="U134" s="47"/>
      <c r="V134" s="47"/>
    </row>
    <row r="135" spans="1:22" x14ac:dyDescent="0.25">
      <c r="A135" s="22"/>
      <c r="B135" s="77" t="s">
        <v>41</v>
      </c>
      <c r="C135" s="76"/>
      <c r="D135" s="76"/>
      <c r="E135" s="76">
        <f>(SUMPRODUCT(E60:E64,E15:E19)+SUMPRODUCT(E69:E71,E24:E26))*E117/1000</f>
        <v>5300.2902542361526</v>
      </c>
      <c r="F135" s="76">
        <f>(SUMPRODUCT(F60:F64,F15:F19)+SUMPRODUCT(F69:F71,F24:F26))*F117/1000</f>
        <v>166470.62917024113</v>
      </c>
      <c r="G135" s="76">
        <f>(SUMPRODUCT(G60:G64,G15:G19)+SUMPRODUCT(G69:G71,G24:G26))*G117/1000</f>
        <v>143726.50079089706</v>
      </c>
      <c r="H135" s="76">
        <f>(SUMPRODUCT(H60:H64,H15:H19)+SUMPRODUCT(H69:H71,H24:H26))*H117/1000</f>
        <v>2757.1687032598688</v>
      </c>
      <c r="I135" s="76">
        <f>(SUMPRODUCT(I60:I64,I15:I19)+SUMPRODUCT(I69:I71,I24:I26))*I117/1000</f>
        <v>1485.3038684206599</v>
      </c>
      <c r="J135" s="76">
        <f>SUM(E135:I135)</f>
        <v>319739.89278705482</v>
      </c>
      <c r="K135" s="76"/>
      <c r="L135" s="76"/>
      <c r="M135" s="47"/>
      <c r="N135" s="47"/>
      <c r="O135" s="47"/>
      <c r="P135" s="397"/>
      <c r="Q135" s="47"/>
      <c r="R135" s="114"/>
      <c r="S135" s="479"/>
      <c r="T135" s="47"/>
      <c r="U135" s="47"/>
      <c r="V135" s="47"/>
    </row>
    <row r="136" spans="1:22" x14ac:dyDescent="0.25">
      <c r="A136" s="22"/>
      <c r="B136" s="77" t="s">
        <v>42</v>
      </c>
      <c r="C136" s="76"/>
      <c r="D136" s="76"/>
      <c r="E136" s="76">
        <f>+(SUMPRODUCT(E60:E64,Q15:Q19)+SUMPRODUCT(E69:E71,Q24:Q26))*E118/1000</f>
        <v>3966.4347657560056</v>
      </c>
      <c r="F136" s="76">
        <f>+(SUMPRODUCT(F60:F64,R15:R19)+SUMPRODUCT(F69:F71,R24:R26))*F118/1000</f>
        <v>114080.69156680851</v>
      </c>
      <c r="G136" s="76">
        <f>+(SUMPRODUCT(G60:G64,S15:S19)+SUMPRODUCT(G69:G71,S24:S26))*G118/1000</f>
        <v>71743.265153916553</v>
      </c>
      <c r="H136" s="76">
        <f>+(SUMPRODUCT(H60:H64,T15:T19)+SUMPRODUCT(H69:H71,T24:T26))*H118/1000</f>
        <v>1509.7636250403621</v>
      </c>
      <c r="I136" s="76">
        <f>+(SUMPRODUCT(I60:I64,U15:U19)+SUMPRODUCT(I69:I71,U24:U26))*I118/1000</f>
        <v>2406.1370166053166</v>
      </c>
      <c r="J136" s="76">
        <f>SUM(E136:I136)</f>
        <v>193706.29212812675</v>
      </c>
      <c r="K136" s="76"/>
      <c r="L136" s="76"/>
      <c r="M136" s="482"/>
      <c r="N136" s="47"/>
      <c r="O136" s="47"/>
      <c r="P136" s="47"/>
      <c r="Q136" s="47"/>
      <c r="R136" s="47"/>
      <c r="S136" s="47"/>
      <c r="T136" s="47"/>
      <c r="U136" s="47"/>
      <c r="V136" s="47"/>
    </row>
    <row r="137" spans="1:22" x14ac:dyDescent="0.25">
      <c r="A137" s="22"/>
      <c r="C137" s="142"/>
      <c r="D137" s="142"/>
      <c r="E137" s="142"/>
      <c r="F137" s="142"/>
      <c r="G137" s="142"/>
      <c r="H137" s="142"/>
      <c r="I137" s="142"/>
      <c r="J137" s="76"/>
      <c r="K137" s="142"/>
      <c r="L137" s="142"/>
      <c r="M137" s="483"/>
      <c r="N137" s="47"/>
      <c r="O137" s="47"/>
      <c r="P137" s="47"/>
      <c r="Q137" s="47"/>
      <c r="R137" s="47"/>
      <c r="S137" s="484"/>
      <c r="T137" s="47"/>
      <c r="U137" s="47"/>
      <c r="V137" s="47"/>
    </row>
    <row r="138" spans="1:22" x14ac:dyDescent="0.25">
      <c r="A138" s="22"/>
      <c r="B138" s="13" t="s">
        <v>16</v>
      </c>
      <c r="C138" s="82"/>
      <c r="D138" s="82"/>
      <c r="E138" s="82">
        <f>+E130+E134</f>
        <v>13972.983689047884</v>
      </c>
      <c r="F138" s="82">
        <f>+F130+F134</f>
        <v>494767.45260471373</v>
      </c>
      <c r="G138" s="82">
        <f>+G130+G134</f>
        <v>349439.57526915194</v>
      </c>
      <c r="H138" s="82">
        <f>+H130+H134</f>
        <v>6447.4055154755342</v>
      </c>
      <c r="I138" s="82">
        <f>+I130+I134</f>
        <v>5857.4411247672406</v>
      </c>
      <c r="J138" s="76">
        <f>SUM(E138:I138)</f>
        <v>870484.85820315639</v>
      </c>
      <c r="K138" s="82"/>
      <c r="L138" s="82"/>
      <c r="M138" s="44"/>
      <c r="N138" s="478"/>
      <c r="O138" s="47"/>
      <c r="P138" s="131"/>
      <c r="Q138" s="47"/>
      <c r="R138" s="47"/>
      <c r="S138" s="47"/>
      <c r="T138" s="47"/>
      <c r="U138" s="47"/>
      <c r="V138" s="47"/>
    </row>
    <row r="139" spans="1:22" x14ac:dyDescent="0.25">
      <c r="A139" s="22"/>
      <c r="M139" s="47"/>
      <c r="N139" s="47"/>
      <c r="O139" s="47"/>
      <c r="P139" s="397"/>
      <c r="Q139" s="47"/>
      <c r="R139" s="114"/>
      <c r="S139" s="479"/>
      <c r="T139" s="47"/>
      <c r="U139" s="47"/>
      <c r="V139" s="47"/>
    </row>
    <row r="140" spans="1:22" x14ac:dyDescent="0.25">
      <c r="A140" s="22"/>
      <c r="B140" s="13" t="s">
        <v>44</v>
      </c>
      <c r="C140" s="76">
        <f>SUM(C138:I138)</f>
        <v>870484.85820315639</v>
      </c>
      <c r="E140" s="83"/>
      <c r="F140" s="74"/>
      <c r="M140" s="47"/>
      <c r="N140" s="47"/>
      <c r="O140" s="47"/>
      <c r="P140" s="47"/>
      <c r="Q140" s="47"/>
      <c r="R140" s="47"/>
      <c r="S140" s="47"/>
      <c r="T140" s="47"/>
      <c r="U140" s="47"/>
      <c r="V140" s="47"/>
    </row>
    <row r="141" spans="1:22" x14ac:dyDescent="0.25">
      <c r="A141" s="22"/>
      <c r="M141" s="47"/>
      <c r="N141" s="47"/>
      <c r="O141" s="47"/>
      <c r="P141" s="47"/>
      <c r="Q141" s="47"/>
      <c r="R141" s="47"/>
      <c r="S141" s="47"/>
      <c r="T141" s="47"/>
      <c r="U141" s="47"/>
      <c r="V141" s="47"/>
    </row>
    <row r="142" spans="1:22" x14ac:dyDescent="0.25">
      <c r="A142" s="22"/>
    </row>
    <row r="143" spans="1:22" ht="15.6" x14ac:dyDescent="0.3">
      <c r="A143" s="22"/>
      <c r="B143" s="519" t="str">
        <f>$B$1</f>
        <v xml:space="preserve">Jersey Central Power &amp; Light </v>
      </c>
      <c r="C143" s="519"/>
      <c r="D143" s="519"/>
      <c r="E143" s="519"/>
      <c r="F143" s="519"/>
      <c r="G143" s="519"/>
      <c r="H143" s="519"/>
      <c r="I143" s="519"/>
      <c r="J143" s="519"/>
      <c r="K143" s="519"/>
      <c r="L143" s="519"/>
    </row>
    <row r="144" spans="1:22" ht="15.6" x14ac:dyDescent="0.3">
      <c r="A144" s="22"/>
      <c r="B144" s="519" t="str">
        <f>$B$2</f>
        <v>Attachment 2</v>
      </c>
      <c r="C144" s="519"/>
      <c r="D144" s="519"/>
      <c r="E144" s="519"/>
      <c r="F144" s="519"/>
      <c r="G144" s="519"/>
      <c r="H144" s="519"/>
      <c r="I144" s="519"/>
      <c r="J144" s="519"/>
      <c r="K144" s="519"/>
      <c r="L144" s="519"/>
    </row>
    <row r="145" spans="1:51" x14ac:dyDescent="0.25">
      <c r="A145" s="22"/>
    </row>
    <row r="146" spans="1:51" x14ac:dyDescent="0.25">
      <c r="A146" s="22"/>
    </row>
    <row r="147" spans="1:51" x14ac:dyDescent="0.25">
      <c r="A147" s="18" t="s">
        <v>70</v>
      </c>
      <c r="B147" s="16" t="s">
        <v>71</v>
      </c>
      <c r="C147" s="78"/>
      <c r="Q147" s="13" t="s">
        <v>126</v>
      </c>
      <c r="T147" s="13" t="s">
        <v>122</v>
      </c>
      <c r="W147" s="13" t="s">
        <v>123</v>
      </c>
      <c r="Z147" s="13" t="s">
        <v>124</v>
      </c>
    </row>
    <row r="148" spans="1:51" x14ac:dyDescent="0.25">
      <c r="A148" s="22"/>
      <c r="B148" s="17" t="s">
        <v>173</v>
      </c>
      <c r="C148" s="78"/>
      <c r="W148" s="13" t="s">
        <v>127</v>
      </c>
      <c r="Z148" s="13" t="s">
        <v>128</v>
      </c>
      <c r="AC148" s="13" t="s">
        <v>125</v>
      </c>
    </row>
    <row r="149" spans="1:51" x14ac:dyDescent="0.25">
      <c r="A149" s="22"/>
      <c r="B149" s="17" t="s">
        <v>21</v>
      </c>
      <c r="C149" s="78"/>
    </row>
    <row r="150" spans="1:51" x14ac:dyDescent="0.25">
      <c r="A150" s="22"/>
      <c r="B150" s="16"/>
      <c r="C150" s="26"/>
      <c r="D150" s="26"/>
      <c r="E150" s="26" t="str">
        <f>+E$13</f>
        <v>RT{1}</v>
      </c>
      <c r="F150" s="26" t="str">
        <f>+F$13</f>
        <v>RS{2}</v>
      </c>
      <c r="G150" s="26" t="str">
        <f>+G$13</f>
        <v>GS{3}</v>
      </c>
      <c r="H150" s="26" t="str">
        <f>+H$58</f>
        <v>GST {4}</v>
      </c>
      <c r="I150" s="26" t="str">
        <f>+I$13</f>
        <v>OL/SL</v>
      </c>
      <c r="J150" s="26"/>
      <c r="K150" s="26"/>
      <c r="L150" s="26"/>
      <c r="M150" s="26"/>
      <c r="Q150" s="26" t="str">
        <f>+$H150</f>
        <v>GST {4}</v>
      </c>
      <c r="R150" s="26"/>
      <c r="S150" s="26"/>
      <c r="T150" s="26" t="str">
        <f>+$H150</f>
        <v>GST {4}</v>
      </c>
      <c r="U150" s="26"/>
      <c r="V150" s="26"/>
      <c r="W150" s="26" t="str">
        <f>+$H150</f>
        <v>GST {4}</v>
      </c>
      <c r="X150" s="26"/>
      <c r="Z150" s="26" t="str">
        <f>+$H150</f>
        <v>GST {4}</v>
      </c>
      <c r="AA150" s="26"/>
      <c r="AC150" s="26" t="str">
        <f>+$H150</f>
        <v>GST {4}</v>
      </c>
      <c r="AD150" s="26"/>
      <c r="AU150" s="26" t="str">
        <f>+E$13</f>
        <v>RT{1}</v>
      </c>
      <c r="AV150" s="26" t="str">
        <f>+F$13</f>
        <v>RS{2}</v>
      </c>
      <c r="AW150" s="26" t="str">
        <f>+G$13</f>
        <v>GS{3}</v>
      </c>
      <c r="AX150" s="26" t="str">
        <f>+H$13</f>
        <v>GST</v>
      </c>
      <c r="AY150" s="26" t="str">
        <f>+I$13</f>
        <v>OL/SL</v>
      </c>
    </row>
    <row r="151" spans="1:51" x14ac:dyDescent="0.25">
      <c r="A151" s="22"/>
      <c r="C151" s="81"/>
    </row>
    <row r="152" spans="1:51" x14ac:dyDescent="0.25">
      <c r="A152" s="22"/>
      <c r="B152" s="28" t="s">
        <v>17</v>
      </c>
      <c r="C152" s="80"/>
      <c r="D152" s="80"/>
      <c r="E152" s="75">
        <f>+E130/SUM(E65:E68)*1000</f>
        <v>59.683195133483714</v>
      </c>
      <c r="F152" s="75">
        <f>+F130/SUM(F65:F68)*1000</f>
        <v>59.883276063942297</v>
      </c>
      <c r="G152" s="75">
        <f>+G130/SUM(G65:G68)*1000</f>
        <v>61.568988581589608</v>
      </c>
      <c r="H152" s="75">
        <f>+H130/SUM(H65:H68)*1000</f>
        <v>62.441958395627232</v>
      </c>
      <c r="I152" s="75">
        <f>+I130/SUM(I65:I68)*1000</f>
        <v>51.634937353677344</v>
      </c>
      <c r="J152" s="80"/>
      <c r="K152" s="80"/>
      <c r="L152" s="80"/>
      <c r="M152" s="80"/>
      <c r="P152" s="133" t="s">
        <v>25</v>
      </c>
      <c r="AU152" s="55">
        <f>SUM(E67:E68)</f>
        <v>41404</v>
      </c>
      <c r="AV152" s="55">
        <f>SUM(F67:F68)</f>
        <v>1934719</v>
      </c>
      <c r="AW152" s="55">
        <f>SUM(G67:G68)</f>
        <v>1111729</v>
      </c>
      <c r="AX152" s="55">
        <f>SUM(H67:H68)</f>
        <v>16055</v>
      </c>
      <c r="AY152" s="55">
        <f>SUM(I67:I68)</f>
        <v>19027</v>
      </c>
    </row>
    <row r="153" spans="1:51" x14ac:dyDescent="0.25">
      <c r="A153" s="22"/>
      <c r="B153" s="77" t="s">
        <v>72</v>
      </c>
      <c r="C153" s="76"/>
      <c r="D153" s="76"/>
      <c r="E153" s="75">
        <f>+(E131*1000-X165*AVERAGE(E$113,E$114))/R165</f>
        <v>77.338178945904176</v>
      </c>
      <c r="F153" s="75"/>
      <c r="G153" s="75"/>
      <c r="H153" s="75">
        <f>+(H131*1000-W153*AVERAGE(H$113,H$114))/Q153</f>
        <v>77.959021725867416</v>
      </c>
      <c r="I153" s="75"/>
      <c r="J153" s="76"/>
      <c r="K153" s="76"/>
      <c r="L153" s="80"/>
      <c r="M153" s="80"/>
      <c r="P153" s="13" t="s">
        <v>14</v>
      </c>
      <c r="Q153" s="55">
        <f>T65</f>
        <v>16257.8182</v>
      </c>
      <c r="R153" s="55"/>
      <c r="T153" s="55">
        <f>T76</f>
        <v>20404.939000000002</v>
      </c>
      <c r="U153" s="55"/>
      <c r="W153" s="55">
        <f>+T153-Q153</f>
        <v>4147.1208000000024</v>
      </c>
      <c r="X153" s="55"/>
      <c r="Z153" s="144">
        <f>+H153*Q153/1000</f>
        <v>1267.4436022690027</v>
      </c>
      <c r="AA153" s="144"/>
      <c r="AX153" s="55">
        <f>ROUND(SUMPRODUCT(H65:H68,H38:H41),0)</f>
        <v>16258</v>
      </c>
    </row>
    <row r="154" spans="1:51" ht="15" x14ac:dyDescent="0.4">
      <c r="A154" s="22"/>
      <c r="B154" s="77" t="s">
        <v>73</v>
      </c>
      <c r="C154" s="76"/>
      <c r="D154" s="76"/>
      <c r="E154" s="75">
        <f>+(E132*1000-X166*AVERAGE(E$113,E$114))/R166</f>
        <v>47.661633388936153</v>
      </c>
      <c r="F154" s="75"/>
      <c r="G154" s="75"/>
      <c r="H154" s="75">
        <f>+(H132*1000-W154*AVERAGE(H$113,H$114))/Q154</f>
        <v>48.924053719501309</v>
      </c>
      <c r="I154" s="75"/>
      <c r="J154" s="76"/>
      <c r="K154" s="76"/>
      <c r="L154" s="80"/>
      <c r="M154" s="80"/>
      <c r="P154" s="13" t="s">
        <v>15</v>
      </c>
      <c r="Q154" s="55">
        <f>T66</f>
        <v>18662.181799999998</v>
      </c>
      <c r="R154" s="55"/>
      <c r="T154" s="55">
        <f>T77</f>
        <v>14515.060999999998</v>
      </c>
      <c r="U154" s="55"/>
      <c r="W154" s="55">
        <f>+T154-Q154</f>
        <v>-4147.1208000000006</v>
      </c>
      <c r="X154" s="55"/>
      <c r="Z154" s="85">
        <f>+H154*Q154/1000</f>
        <v>913.02958490629965</v>
      </c>
      <c r="AA154" s="85"/>
      <c r="AX154" s="55">
        <f>AX152-AX153</f>
        <v>-203</v>
      </c>
    </row>
    <row r="155" spans="1:51" x14ac:dyDescent="0.25">
      <c r="A155" s="22"/>
      <c r="C155" s="82"/>
      <c r="D155" s="82"/>
      <c r="E155" s="79"/>
      <c r="F155" s="79"/>
      <c r="G155" s="79"/>
      <c r="H155" s="79"/>
      <c r="I155" s="79"/>
      <c r="J155" s="82"/>
      <c r="K155" s="82"/>
      <c r="L155" s="82"/>
      <c r="M155" s="82"/>
      <c r="Q155" s="55"/>
      <c r="R155" s="55"/>
      <c r="T155" s="55"/>
      <c r="U155" s="55"/>
      <c r="W155" s="55"/>
      <c r="X155" s="55"/>
      <c r="Z155" s="144">
        <f>+Z154+Z153</f>
        <v>2180.4731871753024</v>
      </c>
      <c r="AA155" s="144"/>
      <c r="AC155" s="81">
        <f>+H130</f>
        <v>2180.4731871753029</v>
      </c>
      <c r="AD155" s="81"/>
    </row>
    <row r="156" spans="1:51" x14ac:dyDescent="0.25">
      <c r="A156" s="22"/>
      <c r="B156" s="28" t="s">
        <v>18</v>
      </c>
      <c r="C156" s="78"/>
      <c r="D156" s="78"/>
      <c r="E156" s="79">
        <f>+E134/SUM(E60:E64,E69:E71)*1000</f>
        <v>56.277252918051268</v>
      </c>
      <c r="F156" s="79">
        <f>+F134/SUM(F60:F64,F69:F71)*1000</f>
        <v>55.863047815606727</v>
      </c>
      <c r="G156" s="79">
        <f>+G134/SUM(G60:G64,G69:G71)*1000</f>
        <v>56.97811916862512</v>
      </c>
      <c r="H156" s="79">
        <f>+H134/SUM(H60:H64,H69:H71)*1000</f>
        <v>57.203618729893705</v>
      </c>
      <c r="I156" s="79">
        <f>+I134/SUM(I60:I64,I69:I71)*1000</f>
        <v>51.059397027133805</v>
      </c>
      <c r="J156" s="78"/>
      <c r="K156" s="78"/>
      <c r="L156" s="78"/>
      <c r="M156" s="78"/>
      <c r="P156" s="133" t="s">
        <v>26</v>
      </c>
      <c r="Q156" s="55"/>
      <c r="R156" s="55"/>
      <c r="T156" s="55"/>
      <c r="U156" s="55"/>
      <c r="W156" s="55"/>
      <c r="X156" s="55"/>
      <c r="Z156" s="144"/>
      <c r="AA156" s="144"/>
      <c r="AC156" s="81"/>
      <c r="AU156" s="55">
        <f>E72-AU152</f>
        <v>202112</v>
      </c>
      <c r="AV156" s="55">
        <f>F72-AV152</f>
        <v>6664636</v>
      </c>
      <c r="AW156" s="55">
        <f>G72-AW152</f>
        <v>4845824</v>
      </c>
      <c r="AX156" s="55">
        <f>H72-AX152</f>
        <v>93457</v>
      </c>
      <c r="AY156" s="55">
        <f>I72-AY152</f>
        <v>95262</v>
      </c>
    </row>
    <row r="157" spans="1:51" x14ac:dyDescent="0.25">
      <c r="A157" s="22"/>
      <c r="B157" s="77" t="s">
        <v>72</v>
      </c>
      <c r="C157" s="76"/>
      <c r="D157" s="76"/>
      <c r="E157" s="75">
        <f>+(E135*1000-X170*AVERAGE(E$113,E$114))/R170</f>
        <v>69.100334244491933</v>
      </c>
      <c r="F157" s="75"/>
      <c r="G157" s="75"/>
      <c r="H157" s="75">
        <f>+(H135*1000-W157*AVERAGE(H$117,H$118))/Q157</f>
        <v>68.31369576688364</v>
      </c>
      <c r="I157" s="75"/>
      <c r="J157" s="76"/>
      <c r="K157" s="76"/>
      <c r="L157" s="80"/>
      <c r="M157" s="80"/>
      <c r="P157" s="13" t="s">
        <v>14</v>
      </c>
      <c r="Q157" s="55">
        <f>T61</f>
        <v>32710.3141</v>
      </c>
      <c r="R157" s="55"/>
      <c r="T157" s="55">
        <f>T72</f>
        <v>42045.592999999993</v>
      </c>
      <c r="U157" s="55"/>
      <c r="W157" s="55">
        <f>+T157-Q157</f>
        <v>9335.2788999999939</v>
      </c>
      <c r="X157" s="55"/>
      <c r="Z157" s="144">
        <f>+H157*Q157/1000</f>
        <v>2234.5624458666043</v>
      </c>
      <c r="AA157" s="144"/>
      <c r="AC157" s="81"/>
      <c r="AX157" s="55">
        <f>ROUND(SUMPRODUCT(H33:H37,H60:H64)+SUMPRODUCT(H42:H44,H69:H71),0)</f>
        <v>32710</v>
      </c>
    </row>
    <row r="158" spans="1:51" ht="15" x14ac:dyDescent="0.4">
      <c r="A158" s="22"/>
      <c r="B158" s="77" t="s">
        <v>73</v>
      </c>
      <c r="C158" s="76"/>
      <c r="D158" s="76"/>
      <c r="E158" s="75">
        <f>+(E136*1000-X171*AVERAGE(E$113,E$114))/R171</f>
        <v>49.268456722147327</v>
      </c>
      <c r="F158" s="75"/>
      <c r="G158" s="75"/>
      <c r="H158" s="75">
        <f>+(H136*1000-W158*AVERAGE(H$117,H$118))/Q158</f>
        <v>48.526458254003252</v>
      </c>
      <c r="I158" s="75"/>
      <c r="J158" s="76"/>
      <c r="K158" s="76"/>
      <c r="L158" s="80"/>
      <c r="M158" s="80"/>
      <c r="P158" s="13" t="s">
        <v>15</v>
      </c>
      <c r="Q158" s="55">
        <f>T62</f>
        <v>41881.685899999997</v>
      </c>
      <c r="R158" s="55"/>
      <c r="T158" s="55">
        <f>T73</f>
        <v>32546.407000000007</v>
      </c>
      <c r="U158" s="55"/>
      <c r="W158" s="55">
        <f>+T158-Q158</f>
        <v>-9335.2788999999902</v>
      </c>
      <c r="X158" s="55"/>
      <c r="Z158" s="85">
        <f>+H158*Q158/1000</f>
        <v>2032.3698824336266</v>
      </c>
      <c r="AA158" s="85"/>
      <c r="AC158" s="81"/>
      <c r="AX158" s="55">
        <f>AX156-AX157</f>
        <v>60747</v>
      </c>
    </row>
    <row r="159" spans="1:51" x14ac:dyDescent="0.25">
      <c r="A159" s="22"/>
      <c r="C159" s="142"/>
      <c r="D159" s="142"/>
      <c r="E159" s="143"/>
      <c r="F159" s="143"/>
      <c r="G159" s="143"/>
      <c r="H159" s="143"/>
      <c r="I159" s="143"/>
      <c r="J159" s="142"/>
      <c r="K159" s="142"/>
      <c r="L159" s="142"/>
      <c r="M159" s="142"/>
      <c r="Z159" s="144">
        <f>+Z158+Z157</f>
        <v>4266.9323283002304</v>
      </c>
      <c r="AA159" s="144"/>
      <c r="AC159" s="81">
        <f>+H134</f>
        <v>4266.9323283002313</v>
      </c>
      <c r="AD159" s="81"/>
    </row>
    <row r="160" spans="1:51" x14ac:dyDescent="0.25">
      <c r="A160" s="22"/>
      <c r="B160" s="13" t="s">
        <v>74</v>
      </c>
      <c r="C160" s="74"/>
      <c r="D160" s="74"/>
      <c r="E160" s="75">
        <f>(E152*SUM(E65:E68)+E156*SUM(E60:E64,E69:E71))/E72</f>
        <v>57.3801462287812</v>
      </c>
      <c r="F160" s="75">
        <f>(F152*SUM(F65:F68)+F156*SUM(F60:F64,F69:F71))/F72</f>
        <v>57.53541429615521</v>
      </c>
      <c r="G160" s="75">
        <f>(G152*SUM(G65:G68)+G156*SUM(G60:G64,G69:G71))/G72</f>
        <v>58.654883182600628</v>
      </c>
      <c r="H160" s="75">
        <f>(H152*SUM(H65:H68)+H156*SUM(H60:H64,H69:H71))/H72</f>
        <v>58.873963725213073</v>
      </c>
      <c r="I160" s="75">
        <f>(I152*SUM(I65:I68)+I156*SUM(I60:I64,I69:I71))/I72</f>
        <v>51.251136371542671</v>
      </c>
      <c r="J160" s="74"/>
      <c r="K160" s="74"/>
      <c r="L160" s="74"/>
      <c r="M160" s="74"/>
      <c r="AU160" s="55">
        <f>E72</f>
        <v>243516</v>
      </c>
      <c r="AV160" s="55">
        <f>F72</f>
        <v>8599355</v>
      </c>
      <c r="AW160" s="55">
        <f>G72</f>
        <v>5957553</v>
      </c>
      <c r="AX160" s="55">
        <f>H72</f>
        <v>109512</v>
      </c>
      <c r="AY160" s="55">
        <f>I72</f>
        <v>114289</v>
      </c>
    </row>
    <row r="161" spans="1:51" x14ac:dyDescent="0.25">
      <c r="A161" s="22"/>
      <c r="B161" s="13" t="s">
        <v>75</v>
      </c>
      <c r="C161" s="80">
        <f>+C140/SUM(C72:I72)*1000</f>
        <v>57.938752794447396</v>
      </c>
    </row>
    <row r="162" spans="1:51" x14ac:dyDescent="0.25">
      <c r="A162" s="22"/>
      <c r="Q162" s="26" t="str">
        <f>+$E150</f>
        <v>RT{1}</v>
      </c>
      <c r="R162" s="26"/>
      <c r="S162" s="26"/>
      <c r="T162" s="26" t="str">
        <f>+$E150</f>
        <v>RT{1}</v>
      </c>
      <c r="U162" s="26"/>
      <c r="V162" s="26"/>
      <c r="W162" s="26" t="str">
        <f>+$E150</f>
        <v>RT{1}</v>
      </c>
      <c r="X162" s="26"/>
      <c r="Z162" s="26" t="str">
        <f>+$E150</f>
        <v>RT{1}</v>
      </c>
      <c r="AA162" s="26"/>
      <c r="AC162" s="26" t="str">
        <f>+$E150</f>
        <v>RT{1}</v>
      </c>
    </row>
    <row r="163" spans="1:51" x14ac:dyDescent="0.25">
      <c r="A163" s="22"/>
    </row>
    <row r="164" spans="1:51" x14ac:dyDescent="0.25">
      <c r="A164" s="18" t="s">
        <v>76</v>
      </c>
      <c r="B164" s="16" t="s">
        <v>139</v>
      </c>
      <c r="P164" s="133" t="s">
        <v>25</v>
      </c>
      <c r="Q164" s="38" t="s">
        <v>196</v>
      </c>
      <c r="R164" s="38" t="s">
        <v>192</v>
      </c>
      <c r="T164" s="38" t="s">
        <v>196</v>
      </c>
      <c r="U164" s="38" t="s">
        <v>192</v>
      </c>
      <c r="W164" s="38" t="s">
        <v>196</v>
      </c>
      <c r="X164" s="38" t="s">
        <v>192</v>
      </c>
      <c r="Z164" s="38" t="s">
        <v>197</v>
      </c>
      <c r="AC164" s="38" t="s">
        <v>197</v>
      </c>
    </row>
    <row r="165" spans="1:51" x14ac:dyDescent="0.25">
      <c r="A165" s="22"/>
      <c r="B165" s="17" t="str">
        <f>'BGS PTY15 Cost Alloc'!$B$165</f>
        <v>obligations - annual average forecasted for 2017; costs are market estimates</v>
      </c>
      <c r="J165" s="26" t="s">
        <v>313</v>
      </c>
      <c r="P165" s="13" t="s">
        <v>14</v>
      </c>
      <c r="Q165" s="55">
        <f>SUMPRODUCT(E38:E41,M65:M68)</f>
        <v>31192.8747</v>
      </c>
      <c r="R165" s="55">
        <f>SUMPRODUCT(E38:E41,E65:E68)</f>
        <v>31943.312599999997</v>
      </c>
      <c r="T165" s="55">
        <f>Q76</f>
        <v>40495.8802</v>
      </c>
      <c r="U165" s="55">
        <f>T165-($Q$167*$Q165/($Q$165+$Q$166))</f>
        <v>39743.861451396144</v>
      </c>
      <c r="W165" s="55">
        <f>+T165-Q165</f>
        <v>9303.0054999999993</v>
      </c>
      <c r="X165" s="55">
        <f>-Q165+U165</f>
        <v>8550.9867513961435</v>
      </c>
      <c r="Z165" s="144">
        <f>+E153*Q165/1000</f>
        <v>2412.4001253857668</v>
      </c>
      <c r="AA165" s="144"/>
      <c r="AU165" s="82">
        <f>AU152*E152/1000</f>
        <v>2471.12301130676</v>
      </c>
      <c r="AV165" s="82">
        <f>AV152*F152/1000</f>
        <v>115857.31198315437</v>
      </c>
      <c r="AW165" s="82">
        <f>AW152*G152/1000</f>
        <v>68448.030106822029</v>
      </c>
      <c r="AX165" s="82">
        <f>AX152*H152/1000</f>
        <v>1002.5056420417952</v>
      </c>
      <c r="AY165" s="82">
        <f>AY152*I152/1000</f>
        <v>982.45795302841884</v>
      </c>
    </row>
    <row r="166" spans="1:51" ht="15" x14ac:dyDescent="0.4">
      <c r="A166" s="22"/>
      <c r="B166" s="17" t="s">
        <v>77</v>
      </c>
      <c r="C166" s="26"/>
      <c r="D166" s="26"/>
      <c r="E166" s="26" t="str">
        <f>+E$13</f>
        <v>RT{1}</v>
      </c>
      <c r="F166" s="26" t="str">
        <f>+F$13</f>
        <v>RS{2}</v>
      </c>
      <c r="G166" s="26" t="str">
        <f>+G$13</f>
        <v>GS{3}</v>
      </c>
      <c r="H166" s="26" t="str">
        <f>+H$58</f>
        <v>GST {4}</v>
      </c>
      <c r="I166" s="26" t="str">
        <f>+I$13</f>
        <v>OL/SL</v>
      </c>
      <c r="J166" s="26" t="s">
        <v>165</v>
      </c>
      <c r="K166" s="26"/>
      <c r="L166" s="26"/>
      <c r="M166" s="26"/>
      <c r="P166" s="13" t="s">
        <v>15</v>
      </c>
      <c r="Q166" s="55">
        <f>SUMPRODUCT(Q38:Q41,M65:M68)</f>
        <v>45805.125300000007</v>
      </c>
      <c r="R166" s="55">
        <f>SUMPRODUCT(Q38:Q41,E65:E68)</f>
        <v>46910.687400000003</v>
      </c>
      <c r="T166" s="55">
        <f>Q77</f>
        <v>38358.1198</v>
      </c>
      <c r="U166" s="55">
        <f>T166-($Q$167*$Q166/($Q$165+$Q$166))</f>
        <v>37253.819111492157</v>
      </c>
      <c r="W166" s="55">
        <f>+T166-Q166</f>
        <v>-7447.0055000000066</v>
      </c>
      <c r="X166" s="55">
        <f>-Q166+U166</f>
        <v>-8551.3061885078496</v>
      </c>
      <c r="Z166" s="144">
        <f>+E154*Q166/1000</f>
        <v>2183.1470893828846</v>
      </c>
      <c r="AA166" s="85"/>
      <c r="AU166" s="82"/>
      <c r="AV166" s="82"/>
      <c r="AW166" s="82"/>
      <c r="AX166" s="82">
        <f>AX153*H153/1000</f>
        <v>1267.4577752191524</v>
      </c>
      <c r="AY166" s="82"/>
    </row>
    <row r="167" spans="1:51" ht="15" x14ac:dyDescent="0.4">
      <c r="A167" s="22"/>
      <c r="P167" s="13" t="s">
        <v>191</v>
      </c>
      <c r="Q167" s="55">
        <f>SUM(W65:W68)/1000</f>
        <v>1856.3194371117004</v>
      </c>
      <c r="R167" s="55"/>
      <c r="T167" s="55">
        <v>0</v>
      </c>
      <c r="U167" s="55">
        <v>0</v>
      </c>
      <c r="W167" s="55">
        <f>+T167-Q167</f>
        <v>-1856.3194371117004</v>
      </c>
      <c r="X167" s="55"/>
      <c r="Z167" s="85">
        <f>+E152*Q167/1000</f>
        <v>110.79107519521627</v>
      </c>
      <c r="AU167" s="82"/>
      <c r="AV167" s="82"/>
      <c r="AW167" s="82"/>
      <c r="AX167" s="82">
        <f>AX154*H154/1000</f>
        <v>-9.9315829050587645</v>
      </c>
      <c r="AY167" s="82"/>
    </row>
    <row r="168" spans="1:51" x14ac:dyDescent="0.25">
      <c r="A168" s="22"/>
      <c r="B168" s="13" t="s">
        <v>78</v>
      </c>
      <c r="C168" s="87"/>
      <c r="D168" s="87"/>
      <c r="E168" s="87">
        <f>'BGS PTY15 Cost Alloc'!E168</f>
        <v>88.17</v>
      </c>
      <c r="F168" s="87">
        <f>'BGS PTY15 Cost Alloc'!F168</f>
        <v>2898.66</v>
      </c>
      <c r="G168" s="87">
        <f>'BGS PTY15 Cost Alloc'!G168</f>
        <v>1628.02</v>
      </c>
      <c r="H168" s="87">
        <f>'BGS PTY15 Cost Alloc'!H168</f>
        <v>32.1</v>
      </c>
      <c r="I168" s="87">
        <f>'BGS PTY15 Cost Alloc'!I168</f>
        <v>0.24</v>
      </c>
      <c r="J168" s="87">
        <f>SUM(E168:I168)</f>
        <v>4647.1900000000005</v>
      </c>
      <c r="K168" s="87"/>
      <c r="L168" s="87"/>
      <c r="M168" s="87"/>
      <c r="Z168" s="144">
        <f>SUM(Z165:Z167)</f>
        <v>4706.3382899638673</v>
      </c>
      <c r="AA168" s="144"/>
      <c r="AC168" s="81">
        <f>+E130</f>
        <v>4706.2586690557246</v>
      </c>
      <c r="AU168" s="82">
        <f>AU156*E156/1000</f>
        <v>11374.308141773177</v>
      </c>
      <c r="AV168" s="82">
        <f>AV156*F156/1000</f>
        <v>372306.87954161392</v>
      </c>
      <c r="AW168" s="82">
        <f>AW156*G156/1000</f>
        <v>276105.93734218366</v>
      </c>
      <c r="AX168" s="82">
        <f>AX156*H156/1000</f>
        <v>5346.0785956396758</v>
      </c>
      <c r="AY168" s="82">
        <f>AY156*I156/1000</f>
        <v>4864.0202795988207</v>
      </c>
    </row>
    <row r="169" spans="1:51" x14ac:dyDescent="0.25">
      <c r="A169" s="22"/>
      <c r="P169" s="133" t="s">
        <v>26</v>
      </c>
      <c r="Q169" s="55"/>
      <c r="R169" s="55"/>
      <c r="T169" s="55"/>
      <c r="U169" s="55"/>
      <c r="W169" s="55"/>
      <c r="X169" s="55"/>
      <c r="AU169" s="82"/>
      <c r="AV169" s="82"/>
      <c r="AW169" s="82"/>
      <c r="AX169" s="82">
        <f>AX157*H157/1000</f>
        <v>2234.540988534764</v>
      </c>
      <c r="AY169" s="82"/>
    </row>
    <row r="170" spans="1:51" x14ac:dyDescent="0.25">
      <c r="A170" s="22"/>
      <c r="B170" s="13" t="s">
        <v>79</v>
      </c>
      <c r="C170" s="88" t="s">
        <v>80</v>
      </c>
      <c r="D170" s="86"/>
      <c r="E170" s="67"/>
      <c r="F170" s="67"/>
      <c r="G170" s="67"/>
      <c r="H170" s="67"/>
      <c r="I170" s="67"/>
      <c r="J170" s="86"/>
      <c r="K170" s="86"/>
      <c r="L170" s="86"/>
      <c r="M170" s="86"/>
      <c r="P170" s="13" t="s">
        <v>14</v>
      </c>
      <c r="Q170" s="55">
        <f>SUMPRODUCT(E33:E37,M60:M64)+SUMPRODUCT(E42:E44,M69:M71)</f>
        <v>56845.5003</v>
      </c>
      <c r="R170" s="55">
        <f>SUMPRODUCT(E33:E37,E60:E64)+SUMPRODUCT(E42:E44,E69:E71)</f>
        <v>58194.747799999997</v>
      </c>
      <c r="T170" s="55">
        <f>Q72</f>
        <v>79760.139599999995</v>
      </c>
      <c r="U170" s="55">
        <f>T170-($Q$172*$Q170/($Q$170+$Q$171))</f>
        <v>78414.951988005327</v>
      </c>
      <c r="W170" s="55">
        <f>+T170-Q170</f>
        <v>22914.639299999995</v>
      </c>
      <c r="X170" s="55">
        <f>-Q170+U170</f>
        <v>21569.451688005327</v>
      </c>
      <c r="Z170" s="144">
        <f>+E157*Q170/1000</f>
        <v>3928.0430710253663</v>
      </c>
      <c r="AA170" s="144"/>
      <c r="AC170" s="81"/>
      <c r="AU170" s="82"/>
      <c r="AV170" s="82"/>
      <c r="AW170" s="82"/>
      <c r="AX170" s="82">
        <f>AX158*H158/1000</f>
        <v>2947.8367595559353</v>
      </c>
      <c r="AY170" s="82"/>
    </row>
    <row r="171" spans="1:51" ht="15" x14ac:dyDescent="0.4">
      <c r="A171" s="22"/>
      <c r="C171" s="86"/>
      <c r="D171" s="86"/>
      <c r="E171" s="86"/>
      <c r="F171" s="86"/>
      <c r="G171" s="86"/>
      <c r="H171" s="86"/>
      <c r="I171" s="86"/>
      <c r="J171" s="86"/>
      <c r="K171" s="86"/>
      <c r="L171" s="86"/>
      <c r="M171" s="86"/>
      <c r="P171" s="13" t="s">
        <v>15</v>
      </c>
      <c r="Q171" s="55">
        <f>SUMPRODUCT(Q33:Q37,M60:M64)+SUMPRODUCT(Q42:Q44,M69:M71)</f>
        <v>104010.4997</v>
      </c>
      <c r="R171" s="55">
        <f>SUMPRODUCT(Q33:Q37,E60:E64)+SUMPRODUCT(Q42:Q44,E69:E71)</f>
        <v>106467.25220000002</v>
      </c>
      <c r="T171" s="55">
        <f>Q73</f>
        <v>84901.860400000005</v>
      </c>
      <c r="U171" s="55">
        <f>T171-($Q$172*$Q171/($Q$170+$Q$171))</f>
        <v>82440.563815830174</v>
      </c>
      <c r="W171" s="55">
        <f>+T171-Q171</f>
        <v>-19108.639299999995</v>
      </c>
      <c r="X171" s="55">
        <f>-Q171+U171</f>
        <v>-21569.935884169827</v>
      </c>
      <c r="Z171" s="144">
        <f>+E158*Q171/1000</f>
        <v>5124.4368031183676</v>
      </c>
      <c r="AA171" s="85"/>
      <c r="AC171" s="81"/>
      <c r="AU171" s="82"/>
      <c r="AV171" s="82"/>
      <c r="AW171" s="82"/>
      <c r="AX171" s="82"/>
      <c r="AY171" s="82"/>
    </row>
    <row r="172" spans="1:51" ht="15" x14ac:dyDescent="0.4">
      <c r="A172" s="22"/>
      <c r="B172" s="13" t="s">
        <v>81</v>
      </c>
      <c r="I172" s="86"/>
      <c r="J172" s="86"/>
      <c r="K172" s="86"/>
      <c r="L172" s="86"/>
      <c r="M172" s="86"/>
      <c r="P172" s="13" t="s">
        <v>191</v>
      </c>
      <c r="Q172" s="55">
        <f>SUM(W60:W64,W69:W71)/1000</f>
        <v>3806.4841961645006</v>
      </c>
      <c r="T172" s="13">
        <v>0</v>
      </c>
      <c r="U172" s="55">
        <v>0</v>
      </c>
      <c r="W172" s="55">
        <f>+T172-Q172</f>
        <v>-3806.4841961645006</v>
      </c>
      <c r="X172" s="55"/>
      <c r="Z172" s="85">
        <f>+E156*Q172/1000</f>
        <v>214.2184738361147</v>
      </c>
      <c r="AU172" s="82">
        <f>AU160*E160/1000</f>
        <v>13972.983689047882</v>
      </c>
      <c r="AV172" s="82">
        <f>AV160*F160/1000</f>
        <v>494767.45260471379</v>
      </c>
      <c r="AW172" s="82">
        <f>AW160*G160/1000</f>
        <v>349439.57526915194</v>
      </c>
      <c r="AX172" s="82">
        <f>AX160*H160/1000</f>
        <v>6447.4055154755342</v>
      </c>
      <c r="AY172" s="82">
        <f>AY160*I160/1000</f>
        <v>5857.4411247672406</v>
      </c>
    </row>
    <row r="173" spans="1:51" x14ac:dyDescent="0.25">
      <c r="A173" s="22"/>
      <c r="D173" s="89" t="s">
        <v>82</v>
      </c>
      <c r="E173" s="136">
        <v>122</v>
      </c>
      <c r="G173" s="89" t="s">
        <v>83</v>
      </c>
      <c r="H173" s="90">
        <v>4</v>
      </c>
      <c r="I173" s="86"/>
      <c r="J173" s="86"/>
      <c r="K173" s="86"/>
      <c r="L173" s="86"/>
      <c r="M173" s="86"/>
      <c r="Q173" s="26"/>
      <c r="R173" s="26"/>
      <c r="S173" s="26"/>
      <c r="T173" s="26"/>
      <c r="U173" s="26"/>
      <c r="V173" s="26"/>
      <c r="W173" s="26"/>
      <c r="X173" s="26"/>
      <c r="Z173" s="144">
        <f>SUM(Z170:Z172)</f>
        <v>9266.6983479798473</v>
      </c>
      <c r="AA173" s="144"/>
      <c r="AC173" s="81">
        <f>+E134</f>
        <v>9266.7250199921582</v>
      </c>
      <c r="AU173" s="81">
        <f>AU172-AU165-AU168</f>
        <v>127.552535967945</v>
      </c>
      <c r="AV173" s="81">
        <f>AV172-AV165-AV168</f>
        <v>6603.2610799454851</v>
      </c>
      <c r="AW173" s="81">
        <f>AW172-AW165-AW168</f>
        <v>4885.6078201462515</v>
      </c>
      <c r="AX173" s="81">
        <f>AX172-AX165-AX168</f>
        <v>98.821277794063462</v>
      </c>
      <c r="AY173" s="81">
        <f>AY172-AY165-AY168</f>
        <v>10.962892140000804</v>
      </c>
    </row>
    <row r="174" spans="1:51" ht="15" x14ac:dyDescent="0.4">
      <c r="A174" s="22"/>
      <c r="D174" s="91" t="s">
        <v>84</v>
      </c>
      <c r="E174" s="90">
        <v>243</v>
      </c>
      <c r="G174" s="91" t="s">
        <v>85</v>
      </c>
      <c r="H174" s="90">
        <v>8</v>
      </c>
      <c r="I174" s="86"/>
      <c r="J174" s="86"/>
      <c r="K174" s="86"/>
      <c r="L174" s="86"/>
      <c r="M174" s="86"/>
      <c r="Q174" s="55"/>
      <c r="R174" s="55"/>
      <c r="T174" s="55"/>
      <c r="U174" s="55"/>
      <c r="W174" s="55"/>
      <c r="X174" s="55"/>
      <c r="Z174" s="85"/>
      <c r="AA174" s="85"/>
      <c r="AX174" s="81">
        <f>SUM(AX166:AX167)+SUM(AX169:AX170)</f>
        <v>6439.9039404047926</v>
      </c>
    </row>
    <row r="175" spans="1:51" x14ac:dyDescent="0.25">
      <c r="A175" s="22"/>
      <c r="G175" s="89" t="s">
        <v>86</v>
      </c>
      <c r="H175" s="13">
        <f>+H173+H174</f>
        <v>12</v>
      </c>
      <c r="I175" s="86"/>
      <c r="J175" s="86"/>
      <c r="K175" s="86"/>
      <c r="L175" s="86"/>
      <c r="M175" s="86"/>
      <c r="Q175" s="55"/>
      <c r="R175" s="55"/>
      <c r="T175" s="55"/>
      <c r="U175" s="55"/>
      <c r="W175" s="55"/>
      <c r="X175" s="55"/>
      <c r="Z175" s="144"/>
      <c r="AA175" s="144"/>
      <c r="AC175" s="81">
        <f>SUM(AC168:AC173)</f>
        <v>13972.983689047884</v>
      </c>
    </row>
    <row r="176" spans="1:51" x14ac:dyDescent="0.25">
      <c r="A176" s="22"/>
      <c r="B176" s="21" t="s">
        <v>158</v>
      </c>
      <c r="C176" s="92"/>
      <c r="D176" s="93"/>
      <c r="K176" s="94"/>
      <c r="Q176" s="55"/>
      <c r="R176" s="55"/>
      <c r="T176" s="55"/>
      <c r="U176" s="55"/>
      <c r="W176" s="55"/>
      <c r="X176" s="55"/>
      <c r="Z176" s="144"/>
      <c r="AA176" s="144"/>
      <c r="AC176" s="81"/>
    </row>
    <row r="177" spans="1:50" x14ac:dyDescent="0.25">
      <c r="A177" s="22"/>
      <c r="B177" s="336"/>
      <c r="C177" s="92"/>
      <c r="D177" s="443"/>
      <c r="E177" s="93"/>
      <c r="G177" s="387"/>
      <c r="H177" s="84"/>
      <c r="K177" s="94"/>
      <c r="Q177" s="55"/>
      <c r="R177" s="55"/>
      <c r="T177" s="55"/>
      <c r="U177" s="55"/>
      <c r="W177" s="55"/>
      <c r="X177" s="55"/>
      <c r="Z177" s="144"/>
      <c r="AA177" s="144"/>
      <c r="AC177" s="81"/>
    </row>
    <row r="178" spans="1:50" x14ac:dyDescent="0.25">
      <c r="A178" s="22"/>
      <c r="D178" s="38" t="s">
        <v>222</v>
      </c>
      <c r="E178" s="38" t="s">
        <v>218</v>
      </c>
      <c r="Q178" s="55"/>
      <c r="R178" s="55"/>
      <c r="T178" s="55"/>
      <c r="U178" s="55"/>
      <c r="W178" s="55"/>
      <c r="X178" s="55"/>
      <c r="Z178" s="144"/>
      <c r="AA178" s="144"/>
      <c r="AC178" s="81"/>
    </row>
    <row r="179" spans="1:50" ht="15" x14ac:dyDescent="0.4">
      <c r="A179" s="22"/>
      <c r="B179" s="21" t="s">
        <v>87</v>
      </c>
      <c r="C179" s="13" t="s">
        <v>25</v>
      </c>
      <c r="D179" s="11">
        <v>118.732445879981</v>
      </c>
      <c r="E179" s="162">
        <f>ROUND(D179*$H$309,3)</f>
        <v>149.83799999999999</v>
      </c>
      <c r="F179" s="93" t="s">
        <v>88</v>
      </c>
      <c r="G179" s="89" t="s">
        <v>162</v>
      </c>
      <c r="H179" s="81">
        <f>ROUND(E179*E173*J$168,0)</f>
        <v>84951730</v>
      </c>
      <c r="I179" s="89"/>
      <c r="J179" s="89"/>
      <c r="K179" s="142"/>
      <c r="Q179" s="55"/>
      <c r="R179" s="55"/>
      <c r="T179" s="55"/>
      <c r="U179" s="55"/>
      <c r="W179" s="55"/>
      <c r="X179" s="55"/>
      <c r="Z179" s="85"/>
      <c r="AA179" s="85"/>
      <c r="AC179" s="81"/>
    </row>
    <row r="180" spans="1:50" ht="15" x14ac:dyDescent="0.4">
      <c r="A180" s="22"/>
      <c r="B180" s="21"/>
      <c r="C180" s="13" t="s">
        <v>26</v>
      </c>
      <c r="D180" s="11">
        <v>118.732445879981</v>
      </c>
      <c r="E180" s="162">
        <f>ROUND(D180*$H$309,3)</f>
        <v>149.83799999999999</v>
      </c>
      <c r="F180" s="93" t="s">
        <v>88</v>
      </c>
      <c r="G180" s="121" t="s">
        <v>163</v>
      </c>
      <c r="H180" s="122">
        <f>ROUND(E180*E174*J$168,0)</f>
        <v>169207134</v>
      </c>
      <c r="I180" s="89"/>
      <c r="J180" s="89"/>
      <c r="K180" s="142"/>
      <c r="Z180" s="144"/>
      <c r="AA180" s="144"/>
      <c r="AC180" s="81"/>
    </row>
    <row r="181" spans="1:50" x14ac:dyDescent="0.25">
      <c r="A181" s="22"/>
      <c r="B181" s="511"/>
      <c r="C181" s="511"/>
      <c r="D181" s="511"/>
      <c r="E181" s="511"/>
      <c r="F181" s="511"/>
      <c r="G181" s="89" t="s">
        <v>164</v>
      </c>
      <c r="H181" s="81">
        <f>SUM(H179:H180)</f>
        <v>254158864</v>
      </c>
      <c r="I181" s="89"/>
      <c r="J181" s="89"/>
      <c r="K181" s="142"/>
    </row>
    <row r="182" spans="1:50" x14ac:dyDescent="0.25">
      <c r="A182" s="22"/>
      <c r="B182" s="511"/>
      <c r="C182" s="511"/>
      <c r="D182" s="511"/>
      <c r="E182" s="511"/>
      <c r="F182" s="511"/>
      <c r="G182" s="89"/>
      <c r="H182" s="81"/>
      <c r="I182" s="89"/>
      <c r="J182" s="89"/>
      <c r="K182" s="142"/>
    </row>
    <row r="183" spans="1:50" x14ac:dyDescent="0.25">
      <c r="A183" s="22"/>
      <c r="B183" s="512"/>
      <c r="C183" s="512"/>
      <c r="D183" s="512"/>
      <c r="E183" s="512"/>
      <c r="F183" s="512"/>
      <c r="G183" s="89"/>
      <c r="H183" s="81"/>
      <c r="I183" s="89"/>
      <c r="J183" s="89"/>
      <c r="K183" s="142"/>
    </row>
    <row r="184" spans="1:50" x14ac:dyDescent="0.25">
      <c r="A184" s="22"/>
      <c r="B184" s="21"/>
      <c r="D184" s="11"/>
      <c r="E184" s="93"/>
      <c r="G184" s="89"/>
      <c r="H184" s="81"/>
      <c r="I184" s="89"/>
      <c r="J184" s="89"/>
      <c r="K184" s="142"/>
    </row>
    <row r="185" spans="1:50" x14ac:dyDescent="0.25">
      <c r="A185" s="22"/>
      <c r="B185" s="13" t="s">
        <v>153</v>
      </c>
      <c r="I185" s="89"/>
      <c r="J185" s="89"/>
      <c r="K185" s="142"/>
    </row>
    <row r="186" spans="1:50" x14ac:dyDescent="0.25">
      <c r="A186" s="22"/>
      <c r="B186" s="17" t="s">
        <v>154</v>
      </c>
      <c r="I186" s="89"/>
      <c r="J186" s="89"/>
      <c r="K186" s="142"/>
    </row>
    <row r="187" spans="1:50" x14ac:dyDescent="0.25">
      <c r="A187" s="22"/>
      <c r="B187" s="17"/>
      <c r="C187" s="105" t="str">
        <f>" ---------- Rate "&amp;C30&amp;" ----------"</f>
        <v xml:space="preserve"> ---------- Rate  ----------</v>
      </c>
      <c r="D187" s="106"/>
      <c r="E187" s="106"/>
      <c r="I187" s="89"/>
      <c r="J187" s="89"/>
      <c r="K187" s="142"/>
    </row>
    <row r="188" spans="1:50" x14ac:dyDescent="0.25">
      <c r="A188" s="22"/>
      <c r="C188" s="38" t="s">
        <v>140</v>
      </c>
      <c r="E188" s="38" t="s">
        <v>141</v>
      </c>
      <c r="I188" s="89"/>
      <c r="J188" s="89"/>
      <c r="K188" s="142"/>
    </row>
    <row r="189" spans="1:50" x14ac:dyDescent="0.25">
      <c r="A189" s="22"/>
      <c r="B189" s="89" t="s">
        <v>142</v>
      </c>
      <c r="C189" s="107"/>
      <c r="E189" s="118">
        <f>SUM(R65/(R65+R66))</f>
        <v>0.53644158770316963</v>
      </c>
      <c r="F189" s="112"/>
      <c r="I189" s="89"/>
      <c r="J189" s="89"/>
      <c r="K189" s="142"/>
      <c r="AX189" s="118">
        <f>(37892894+37550803+37185127+37530967+385012043+415293692+408537249+370243592)/(37892894+37550803+37185127+37530967+385012043+415293692+408537249+370243592+28757462+38416028+35549073+25251802+243248593+403536675+352244990+172217638)</f>
        <v>0.5709969556930804</v>
      </c>
    </row>
    <row r="190" spans="1:50" x14ac:dyDescent="0.25">
      <c r="A190" s="22"/>
      <c r="B190" s="89" t="s">
        <v>144</v>
      </c>
      <c r="C190" s="108"/>
      <c r="E190" s="109">
        <f>1-E189</f>
        <v>0.46355841229683037</v>
      </c>
      <c r="G190" s="53"/>
      <c r="I190" s="89"/>
      <c r="J190" s="89"/>
      <c r="K190" s="142"/>
    </row>
    <row r="191" spans="1:50" x14ac:dyDescent="0.25">
      <c r="A191" s="22"/>
      <c r="B191" s="110" t="s">
        <v>155</v>
      </c>
      <c r="C191" s="111">
        <v>0.86519999999999997</v>
      </c>
      <c r="D191" s="13" t="s">
        <v>143</v>
      </c>
      <c r="J191" s="89"/>
      <c r="K191" s="142"/>
    </row>
    <row r="192" spans="1:50" x14ac:dyDescent="0.25">
      <c r="A192" s="13"/>
      <c r="J192" s="89"/>
      <c r="K192" s="142"/>
    </row>
    <row r="193" spans="1:13" x14ac:dyDescent="0.25">
      <c r="A193" s="18" t="s">
        <v>89</v>
      </c>
      <c r="B193" s="16" t="s">
        <v>90</v>
      </c>
      <c r="D193" s="38" t="s">
        <v>222</v>
      </c>
      <c r="E193" s="38" t="s">
        <v>218</v>
      </c>
    </row>
    <row r="194" spans="1:13" x14ac:dyDescent="0.25">
      <c r="A194" s="22"/>
      <c r="B194" s="17" t="s">
        <v>91</v>
      </c>
      <c r="D194" s="11">
        <v>3</v>
      </c>
      <c r="E194" s="162">
        <f>ROUND(D194*$H$309,3)</f>
        <v>3.786</v>
      </c>
      <c r="F194" s="13" t="s">
        <v>92</v>
      </c>
    </row>
    <row r="195" spans="1:13" x14ac:dyDescent="0.25">
      <c r="A195" s="22"/>
      <c r="B195" s="17"/>
      <c r="F195" s="93"/>
    </row>
    <row r="196" spans="1:13" x14ac:dyDescent="0.25">
      <c r="A196" s="22"/>
      <c r="B196" s="16"/>
      <c r="E196" s="92"/>
      <c r="F196" s="93"/>
    </row>
    <row r="197" spans="1:13" x14ac:dyDescent="0.25">
      <c r="A197" s="18" t="s">
        <v>93</v>
      </c>
      <c r="B197" s="16" t="s">
        <v>167</v>
      </c>
    </row>
    <row r="198" spans="1:13" x14ac:dyDescent="0.25">
      <c r="A198" s="18"/>
      <c r="B198" s="16"/>
    </row>
    <row r="199" spans="1:13" x14ac:dyDescent="0.25">
      <c r="A199" s="18"/>
      <c r="B199" s="16"/>
      <c r="C199" s="26"/>
      <c r="D199" s="26"/>
      <c r="E199" s="26" t="str">
        <f>+E$13</f>
        <v>RT{1}</v>
      </c>
      <c r="F199" s="26" t="str">
        <f>+F$13</f>
        <v>RS{2}</v>
      </c>
      <c r="G199" s="26" t="str">
        <f>+G$13</f>
        <v>GS{3}</v>
      </c>
      <c r="H199" s="155" t="str">
        <f>+H$58</f>
        <v>GST {4}</v>
      </c>
      <c r="I199" s="26" t="str">
        <f>+I$13</f>
        <v>OL/SL</v>
      </c>
      <c r="J199" s="26"/>
    </row>
    <row r="200" spans="1:13" x14ac:dyDescent="0.25">
      <c r="A200" s="18"/>
      <c r="B200" s="16"/>
    </row>
    <row r="201" spans="1:13" x14ac:dyDescent="0.25">
      <c r="A201" s="22"/>
      <c r="B201" s="89" t="s">
        <v>94</v>
      </c>
      <c r="C201" s="145"/>
      <c r="D201" s="145"/>
      <c r="E201" s="146">
        <f>'BGS PTY15 Cost Alloc'!E203</f>
        <v>3.8420000000000001</v>
      </c>
      <c r="F201" s="146">
        <f>'BGS PTY15 Cost Alloc'!F203</f>
        <v>4.6269999999999998</v>
      </c>
      <c r="G201" s="146">
        <f>'BGS PTY15 Cost Alloc'!G203</f>
        <v>4.6150000000000002</v>
      </c>
      <c r="H201" s="146">
        <f>'BGS PTY15 Cost Alloc'!H203</f>
        <v>3.69</v>
      </c>
      <c r="I201" s="146">
        <f>'BGS PTY15 Cost Alloc'!I203</f>
        <v>3.508</v>
      </c>
      <c r="J201" s="145"/>
      <c r="K201" s="145"/>
      <c r="L201" s="145"/>
      <c r="M201" s="145"/>
    </row>
    <row r="202" spans="1:13" x14ac:dyDescent="0.25">
      <c r="A202" s="22"/>
      <c r="B202" s="89"/>
      <c r="C202" s="145"/>
      <c r="D202" s="145"/>
      <c r="E202" s="145"/>
      <c r="F202" s="145"/>
      <c r="G202" s="145"/>
      <c r="H202" s="145"/>
      <c r="I202" s="145"/>
      <c r="J202" s="145"/>
      <c r="K202" s="145"/>
      <c r="L202" s="145"/>
      <c r="M202" s="145"/>
    </row>
    <row r="203" spans="1:13" x14ac:dyDescent="0.25">
      <c r="A203" s="22"/>
      <c r="B203" s="89" t="s">
        <v>131</v>
      </c>
      <c r="C203" s="145"/>
      <c r="D203" s="145"/>
      <c r="E203" s="146">
        <f>$H$181*(E$168/$J$168)/E$72</f>
        <v>19.801959645171284</v>
      </c>
      <c r="F203" s="146">
        <f>$H$181*(F$168/$J$168)/F$72</f>
        <v>18.43513113917642</v>
      </c>
      <c r="G203" s="146">
        <f>$H$181*(G$168/$J$168)/G$72</f>
        <v>14.945369369436538</v>
      </c>
      <c r="H203" s="146">
        <f>$H$181*(H$168/$J$168)/H$72</f>
        <v>16.030909178238737</v>
      </c>
      <c r="I203" s="146">
        <f>$H$181*(I$168/$J$168)/I$72</f>
        <v>0.11484752506347651</v>
      </c>
      <c r="J203" s="145"/>
      <c r="K203" s="145"/>
      <c r="L203" s="145"/>
      <c r="M203" s="145"/>
    </row>
    <row r="204" spans="1:13" x14ac:dyDescent="0.25">
      <c r="A204" s="22"/>
      <c r="B204" s="89" t="s">
        <v>198</v>
      </c>
      <c r="C204" s="145"/>
      <c r="D204" s="145"/>
      <c r="E204" s="146">
        <f>$H$179*(E$168/$J$168)/SUM(E65:E68)</f>
        <v>20.439906781118509</v>
      </c>
      <c r="F204" s="146">
        <f>$H$179*(F$168/$J$168)/SUM(F65:F68)</f>
        <v>14.812639541889896</v>
      </c>
      <c r="G204" s="146">
        <f>$H$179*(G$168/$J$168)/SUM(G65:G68)</f>
        <v>13.677181634908491</v>
      </c>
      <c r="H204" s="146"/>
      <c r="I204" s="146">
        <f>$H$179*(I$168/$J$168)/SUM(I65:I68)</f>
        <v>0.11522670107056708</v>
      </c>
      <c r="J204" s="145"/>
      <c r="K204" s="145"/>
      <c r="L204" s="145"/>
      <c r="M204" s="145"/>
    </row>
    <row r="205" spans="1:13" x14ac:dyDescent="0.25">
      <c r="A205" s="22"/>
      <c r="B205" s="89" t="s">
        <v>199</v>
      </c>
      <c r="C205" s="145"/>
      <c r="D205" s="145"/>
      <c r="E205" s="146">
        <f>$H$179*(E$168/$J$168)/R165</f>
        <v>50.45714668047043</v>
      </c>
      <c r="F205" s="146"/>
      <c r="G205" s="146"/>
      <c r="H205" s="146">
        <f>$H$179*(H$168/$J$168)/Q153</f>
        <v>36.093131859247343</v>
      </c>
      <c r="I205" s="146"/>
      <c r="J205" s="145"/>
      <c r="K205" s="145"/>
      <c r="L205" s="145"/>
      <c r="M205" s="145"/>
    </row>
    <row r="206" spans="1:13" x14ac:dyDescent="0.25">
      <c r="A206" s="22"/>
      <c r="B206" s="89" t="s">
        <v>201</v>
      </c>
      <c r="C206" s="145"/>
      <c r="D206" s="145"/>
      <c r="E206" s="146">
        <f>$H$180*(E$168/$J$168)/(E72-SUM(E65:E68))</f>
        <v>19.496456958103337</v>
      </c>
      <c r="F206" s="146">
        <f>$H$180*(F$168/$J$168)/(F72-SUM(F65:F68))</f>
        <v>21.015408056024217</v>
      </c>
      <c r="G206" s="146">
        <f>$H$180*(G$168/$J$168)/(G72-SUM(G65:G68))</f>
        <v>15.675079268385112</v>
      </c>
      <c r="H206" s="146"/>
      <c r="I206" s="146">
        <f>$H$180*(I$168/$J$168)/(I72-SUM(I65:I68))</f>
        <v>0.11465809626469972</v>
      </c>
      <c r="J206" s="145"/>
      <c r="K206" s="145"/>
      <c r="L206" s="145"/>
      <c r="M206" s="145"/>
    </row>
    <row r="207" spans="1:13" x14ac:dyDescent="0.25">
      <c r="A207" s="22"/>
      <c r="B207" s="89" t="s">
        <v>200</v>
      </c>
      <c r="C207" s="145"/>
      <c r="D207" s="145"/>
      <c r="E207" s="146">
        <f>$H$180*(E$168/$J$168)/R170</f>
        <v>55.165211930606766</v>
      </c>
      <c r="F207" s="147"/>
      <c r="G207" s="147"/>
      <c r="H207" s="146">
        <f>$H$180*(H$168/$J$168)/Q157</f>
        <v>35.731278712820718</v>
      </c>
      <c r="I207" s="146"/>
      <c r="J207" s="145"/>
      <c r="K207" s="145"/>
      <c r="L207" s="145"/>
      <c r="M207" s="145"/>
    </row>
    <row r="208" spans="1:13" x14ac:dyDescent="0.25">
      <c r="A208" s="22"/>
      <c r="B208" s="89"/>
      <c r="C208" s="145"/>
      <c r="D208" s="145"/>
      <c r="E208" s="146"/>
      <c r="F208" s="146"/>
      <c r="G208" s="146"/>
      <c r="H208" s="146"/>
      <c r="I208" s="146"/>
      <c r="J208" s="145"/>
      <c r="K208" s="145"/>
      <c r="L208" s="145"/>
      <c r="M208" s="145"/>
    </row>
    <row r="209" spans="1:18" ht="15.6" x14ac:dyDescent="0.3">
      <c r="A209" s="22"/>
      <c r="B209" s="519" t="str">
        <f>$B$1</f>
        <v xml:space="preserve">Jersey Central Power &amp; Light </v>
      </c>
      <c r="C209" s="519"/>
      <c r="D209" s="519"/>
      <c r="E209" s="519"/>
      <c r="F209" s="519"/>
      <c r="G209" s="519"/>
      <c r="H209" s="519"/>
      <c r="I209" s="519"/>
      <c r="J209" s="519"/>
      <c r="K209" s="519"/>
      <c r="L209" s="519"/>
      <c r="M209" s="145"/>
    </row>
    <row r="210" spans="1:18" ht="15.6" x14ac:dyDescent="0.3">
      <c r="A210" s="22"/>
      <c r="B210" s="519" t="str">
        <f>$B$2</f>
        <v>Attachment 2</v>
      </c>
      <c r="C210" s="519"/>
      <c r="D210" s="519"/>
      <c r="E210" s="519"/>
      <c r="F210" s="519"/>
      <c r="G210" s="519"/>
      <c r="H210" s="519"/>
      <c r="I210" s="519"/>
      <c r="J210" s="519"/>
      <c r="K210" s="519"/>
      <c r="L210" s="519"/>
      <c r="M210" s="145"/>
      <c r="N210" s="145"/>
      <c r="O210" s="145"/>
      <c r="P210" s="145"/>
      <c r="Q210" s="145"/>
      <c r="R210" s="145"/>
    </row>
    <row r="211" spans="1:18" x14ac:dyDescent="0.25">
      <c r="A211" s="22"/>
      <c r="E211" s="145"/>
      <c r="F211" s="145"/>
      <c r="G211" s="145"/>
      <c r="H211" s="145"/>
      <c r="K211" s="145"/>
      <c r="L211" s="145"/>
      <c r="M211" s="145"/>
      <c r="N211" s="145"/>
      <c r="O211" s="145"/>
      <c r="P211" s="145"/>
      <c r="Q211" s="145"/>
      <c r="R211" s="145"/>
    </row>
    <row r="212" spans="1:18" x14ac:dyDescent="0.25">
      <c r="A212" s="22"/>
      <c r="M212" s="145"/>
      <c r="N212" s="145"/>
      <c r="O212" s="145"/>
      <c r="P212" s="145"/>
      <c r="Q212" s="145"/>
      <c r="R212" s="145"/>
    </row>
    <row r="213" spans="1:18" x14ac:dyDescent="0.25">
      <c r="A213" s="18" t="s">
        <v>95</v>
      </c>
      <c r="B213" s="16" t="s">
        <v>96</v>
      </c>
      <c r="M213" s="145"/>
      <c r="N213" s="145"/>
      <c r="O213" s="145"/>
      <c r="P213" s="145"/>
      <c r="Q213" s="145"/>
      <c r="R213" s="145"/>
    </row>
    <row r="214" spans="1:18" x14ac:dyDescent="0.25">
      <c r="A214" s="22"/>
      <c r="B214" s="16"/>
      <c r="M214" s="145"/>
      <c r="N214" s="145"/>
      <c r="O214" s="145"/>
      <c r="P214" s="145"/>
      <c r="Q214" s="145"/>
      <c r="R214" s="145"/>
    </row>
    <row r="215" spans="1:18" x14ac:dyDescent="0.25">
      <c r="A215" s="22"/>
      <c r="B215" s="16" t="s">
        <v>97</v>
      </c>
      <c r="M215" s="145"/>
      <c r="N215" s="145"/>
      <c r="O215" s="145"/>
      <c r="P215" s="145"/>
      <c r="Q215" s="145"/>
      <c r="R215" s="145"/>
    </row>
    <row r="216" spans="1:18" x14ac:dyDescent="0.25">
      <c r="A216" s="22"/>
      <c r="B216" s="17" t="s">
        <v>219</v>
      </c>
      <c r="M216" s="145"/>
      <c r="N216" s="145"/>
      <c r="O216" s="145"/>
      <c r="P216" s="145"/>
      <c r="Q216" s="145"/>
      <c r="R216" s="145"/>
    </row>
    <row r="217" spans="1:18" x14ac:dyDescent="0.25">
      <c r="A217" s="22"/>
      <c r="B217" s="17" t="s">
        <v>21</v>
      </c>
      <c r="M217" s="145"/>
      <c r="N217" s="145"/>
      <c r="O217" s="145"/>
      <c r="P217" s="145"/>
      <c r="Q217" s="145"/>
      <c r="R217" s="145"/>
    </row>
    <row r="218" spans="1:18" x14ac:dyDescent="0.25">
      <c r="A218" s="22"/>
      <c r="C218" s="26"/>
      <c r="D218" s="26"/>
      <c r="E218" s="26" t="str">
        <f>+E$13</f>
        <v>RT{1}</v>
      </c>
      <c r="F218" s="26" t="str">
        <f>+F$13</f>
        <v>RS{2}</v>
      </c>
      <c r="G218" s="26" t="str">
        <f>+G$13</f>
        <v>GS{3}</v>
      </c>
      <c r="H218" s="155" t="str">
        <f>+H$58</f>
        <v>GST {4}</v>
      </c>
      <c r="I218" s="26" t="str">
        <f>+I$13</f>
        <v>OL/SL</v>
      </c>
      <c r="J218" s="26"/>
      <c r="M218" s="145"/>
      <c r="N218" s="145"/>
      <c r="O218" s="145"/>
      <c r="P218" s="145"/>
      <c r="Q218" s="145"/>
      <c r="R218" s="145"/>
    </row>
    <row r="219" spans="1:18" x14ac:dyDescent="0.25">
      <c r="A219" s="22"/>
      <c r="C219" s="26"/>
      <c r="D219" s="26"/>
      <c r="E219" s="74"/>
      <c r="F219" s="26"/>
      <c r="G219" s="26"/>
      <c r="M219" s="145"/>
      <c r="N219" s="145"/>
      <c r="O219" s="145"/>
      <c r="P219" s="145"/>
      <c r="Q219" s="145"/>
      <c r="R219" s="145"/>
    </row>
    <row r="220" spans="1:18" x14ac:dyDescent="0.25">
      <c r="A220" s="22"/>
      <c r="B220" s="28" t="s">
        <v>17</v>
      </c>
      <c r="C220" s="74"/>
      <c r="D220" s="74"/>
      <c r="E220" s="74">
        <f>+E152+(E$95*$E$194)+E$201+E204</f>
        <v>88.197846994008117</v>
      </c>
      <c r="F220" s="74">
        <f>+F152+(F$95*$E$194)+F$201+F204</f>
        <v>83.555660685238081</v>
      </c>
      <c r="G220" s="74">
        <f>+G152+(G$95*$E$194)+G$201+G204</f>
        <v>84.093915295903983</v>
      </c>
      <c r="H220" s="74"/>
      <c r="I220" s="74">
        <f>+I152+(I$95*$E$194)+I$201+I204</f>
        <v>59.49090913415381</v>
      </c>
      <c r="J220" s="74"/>
      <c r="K220" s="74"/>
      <c r="M220" s="145"/>
      <c r="N220" s="145"/>
      <c r="O220" s="145"/>
      <c r="P220" s="145"/>
      <c r="Q220" s="145"/>
      <c r="R220" s="145"/>
    </row>
    <row r="221" spans="1:18" x14ac:dyDescent="0.25">
      <c r="A221" s="22"/>
      <c r="B221" s="77" t="s">
        <v>72</v>
      </c>
      <c r="C221" s="74"/>
      <c r="D221" s="74"/>
      <c r="E221" s="74">
        <f>+E153+(E$95*$E$194)+E$201+E$205</f>
        <v>135.87007070578051</v>
      </c>
      <c r="F221" s="74"/>
      <c r="G221" s="74"/>
      <c r="H221" s="74">
        <f>+H153+(H$95*$E$194)+H$201+H$205</f>
        <v>121.97489866452065</v>
      </c>
      <c r="I221" s="74"/>
      <c r="J221" s="74"/>
      <c r="M221" s="145"/>
      <c r="N221" s="145"/>
      <c r="O221" s="145"/>
      <c r="P221" s="145"/>
      <c r="Q221" s="145"/>
      <c r="R221" s="145"/>
    </row>
    <row r="222" spans="1:18" x14ac:dyDescent="0.25">
      <c r="A222" s="22"/>
      <c r="B222" s="77" t="s">
        <v>73</v>
      </c>
      <c r="C222" s="74"/>
      <c r="D222" s="74"/>
      <c r="E222" s="74">
        <f>+E154+(E$95*$E$194)+E$201</f>
        <v>55.736378468342046</v>
      </c>
      <c r="F222" s="74"/>
      <c r="G222" s="74"/>
      <c r="H222" s="74">
        <f>+H154+(H$95*$E$194)+H$201</f>
        <v>56.846798798907201</v>
      </c>
      <c r="I222" s="74"/>
      <c r="J222" s="74"/>
      <c r="M222" s="145"/>
      <c r="N222" s="145"/>
      <c r="O222" s="145"/>
      <c r="P222" s="145"/>
      <c r="Q222" s="145"/>
      <c r="R222" s="145"/>
    </row>
    <row r="223" spans="1:18" x14ac:dyDescent="0.25">
      <c r="A223" s="22"/>
      <c r="B223" s="89" t="s">
        <v>142</v>
      </c>
      <c r="C223" s="74"/>
      <c r="D223" s="74"/>
      <c r="E223" s="74"/>
      <c r="F223" s="74">
        <f>(F220*SUM(F65:F68)-C191*10*E190*SUM(F65:F68))/SUM(F65:F68)</f>
        <v>79.544953302045911</v>
      </c>
      <c r="G223" s="74"/>
      <c r="H223" s="74"/>
      <c r="I223" s="74"/>
      <c r="J223" s="74"/>
      <c r="M223" s="145"/>
      <c r="N223" s="145"/>
      <c r="O223" s="145"/>
      <c r="P223" s="145"/>
      <c r="Q223" s="145"/>
      <c r="R223" s="145"/>
    </row>
    <row r="224" spans="1:18" x14ac:dyDescent="0.25">
      <c r="A224" s="22"/>
      <c r="B224" s="89" t="s">
        <v>144</v>
      </c>
      <c r="C224" s="74"/>
      <c r="D224" s="74"/>
      <c r="E224" s="74"/>
      <c r="F224" s="74">
        <f>+F223+C191*10</f>
        <v>88.196953302045912</v>
      </c>
      <c r="G224" s="119"/>
      <c r="H224" s="74"/>
      <c r="I224" s="74"/>
      <c r="J224" s="74"/>
      <c r="M224" s="145"/>
      <c r="N224" s="145"/>
      <c r="O224" s="145"/>
      <c r="P224" s="145"/>
      <c r="Q224" s="145"/>
      <c r="R224" s="145"/>
    </row>
    <row r="225" spans="1:18" x14ac:dyDescent="0.25">
      <c r="A225" s="22"/>
      <c r="C225" s="74"/>
      <c r="D225" s="74"/>
      <c r="E225" s="74"/>
      <c r="F225" s="74"/>
      <c r="G225" s="74"/>
      <c r="H225" s="74"/>
      <c r="I225" s="74"/>
      <c r="J225" s="74"/>
      <c r="M225" s="145"/>
      <c r="N225" s="145"/>
      <c r="O225" s="145"/>
      <c r="P225" s="145"/>
      <c r="Q225" s="145"/>
      <c r="R225" s="145"/>
    </row>
    <row r="226" spans="1:18" x14ac:dyDescent="0.25">
      <c r="A226" s="22"/>
      <c r="B226" s="28" t="s">
        <v>18</v>
      </c>
      <c r="C226" s="74"/>
      <c r="D226" s="74"/>
      <c r="E226" s="74">
        <f>+E156+(E$95*$E$194)+E$201+E206</f>
        <v>83.848454955560499</v>
      </c>
      <c r="F226" s="74">
        <f>+F156+(F$95*$E$194)+F$201+F206</f>
        <v>85.738200951036831</v>
      </c>
      <c r="G226" s="74">
        <f>+G156+(G$95*$E$194)+G$201+G206</f>
        <v>81.500943516416129</v>
      </c>
      <c r="H226" s="74"/>
      <c r="I226" s="74">
        <f>+I156+(I$95*$E$194)+I$201+I206</f>
        <v>58.9148002028044</v>
      </c>
      <c r="J226" s="74"/>
      <c r="K226" s="74"/>
      <c r="M226" s="145"/>
      <c r="N226" s="145"/>
      <c r="O226" s="145"/>
      <c r="P226" s="145"/>
      <c r="Q226" s="145"/>
      <c r="R226" s="145"/>
    </row>
    <row r="227" spans="1:18" x14ac:dyDescent="0.25">
      <c r="A227" s="22"/>
      <c r="B227" s="77" t="s">
        <v>72</v>
      </c>
      <c r="C227" s="74"/>
      <c r="D227" s="74"/>
      <c r="E227" s="74">
        <f>+E157+(E$95*$E$194)+E$201+E$207</f>
        <v>132.34029125450459</v>
      </c>
      <c r="F227" s="74"/>
      <c r="G227" s="74"/>
      <c r="H227" s="74">
        <f>+H157+(H$95*$E$194)+H$201+H$207</f>
        <v>111.96771955911024</v>
      </c>
      <c r="I227" s="74"/>
      <c r="J227" s="74"/>
      <c r="M227" s="145"/>
      <c r="N227" s="145"/>
      <c r="O227" s="145"/>
      <c r="P227" s="145"/>
      <c r="Q227" s="145"/>
      <c r="R227" s="145"/>
    </row>
    <row r="228" spans="1:18" x14ac:dyDescent="0.25">
      <c r="A228" s="22"/>
      <c r="B228" s="77" t="s">
        <v>73</v>
      </c>
      <c r="C228" s="74"/>
      <c r="D228" s="74"/>
      <c r="E228" s="74">
        <f>+E158+(E$95*$E$194)+E$201</f>
        <v>57.343201801553221</v>
      </c>
      <c r="F228" s="74"/>
      <c r="G228" s="74"/>
      <c r="H228" s="74">
        <f>+H158+(H$95*$E$194)+H$201</f>
        <v>56.449203333409145</v>
      </c>
      <c r="I228" s="74"/>
      <c r="J228" s="74"/>
      <c r="M228" s="145"/>
      <c r="N228" s="145"/>
      <c r="O228" s="145"/>
      <c r="P228" s="145"/>
      <c r="Q228" s="145"/>
      <c r="R228" s="145"/>
    </row>
    <row r="229" spans="1:18" x14ac:dyDescent="0.25">
      <c r="A229" s="22"/>
      <c r="C229" s="74"/>
      <c r="D229" s="74"/>
      <c r="E229" s="74"/>
      <c r="F229" s="74"/>
      <c r="G229" s="74"/>
      <c r="H229" s="74"/>
      <c r="I229" s="74"/>
      <c r="J229" s="74"/>
      <c r="M229" s="145"/>
      <c r="N229" s="145"/>
      <c r="O229" s="145"/>
      <c r="P229" s="145"/>
      <c r="Q229" s="145"/>
      <c r="R229" s="145"/>
    </row>
    <row r="230" spans="1:18" x14ac:dyDescent="0.25">
      <c r="A230" s="22"/>
      <c r="B230" s="13" t="s">
        <v>98</v>
      </c>
      <c r="C230" s="74"/>
      <c r="D230" s="74"/>
      <c r="E230" s="74">
        <f>+E160+(E$95*$E$194)+E$201+E203</f>
        <v>85.256850953358381</v>
      </c>
      <c r="F230" s="74">
        <f>+F160+(F$95*$E$194)+F$201+F203</f>
        <v>84.830290514737527</v>
      </c>
      <c r="G230" s="74">
        <f>+G160+(G$95*$E$194)+G$201+G203</f>
        <v>82.447997631443059</v>
      </c>
      <c r="H230" s="74">
        <f>((H221*SUMPRODUCT(H38:H41,H65:H68)+H222*SUMPRODUCT(T38:T41,H65:H68))+(H227*(SUMPRODUCT(H33:H37,H60:H64)+SUMPRODUCT(H42:H44,H69:H71))+H228*(SUMPRODUCT(T33:T37,H60:H64)+SUMPRODUCT(T42:T44,H69:H71))))/H72</f>
        <v>82.827617982857703</v>
      </c>
      <c r="I230" s="74">
        <f>+I160+(I$95*$E$194)+I$201+I203</f>
        <v>59.106728976012043</v>
      </c>
      <c r="J230" s="74"/>
      <c r="K230" s="74"/>
      <c r="M230" s="145"/>
      <c r="N230" s="145"/>
      <c r="O230" s="145"/>
      <c r="P230" s="145"/>
      <c r="Q230" s="145"/>
      <c r="R230" s="145"/>
    </row>
    <row r="231" spans="1:18" x14ac:dyDescent="0.25">
      <c r="A231" s="22"/>
      <c r="C231" s="74"/>
      <c r="D231" s="74"/>
      <c r="E231" s="74"/>
      <c r="F231" s="74"/>
      <c r="G231" s="74"/>
      <c r="H231" s="74"/>
      <c r="I231" s="74"/>
      <c r="J231" s="74"/>
      <c r="K231" s="74"/>
      <c r="M231" s="145"/>
      <c r="N231" s="145"/>
      <c r="O231" s="145"/>
      <c r="P231" s="145"/>
      <c r="Q231" s="145"/>
      <c r="R231" s="145"/>
    </row>
    <row r="232" spans="1:18" x14ac:dyDescent="0.25">
      <c r="A232" s="22"/>
      <c r="B232" s="16" t="s">
        <v>99</v>
      </c>
      <c r="M232" s="145"/>
      <c r="N232" s="145"/>
      <c r="O232" s="145"/>
      <c r="P232" s="145"/>
      <c r="Q232" s="145"/>
      <c r="R232" s="145"/>
    </row>
    <row r="233" spans="1:18" x14ac:dyDescent="0.25">
      <c r="A233" s="22"/>
      <c r="B233" s="17" t="s">
        <v>100</v>
      </c>
      <c r="M233" s="145"/>
      <c r="N233" s="145"/>
      <c r="O233" s="145"/>
      <c r="P233" s="145"/>
      <c r="Q233" s="145"/>
      <c r="R233" s="145"/>
    </row>
    <row r="234" spans="1:18" x14ac:dyDescent="0.25">
      <c r="A234" s="22"/>
      <c r="B234" s="17" t="s">
        <v>21</v>
      </c>
      <c r="M234" s="145"/>
      <c r="N234" s="145"/>
      <c r="O234" s="145"/>
      <c r="P234" s="145"/>
      <c r="Q234" s="145"/>
      <c r="R234" s="145"/>
    </row>
    <row r="235" spans="1:18" x14ac:dyDescent="0.25">
      <c r="A235" s="22"/>
      <c r="B235" s="77"/>
      <c r="C235" s="74"/>
      <c r="D235" s="74"/>
      <c r="I235" s="89"/>
      <c r="J235" s="80"/>
      <c r="K235" s="93"/>
    </row>
    <row r="236" spans="1:18" x14ac:dyDescent="0.25">
      <c r="A236" s="22"/>
      <c r="C236" s="74"/>
      <c r="D236" s="74"/>
    </row>
    <row r="237" spans="1:18" x14ac:dyDescent="0.25">
      <c r="A237" s="22"/>
      <c r="B237" s="37" t="s">
        <v>101</v>
      </c>
      <c r="C237" s="74"/>
      <c r="D237" s="74"/>
      <c r="I237" s="96"/>
      <c r="K237" s="93"/>
    </row>
    <row r="238" spans="1:18" x14ac:dyDescent="0.25">
      <c r="A238" s="22"/>
      <c r="B238" s="77"/>
      <c r="C238" s="74"/>
      <c r="D238" s="74"/>
      <c r="I238" s="89"/>
      <c r="J238" s="97"/>
      <c r="K238" s="93"/>
    </row>
    <row r="239" spans="1:18" ht="15.6" x14ac:dyDescent="0.3">
      <c r="A239" s="22"/>
      <c r="B239" s="519" t="str">
        <f>$B$1</f>
        <v xml:space="preserve">Jersey Central Power &amp; Light </v>
      </c>
      <c r="C239" s="519"/>
      <c r="D239" s="519"/>
      <c r="E239" s="519"/>
      <c r="F239" s="519"/>
      <c r="G239" s="519"/>
      <c r="H239" s="519"/>
      <c r="I239" s="519"/>
      <c r="J239" s="519"/>
      <c r="K239" s="519"/>
      <c r="L239" s="519"/>
    </row>
    <row r="240" spans="1:18" ht="15.6" x14ac:dyDescent="0.3">
      <c r="A240" s="22"/>
      <c r="B240" s="519" t="str">
        <f>$B$2</f>
        <v>Attachment 2</v>
      </c>
      <c r="C240" s="519"/>
      <c r="D240" s="519"/>
      <c r="E240" s="519"/>
      <c r="F240" s="519"/>
      <c r="G240" s="519"/>
      <c r="H240" s="519"/>
      <c r="I240" s="519"/>
      <c r="J240" s="519"/>
      <c r="K240" s="519"/>
      <c r="L240" s="519"/>
    </row>
    <row r="241" spans="1:12" ht="15.6" x14ac:dyDescent="0.3">
      <c r="A241" s="22"/>
      <c r="B241" s="166"/>
      <c r="C241" s="166"/>
      <c r="D241" s="166"/>
      <c r="E241" s="166"/>
      <c r="F241" s="166"/>
      <c r="G241" s="166"/>
      <c r="H241" s="166"/>
      <c r="I241" s="166"/>
      <c r="J241" s="166"/>
      <c r="K241" s="166"/>
      <c r="L241" s="166"/>
    </row>
    <row r="242" spans="1:12" ht="15.6" x14ac:dyDescent="0.3">
      <c r="A242" s="18" t="s">
        <v>106</v>
      </c>
      <c r="B242" s="163" t="s">
        <v>240</v>
      </c>
      <c r="C242" s="20"/>
      <c r="E242" s="165"/>
      <c r="F242" s="38"/>
      <c r="K242" s="166"/>
      <c r="L242" s="166"/>
    </row>
    <row r="243" spans="1:12" ht="15.6" x14ac:dyDescent="0.3">
      <c r="B243" s="13" t="s">
        <v>241</v>
      </c>
      <c r="K243" s="166"/>
      <c r="L243" s="166"/>
    </row>
    <row r="244" spans="1:12" ht="15.6" x14ac:dyDescent="0.3">
      <c r="E244" s="26" t="s">
        <v>61</v>
      </c>
      <c r="F244" s="26" t="s">
        <v>62</v>
      </c>
      <c r="G244" s="26" t="s">
        <v>65</v>
      </c>
      <c r="H244" s="26" t="s">
        <v>203</v>
      </c>
      <c r="I244" s="26" t="s">
        <v>55</v>
      </c>
      <c r="K244" s="166"/>
      <c r="L244" s="166"/>
    </row>
    <row r="245" spans="1:12" ht="15.6" x14ac:dyDescent="0.3">
      <c r="K245" s="166"/>
      <c r="L245" s="166"/>
    </row>
    <row r="246" spans="1:12" ht="15.6" x14ac:dyDescent="0.3">
      <c r="B246" s="28" t="s">
        <v>17</v>
      </c>
      <c r="E246" s="55">
        <f>'Composite Cost Allocation'!E110</f>
        <v>1856319.4371117004</v>
      </c>
      <c r="G246" s="55">
        <f>'Composite Cost Allocation'!G110</f>
        <v>2175930000</v>
      </c>
      <c r="I246" s="55">
        <f>'Composite Cost Allocation'!I110</f>
        <v>38075000</v>
      </c>
      <c r="K246" s="166"/>
      <c r="L246" s="166"/>
    </row>
    <row r="247" spans="1:12" ht="15.6" x14ac:dyDescent="0.3">
      <c r="B247" s="77" t="s">
        <v>72</v>
      </c>
      <c r="E247" s="55">
        <f>'Composite Cost Allocation'!E111</f>
        <v>31192710</v>
      </c>
      <c r="H247" s="55">
        <f>'Composite Cost Allocation'!H111</f>
        <v>16257818.199999999</v>
      </c>
      <c r="K247" s="166"/>
      <c r="L247" s="166"/>
    </row>
    <row r="248" spans="1:12" ht="15.6" x14ac:dyDescent="0.3">
      <c r="B248" s="77" t="s">
        <v>73</v>
      </c>
      <c r="E248" s="55">
        <f>'Composite Cost Allocation'!E112</f>
        <v>45804970.562888294</v>
      </c>
      <c r="H248" s="55">
        <f>'Composite Cost Allocation'!H112</f>
        <v>18662181.800000001</v>
      </c>
      <c r="K248" s="166"/>
      <c r="L248" s="166"/>
    </row>
    <row r="249" spans="1:12" ht="15.6" x14ac:dyDescent="0.3">
      <c r="B249" s="89" t="s">
        <v>142</v>
      </c>
      <c r="F249" s="55">
        <f>'Composite Cost Allocation'!F113</f>
        <v>1918974000</v>
      </c>
      <c r="K249" s="166"/>
      <c r="L249" s="166"/>
    </row>
    <row r="250" spans="1:12" ht="15.6" x14ac:dyDescent="0.3">
      <c r="B250" s="89" t="s">
        <v>144</v>
      </c>
      <c r="F250" s="55">
        <f>'Composite Cost Allocation'!F114</f>
        <v>1658254000</v>
      </c>
      <c r="K250" s="166"/>
      <c r="L250" s="166"/>
    </row>
    <row r="251" spans="1:12" ht="15.6" x14ac:dyDescent="0.3">
      <c r="K251" s="166"/>
      <c r="L251" s="166"/>
    </row>
    <row r="252" spans="1:12" ht="15.6" x14ac:dyDescent="0.3">
      <c r="B252" s="28" t="s">
        <v>18</v>
      </c>
      <c r="E252" s="55">
        <f>'Composite Cost Allocation'!E116</f>
        <v>3806484.1961644995</v>
      </c>
      <c r="F252" s="55">
        <f>'Composite Cost Allocation'!F116</f>
        <v>5022127000</v>
      </c>
      <c r="G252" s="55">
        <f>'Composite Cost Allocation'!G116</f>
        <v>3781623000</v>
      </c>
      <c r="I252" s="55">
        <f>'Composite Cost Allocation'!I116</f>
        <v>76214000</v>
      </c>
      <c r="K252" s="166"/>
      <c r="L252" s="166"/>
    </row>
    <row r="253" spans="1:12" ht="15.6" x14ac:dyDescent="0.3">
      <c r="B253" s="77" t="s">
        <v>72</v>
      </c>
      <c r="E253" s="55">
        <f>'Composite Cost Allocation'!E117</f>
        <v>56845366.462860338</v>
      </c>
      <c r="H253" s="55">
        <f>'Composite Cost Allocation'!H117</f>
        <v>32710314.099999998</v>
      </c>
      <c r="K253" s="166"/>
      <c r="L253" s="166"/>
    </row>
    <row r="254" spans="1:12" ht="15.6" x14ac:dyDescent="0.3">
      <c r="B254" s="77" t="s">
        <v>73</v>
      </c>
      <c r="E254" s="55">
        <f>'Composite Cost Allocation'!E118</f>
        <v>104010149.34097517</v>
      </c>
      <c r="H254" s="55">
        <f>'Composite Cost Allocation'!H118</f>
        <v>41881685.900000006</v>
      </c>
      <c r="K254" s="166"/>
      <c r="L254" s="166"/>
    </row>
    <row r="255" spans="1:12" ht="15.6" x14ac:dyDescent="0.3">
      <c r="J255" s="26" t="s">
        <v>13</v>
      </c>
      <c r="K255" s="166"/>
      <c r="L255" s="166"/>
    </row>
    <row r="256" spans="1:12" ht="15.6" x14ac:dyDescent="0.3">
      <c r="B256" s="89" t="s">
        <v>162</v>
      </c>
      <c r="E256" s="55">
        <f>SUM(E246:E250)</f>
        <v>78854000</v>
      </c>
      <c r="F256" s="55">
        <f>SUM(F246:F250)</f>
        <v>3577228000</v>
      </c>
      <c r="G256" s="55">
        <f>SUM(G246:G250)</f>
        <v>2175930000</v>
      </c>
      <c r="H256" s="55">
        <f>SUM(H246:H250)</f>
        <v>34920000</v>
      </c>
      <c r="I256" s="55">
        <f>SUM(I246:I250)</f>
        <v>38075000</v>
      </c>
      <c r="J256" s="55">
        <f>SUM(E256:I256)</f>
        <v>5905007000</v>
      </c>
      <c r="K256" s="166"/>
      <c r="L256" s="166"/>
    </row>
    <row r="257" spans="1:15" ht="15.6" x14ac:dyDescent="0.3">
      <c r="B257" s="89" t="s">
        <v>163</v>
      </c>
      <c r="E257" s="138">
        <f>SUM(E252:E254)</f>
        <v>164662000</v>
      </c>
      <c r="F257" s="138">
        <f>SUM(F252:F254)</f>
        <v>5022127000</v>
      </c>
      <c r="G257" s="133">
        <f>SUM(G252:G254)</f>
        <v>3781623000</v>
      </c>
      <c r="H257" s="133">
        <f>SUM(H252:H254)</f>
        <v>74592000</v>
      </c>
      <c r="I257" s="133">
        <f>SUM(I252:I254)</f>
        <v>76214000</v>
      </c>
      <c r="J257" s="138">
        <f>SUM(E257:I257)</f>
        <v>9119218000</v>
      </c>
      <c r="K257" s="166"/>
      <c r="L257" s="166"/>
    </row>
    <row r="258" spans="1:15" ht="15.6" x14ac:dyDescent="0.3">
      <c r="B258" s="89" t="s">
        <v>164</v>
      </c>
      <c r="E258" s="55">
        <f>SUM(E256:E257)</f>
        <v>243516000</v>
      </c>
      <c r="F258" s="55">
        <f>SUM(F256:F257)</f>
        <v>8599355000</v>
      </c>
      <c r="G258" s="55">
        <f>SUM(G256:G257)</f>
        <v>5957553000</v>
      </c>
      <c r="H258" s="55">
        <f>SUM(H256:H257)</f>
        <v>109512000</v>
      </c>
      <c r="I258" s="55">
        <f>SUM(I256:I257)</f>
        <v>114289000</v>
      </c>
      <c r="J258" s="55">
        <f>SUM(E258:I258)</f>
        <v>15024225000</v>
      </c>
      <c r="K258" s="166"/>
      <c r="L258" s="166"/>
    </row>
    <row r="259" spans="1:15" ht="15.6" x14ac:dyDescent="0.3">
      <c r="A259" s="22"/>
      <c r="B259" s="166"/>
      <c r="C259" s="166"/>
      <c r="D259" s="166"/>
      <c r="E259" s="166"/>
      <c r="F259" s="166"/>
      <c r="G259" s="166"/>
      <c r="H259" s="166"/>
      <c r="I259" s="166"/>
      <c r="J259" s="166"/>
      <c r="K259" s="166"/>
      <c r="L259" s="166"/>
    </row>
    <row r="260" spans="1:15" ht="15.6" x14ac:dyDescent="0.3">
      <c r="A260" s="22"/>
      <c r="B260" s="166"/>
      <c r="C260" s="166"/>
      <c r="D260" s="166"/>
      <c r="E260" s="166"/>
      <c r="F260" s="166"/>
      <c r="G260" s="166"/>
      <c r="H260" s="166"/>
      <c r="I260" s="166"/>
      <c r="J260" s="166"/>
      <c r="K260" s="166"/>
      <c r="L260" s="166"/>
    </row>
    <row r="262" spans="1:15" x14ac:dyDescent="0.25">
      <c r="A262" s="6" t="s">
        <v>133</v>
      </c>
      <c r="B262" s="1" t="s">
        <v>168</v>
      </c>
      <c r="C262"/>
      <c r="D262"/>
      <c r="E262"/>
      <c r="F262"/>
      <c r="G262"/>
      <c r="H262"/>
      <c r="I262"/>
      <c r="J262"/>
      <c r="K262"/>
      <c r="L262"/>
    </row>
    <row r="263" spans="1:15" x14ac:dyDescent="0.25">
      <c r="A263" s="7"/>
      <c r="B263" s="1"/>
      <c r="C263"/>
      <c r="D263"/>
      <c r="E263"/>
      <c r="F263"/>
      <c r="G263"/>
      <c r="H263"/>
      <c r="I263"/>
      <c r="J263"/>
      <c r="K263"/>
      <c r="L263"/>
    </row>
    <row r="264" spans="1:15" x14ac:dyDescent="0.25">
      <c r="A264" s="7"/>
      <c r="B264"/>
      <c r="C264" s="2"/>
      <c r="D264" s="2"/>
      <c r="E264" s="26" t="str">
        <f>+E$13</f>
        <v>RT{1}</v>
      </c>
      <c r="F264" s="26" t="str">
        <f>+F$13</f>
        <v>RS{2}</v>
      </c>
      <c r="G264" s="26" t="str">
        <f>+G$13</f>
        <v>GS{3}</v>
      </c>
      <c r="H264" s="155" t="str">
        <f>+H$58</f>
        <v>GST {4}</v>
      </c>
      <c r="I264" s="26" t="str">
        <f>+I$13</f>
        <v>OL/SL</v>
      </c>
      <c r="J264" s="2" t="s">
        <v>13</v>
      </c>
      <c r="K264" s="2"/>
      <c r="L264" s="2"/>
    </row>
    <row r="265" spans="1:15" x14ac:dyDescent="0.25">
      <c r="A265" s="7"/>
      <c r="B265" t="s">
        <v>134</v>
      </c>
      <c r="C265"/>
      <c r="D265"/>
      <c r="E265"/>
      <c r="F265"/>
      <c r="G265"/>
      <c r="H265"/>
      <c r="I265"/>
      <c r="J265"/>
      <c r="K265"/>
      <c r="L265"/>
    </row>
    <row r="266" spans="1:15" x14ac:dyDescent="0.25">
      <c r="A266" s="7"/>
      <c r="B266" s="28" t="s">
        <v>17</v>
      </c>
      <c r="C266" s="149"/>
      <c r="D266" s="149"/>
      <c r="E266" s="149">
        <f>+E220*E246/1000000</f>
        <v>163.72337768638101</v>
      </c>
      <c r="F266" s="149"/>
      <c r="G266" s="149">
        <f>+G220*G246/1000000</f>
        <v>182982.47310981635</v>
      </c>
      <c r="H266" s="144"/>
      <c r="I266" s="149">
        <f>+I220*I246/1000000</f>
        <v>2265.1163652829064</v>
      </c>
      <c r="J266" s="149"/>
      <c r="K266" s="149"/>
      <c r="L266" s="149"/>
    </row>
    <row r="267" spans="1:15" x14ac:dyDescent="0.25">
      <c r="A267" s="7"/>
      <c r="B267" s="77" t="s">
        <v>72</v>
      </c>
      <c r="C267" s="149"/>
      <c r="D267" s="149"/>
      <c r="E267" s="149">
        <f>+E221*E247/1000000</f>
        <v>4238.1557132049065</v>
      </c>
      <c r="F267" s="149"/>
      <c r="G267" s="149"/>
      <c r="H267" s="149">
        <f>+H221*H247/1000000</f>
        <v>1983.0457274511996</v>
      </c>
      <c r="I267" s="149"/>
      <c r="J267" s="149"/>
      <c r="K267" s="149"/>
      <c r="L267" s="149"/>
    </row>
    <row r="268" spans="1:15" x14ac:dyDescent="0.25">
      <c r="A268" s="7"/>
      <c r="B268" s="77" t="s">
        <v>73</v>
      </c>
      <c r="C268" s="149"/>
      <c r="D268" s="149"/>
      <c r="E268" s="149">
        <f>+E222*E248/1000000</f>
        <v>2553.0031750244084</v>
      </c>
      <c r="F268" s="149"/>
      <c r="G268" s="149"/>
      <c r="H268" s="149">
        <f>+H222*H248/1000000</f>
        <v>1060.8852939332278</v>
      </c>
      <c r="I268" s="149"/>
      <c r="J268" s="149"/>
      <c r="K268" s="81"/>
      <c r="L268" s="81"/>
      <c r="M268" s="81"/>
      <c r="N268" s="81"/>
      <c r="O268" s="81"/>
    </row>
    <row r="269" spans="1:15" x14ac:dyDescent="0.25">
      <c r="A269" s="7"/>
      <c r="B269" s="89" t="s">
        <v>142</v>
      </c>
      <c r="C269" s="149"/>
      <c r="D269" s="149"/>
      <c r="E269" s="149"/>
      <c r="F269" s="149">
        <f>+F223*F249/1000000</f>
        <v>152644.69721784024</v>
      </c>
      <c r="G269" s="149"/>
      <c r="H269" s="144"/>
      <c r="I269" s="149"/>
      <c r="J269" s="149"/>
      <c r="K269" s="149"/>
      <c r="L269" s="149"/>
    </row>
    <row r="270" spans="1:15" x14ac:dyDescent="0.25">
      <c r="A270" s="7"/>
      <c r="B270" s="89" t="s">
        <v>144</v>
      </c>
      <c r="C270" s="149"/>
      <c r="D270" s="149"/>
      <c r="E270" s="149"/>
      <c r="F270" s="149">
        <f>+F224*F250/1000000</f>
        <v>146252.95060093084</v>
      </c>
      <c r="G270" s="149"/>
      <c r="H270" s="144"/>
      <c r="I270" s="149"/>
      <c r="J270" s="149"/>
      <c r="K270" s="149"/>
      <c r="L270" s="149"/>
    </row>
    <row r="271" spans="1:15" x14ac:dyDescent="0.25">
      <c r="A271" s="7"/>
      <c r="C271" s="149"/>
      <c r="D271" s="149"/>
      <c r="E271" s="149"/>
      <c r="F271" s="149"/>
      <c r="G271" s="149"/>
      <c r="H271" s="144"/>
      <c r="I271" s="149"/>
      <c r="J271" s="149"/>
      <c r="K271" s="149"/>
      <c r="L271" s="149"/>
    </row>
    <row r="272" spans="1:15" x14ac:dyDescent="0.25">
      <c r="A272" s="7"/>
      <c r="B272" s="28" t="s">
        <v>18</v>
      </c>
      <c r="C272" s="149"/>
      <c r="D272" s="149"/>
      <c r="E272" s="149">
        <f>+E226*E252/1000000</f>
        <v>319.16781866115195</v>
      </c>
      <c r="F272" s="149">
        <f>+F226*F252/1000000</f>
        <v>430588.13392762776</v>
      </c>
      <c r="G272" s="149">
        <f>+G226*G252/1000000</f>
        <v>308205.84252338012</v>
      </c>
      <c r="I272" s="149">
        <f>+I226*I252/1000000</f>
        <v>4490.1325826565344</v>
      </c>
      <c r="J272" s="149"/>
      <c r="K272" s="149"/>
      <c r="L272" s="149"/>
    </row>
    <row r="273" spans="1:12" x14ac:dyDescent="0.25">
      <c r="A273" s="7"/>
      <c r="B273" s="77" t="s">
        <v>72</v>
      </c>
      <c r="C273" s="149"/>
      <c r="D273" s="149"/>
      <c r="E273" s="149">
        <f>+E227*E253/1000000</f>
        <v>7522.9323541639842</v>
      </c>
      <c r="F273" s="3"/>
      <c r="G273" s="3"/>
      <c r="H273" s="149">
        <f>+H227*H253/1000000</f>
        <v>3662.4992758392091</v>
      </c>
      <c r="I273" s="3"/>
      <c r="J273" s="149"/>
      <c r="K273" s="149"/>
      <c r="L273" s="149"/>
    </row>
    <row r="274" spans="1:12" x14ac:dyDescent="0.25">
      <c r="A274" s="7"/>
      <c r="B274" s="77" t="s">
        <v>73</v>
      </c>
      <c r="C274" s="3"/>
      <c r="D274" s="3"/>
      <c r="E274" s="149">
        <f>+E228*E254/1000000</f>
        <v>5964.2749830692264</v>
      </c>
      <c r="H274" s="149">
        <f>+H228*H254/1000000</f>
        <v>2364.1878033150751</v>
      </c>
      <c r="J274" s="149"/>
      <c r="K274" s="149"/>
      <c r="L274" s="149"/>
    </row>
    <row r="275" spans="1:12" x14ac:dyDescent="0.25">
      <c r="A275" s="7"/>
      <c r="B275" s="5"/>
      <c r="C275"/>
      <c r="D275"/>
      <c r="E275"/>
      <c r="F275"/>
      <c r="G275"/>
      <c r="H275"/>
      <c r="I275"/>
      <c r="J275"/>
      <c r="K275"/>
      <c r="L275"/>
    </row>
    <row r="276" spans="1:12" x14ac:dyDescent="0.25">
      <c r="A276" s="7"/>
      <c r="B276" t="s">
        <v>135</v>
      </c>
      <c r="C276"/>
      <c r="D276"/>
      <c r="E276"/>
      <c r="F276"/>
      <c r="G276"/>
      <c r="H276"/>
      <c r="I276"/>
      <c r="J276"/>
      <c r="K276"/>
      <c r="L276"/>
    </row>
    <row r="277" spans="1:12" x14ac:dyDescent="0.25">
      <c r="A277" s="7"/>
      <c r="B277" s="5" t="s">
        <v>25</v>
      </c>
      <c r="D277"/>
      <c r="E277" s="3">
        <f>SUM(E266:E270)</f>
        <v>6954.8822659156958</v>
      </c>
      <c r="F277" s="3">
        <f>SUM(F266:F270)</f>
        <v>298897.64781877107</v>
      </c>
      <c r="G277" s="3">
        <f>SUM(G266:G270)</f>
        <v>182982.47310981635</v>
      </c>
      <c r="H277" s="3">
        <f>SUM(H266:H270)</f>
        <v>3043.9310213844274</v>
      </c>
      <c r="I277" s="3">
        <f>SUM(I266:I270)</f>
        <v>2265.1163652829064</v>
      </c>
      <c r="J277" s="151">
        <f>SUM(E277:I277)</f>
        <v>494144.05058117048</v>
      </c>
      <c r="K277"/>
      <c r="L277"/>
    </row>
    <row r="278" spans="1:12" x14ac:dyDescent="0.25">
      <c r="A278" s="7"/>
      <c r="B278" s="5" t="s">
        <v>26</v>
      </c>
      <c r="D278"/>
      <c r="E278" s="3">
        <f>SUM(E272:E274)</f>
        <v>13806.375155894362</v>
      </c>
      <c r="F278" s="3">
        <f>SUM(F272:F274)</f>
        <v>430588.13392762776</v>
      </c>
      <c r="G278" s="3">
        <f>SUM(G272:G274)</f>
        <v>308205.84252338012</v>
      </c>
      <c r="H278" s="3">
        <f>SUM(H272:H274)</f>
        <v>6026.6870791542842</v>
      </c>
      <c r="I278" s="3">
        <f>SUM(I272:I274)</f>
        <v>4490.1325826565344</v>
      </c>
      <c r="J278" s="151">
        <f>SUM(E278:I278)</f>
        <v>763117.17126871308</v>
      </c>
      <c r="K278"/>
      <c r="L278"/>
    </row>
    <row r="279" spans="1:12" x14ac:dyDescent="0.25">
      <c r="A279" s="7"/>
      <c r="B279" s="5" t="s">
        <v>13</v>
      </c>
      <c r="D279"/>
      <c r="E279" s="3">
        <f>SUM(E277:E278)</f>
        <v>20761.257421810056</v>
      </c>
      <c r="F279" s="3">
        <f>SUM(F277:F278)</f>
        <v>729485.78174639889</v>
      </c>
      <c r="G279" s="3">
        <f>SUM(G277:G278)</f>
        <v>491188.3156331965</v>
      </c>
      <c r="H279" s="3">
        <f>SUM(H277:H278)</f>
        <v>9070.6181005387116</v>
      </c>
      <c r="I279" s="3">
        <f>SUM(I277:I278)</f>
        <v>6755.2489479394408</v>
      </c>
      <c r="J279" s="3">
        <f>SUM(E279:I279)</f>
        <v>1257261.2218498834</v>
      </c>
      <c r="L279"/>
    </row>
    <row r="280" spans="1:12" x14ac:dyDescent="0.25">
      <c r="A280" s="7"/>
      <c r="B280"/>
      <c r="C280"/>
      <c r="D280"/>
      <c r="E280"/>
      <c r="F280"/>
      <c r="G280"/>
      <c r="H280"/>
      <c r="J280"/>
      <c r="L280"/>
    </row>
    <row r="281" spans="1:12" x14ac:dyDescent="0.25">
      <c r="A281" s="7"/>
      <c r="B281" t="s">
        <v>136</v>
      </c>
      <c r="C281"/>
      <c r="D281"/>
      <c r="E281"/>
      <c r="F281"/>
      <c r="G281"/>
      <c r="H281"/>
      <c r="J281"/>
      <c r="L281"/>
    </row>
    <row r="282" spans="1:12" x14ac:dyDescent="0.25">
      <c r="A282" s="7"/>
      <c r="B282" s="5" t="s">
        <v>25</v>
      </c>
      <c r="C282"/>
      <c r="D282"/>
      <c r="E282" s="150">
        <f t="shared" ref="E282:J282" si="16">+E277/E279</f>
        <v>0.33499330626330337</v>
      </c>
      <c r="F282" s="150">
        <f t="shared" si="16"/>
        <v>0.40973745520194516</v>
      </c>
      <c r="G282" s="150">
        <f t="shared" si="16"/>
        <v>0.37253018299902257</v>
      </c>
      <c r="H282" s="150">
        <f t="shared" si="16"/>
        <v>0.33558143311133842</v>
      </c>
      <c r="I282" s="150">
        <f t="shared" si="16"/>
        <v>0.33531204885851568</v>
      </c>
      <c r="J282" s="150">
        <f t="shared" si="16"/>
        <v>0.39303212569787754</v>
      </c>
      <c r="L282"/>
    </row>
    <row r="283" spans="1:12" x14ac:dyDescent="0.25">
      <c r="A283" s="7"/>
      <c r="B283" s="5" t="s">
        <v>26</v>
      </c>
      <c r="C283"/>
      <c r="D283"/>
      <c r="E283" s="150">
        <f t="shared" ref="E283:J283" si="17">+E278/E279</f>
        <v>0.66500669373669674</v>
      </c>
      <c r="F283" s="150">
        <f t="shared" si="17"/>
        <v>0.59026254479805473</v>
      </c>
      <c r="G283" s="150">
        <f t="shared" si="17"/>
        <v>0.62746981700097737</v>
      </c>
      <c r="H283" s="150">
        <f t="shared" si="17"/>
        <v>0.66441856688866152</v>
      </c>
      <c r="I283" s="150">
        <f t="shared" si="17"/>
        <v>0.66468795114148438</v>
      </c>
      <c r="J283" s="150">
        <f t="shared" si="17"/>
        <v>0.60696787430212251</v>
      </c>
      <c r="L283"/>
    </row>
    <row r="284" spans="1:12" x14ac:dyDescent="0.25">
      <c r="A284" s="7"/>
      <c r="B284" s="5"/>
      <c r="C284"/>
      <c r="D284"/>
      <c r="E284" s="150"/>
      <c r="F284" s="150"/>
      <c r="G284" s="150"/>
      <c r="H284" s="150"/>
      <c r="I284" s="150"/>
      <c r="J284" s="150"/>
      <c r="L284"/>
    </row>
    <row r="285" spans="1:12" x14ac:dyDescent="0.25">
      <c r="A285" s="7"/>
      <c r="B285" s="5"/>
      <c r="C285"/>
      <c r="D285"/>
      <c r="E285" s="150"/>
      <c r="F285" s="150"/>
      <c r="G285" s="150"/>
      <c r="H285" s="150"/>
      <c r="I285" s="150"/>
      <c r="J285" s="150"/>
      <c r="L285"/>
    </row>
    <row r="286" spans="1:12" ht="15.6" x14ac:dyDescent="0.3">
      <c r="A286" s="22"/>
      <c r="B286" s="519" t="str">
        <f>$B$1</f>
        <v xml:space="preserve">Jersey Central Power &amp; Light </v>
      </c>
      <c r="C286" s="519"/>
      <c r="D286" s="519"/>
      <c r="E286" s="519"/>
      <c r="F286" s="519"/>
      <c r="G286" s="519"/>
      <c r="H286" s="519"/>
      <c r="I286" s="519"/>
      <c r="J286" s="519"/>
      <c r="K286" s="519"/>
      <c r="L286" s="519"/>
    </row>
    <row r="287" spans="1:12" ht="15.6" x14ac:dyDescent="0.3">
      <c r="A287" s="22"/>
      <c r="B287" s="519" t="str">
        <f>$B$2</f>
        <v>Attachment 2</v>
      </c>
      <c r="C287" s="519"/>
      <c r="D287" s="519"/>
      <c r="E287" s="519"/>
      <c r="F287" s="519"/>
      <c r="G287" s="519"/>
      <c r="H287" s="519"/>
      <c r="I287" s="519"/>
      <c r="J287" s="519"/>
      <c r="K287" s="519"/>
      <c r="L287" s="519"/>
    </row>
    <row r="288" spans="1:12" x14ac:dyDescent="0.25">
      <c r="A288" s="7"/>
      <c r="B288" s="5"/>
      <c r="C288"/>
      <c r="D288"/>
      <c r="E288" s="150"/>
      <c r="F288" s="150"/>
      <c r="G288" s="150"/>
      <c r="H288" s="150"/>
      <c r="I288" s="150"/>
      <c r="J288" s="150"/>
      <c r="L288"/>
    </row>
    <row r="289" spans="1:12" x14ac:dyDescent="0.25">
      <c r="A289" s="6" t="s">
        <v>138</v>
      </c>
      <c r="B289" s="1" t="s">
        <v>247</v>
      </c>
      <c r="C289"/>
      <c r="D289"/>
      <c r="E289"/>
      <c r="G289" s="81"/>
      <c r="J289"/>
      <c r="L289"/>
    </row>
    <row r="290" spans="1:12" x14ac:dyDescent="0.25">
      <c r="A290" s="7"/>
      <c r="C290" s="74"/>
      <c r="D290" s="74"/>
      <c r="J290"/>
      <c r="L290"/>
    </row>
    <row r="291" spans="1:12" x14ac:dyDescent="0.25">
      <c r="A291" s="7"/>
      <c r="B291" s="16" t="s">
        <v>232</v>
      </c>
      <c r="C291" s="74"/>
      <c r="D291" s="74"/>
      <c r="J291"/>
      <c r="L291"/>
    </row>
    <row r="292" spans="1:12" x14ac:dyDescent="0.25">
      <c r="A292" s="7"/>
      <c r="B292" s="89" t="s">
        <v>103</v>
      </c>
      <c r="C292" s="144">
        <f>J279</f>
        <v>1257261.2218498834</v>
      </c>
      <c r="J292"/>
      <c r="L292"/>
    </row>
    <row r="293" spans="1:12" x14ac:dyDescent="0.25">
      <c r="A293" s="7"/>
      <c r="B293" s="16"/>
      <c r="C293" s="144"/>
      <c r="J293"/>
      <c r="L293"/>
    </row>
    <row r="294" spans="1:12" x14ac:dyDescent="0.25">
      <c r="A294" s="7"/>
      <c r="B294" s="16" t="s">
        <v>230</v>
      </c>
      <c r="C294" s="144"/>
      <c r="E294" s="26" t="str">
        <f>+E$13</f>
        <v>RT{1}</v>
      </c>
      <c r="F294" s="26" t="str">
        <f>+F$13</f>
        <v>RS{2}</v>
      </c>
      <c r="G294" s="26" t="str">
        <f>+G$13</f>
        <v>GS{3}</v>
      </c>
      <c r="H294" s="155" t="str">
        <f>+H$58</f>
        <v>GST {4}</v>
      </c>
      <c r="I294" s="26" t="str">
        <f>+I$13</f>
        <v>OL/SL</v>
      </c>
      <c r="J294" s="2" t="s">
        <v>13</v>
      </c>
      <c r="L294"/>
    </row>
    <row r="295" spans="1:12" x14ac:dyDescent="0.25">
      <c r="A295" s="7"/>
      <c r="B295" s="21" t="s">
        <v>25</v>
      </c>
      <c r="C295" s="144"/>
      <c r="E295" s="161">
        <f>ROUND(SUM(E65:E68)*E95,0)</f>
        <v>88159</v>
      </c>
      <c r="F295" s="161">
        <f>ROUND(SUM(F65:F68)*F95,0)</f>
        <v>3999338</v>
      </c>
      <c r="G295" s="161">
        <f>ROUND(SUM(G65:G68)*G95,0)</f>
        <v>2432688</v>
      </c>
      <c r="H295" s="161">
        <f>ROUND(SUM(H65:H68)*H95,0)</f>
        <v>39041</v>
      </c>
      <c r="I295" s="161">
        <f>ROUND(SUM(I65:I68)*I95,0)</f>
        <v>42568</v>
      </c>
      <c r="J295" s="161">
        <f>SUM(E295:I295)</f>
        <v>6601794</v>
      </c>
      <c r="L295"/>
    </row>
    <row r="296" spans="1:12" x14ac:dyDescent="0.25">
      <c r="A296" s="7"/>
      <c r="B296" s="12" t="s">
        <v>26</v>
      </c>
      <c r="C296" s="144"/>
      <c r="E296" s="161">
        <f>ROUND((E72-SUM(E65:E68))*E95,0)</f>
        <v>184092</v>
      </c>
      <c r="F296" s="161">
        <f>ROUND((F72-SUM(F65:F68))*F95,0)</f>
        <v>5614734</v>
      </c>
      <c r="G296" s="161">
        <f>ROUND((G72-SUM(G65:G68))*G95,0)</f>
        <v>4227852</v>
      </c>
      <c r="H296" s="161">
        <f>ROUND((H72-SUM(H65:H68))*H95,0)</f>
        <v>83394</v>
      </c>
      <c r="I296" s="161">
        <f>ROUND((I72-SUM(I65:I68))*I95,0)</f>
        <v>85207</v>
      </c>
      <c r="J296" s="161">
        <f>SUM(E296:I296)</f>
        <v>10195279</v>
      </c>
      <c r="L296"/>
    </row>
    <row r="297" spans="1:12" x14ac:dyDescent="0.25">
      <c r="A297" s="7"/>
      <c r="C297" s="89"/>
      <c r="D297" s="145"/>
      <c r="J297" s="4"/>
      <c r="L297"/>
    </row>
    <row r="298" spans="1:12" x14ac:dyDescent="0.25">
      <c r="A298" s="7"/>
      <c r="B298" s="16" t="s">
        <v>233</v>
      </c>
      <c r="C298" s="89"/>
      <c r="D298" s="160" t="s">
        <v>221</v>
      </c>
      <c r="E298" s="133" t="s">
        <v>227</v>
      </c>
      <c r="J298"/>
      <c r="L298"/>
    </row>
    <row r="299" spans="1:12" x14ac:dyDescent="0.25">
      <c r="A299" s="7"/>
      <c r="B299" s="284" t="s">
        <v>347</v>
      </c>
      <c r="D299" s="38" t="s">
        <v>224</v>
      </c>
      <c r="E299" s="126">
        <v>74.849999999999994</v>
      </c>
      <c r="F299" s="38" t="s">
        <v>229</v>
      </c>
      <c r="G299" s="38" t="s">
        <v>231</v>
      </c>
      <c r="J299"/>
      <c r="L299"/>
    </row>
    <row r="300" spans="1:12" x14ac:dyDescent="0.25">
      <c r="A300" s="7"/>
      <c r="B300" s="13" t="s">
        <v>226</v>
      </c>
      <c r="C300" s="89"/>
      <c r="D300" s="167">
        <v>1</v>
      </c>
      <c r="E300" s="307">
        <f>ROUND($E$299*D300,3)</f>
        <v>74.849999999999994</v>
      </c>
      <c r="F300" s="55">
        <f>J295</f>
        <v>6601794</v>
      </c>
      <c r="G300" s="144">
        <f>ROUND(F300*E300/1000,0)</f>
        <v>494144</v>
      </c>
      <c r="J300"/>
      <c r="L300"/>
    </row>
    <row r="301" spans="1:12" ht="15" x14ac:dyDescent="0.4">
      <c r="A301" s="7"/>
      <c r="B301" s="13" t="s">
        <v>228</v>
      </c>
      <c r="C301" s="89"/>
      <c r="D301" s="167">
        <v>1</v>
      </c>
      <c r="E301" s="307">
        <f>ROUND($E$299*D301,3)</f>
        <v>74.849999999999994</v>
      </c>
      <c r="F301" s="55">
        <f>J296</f>
        <v>10195279</v>
      </c>
      <c r="G301" s="85">
        <f>ROUND(F301*E301/1000,0)</f>
        <v>763117</v>
      </c>
      <c r="J301"/>
      <c r="L301"/>
    </row>
    <row r="302" spans="1:12" x14ac:dyDescent="0.25">
      <c r="A302" s="7"/>
      <c r="B302" s="13" t="s">
        <v>234</v>
      </c>
      <c r="C302" s="89"/>
      <c r="D302" s="145"/>
      <c r="G302" s="81">
        <f>SUM(G300:G301)</f>
        <v>1257261</v>
      </c>
      <c r="J302"/>
      <c r="L302"/>
    </row>
    <row r="303" spans="1:12" x14ac:dyDescent="0.25">
      <c r="A303" s="7"/>
      <c r="C303" s="89"/>
      <c r="D303" s="145"/>
      <c r="J303"/>
      <c r="L303"/>
    </row>
    <row r="304" spans="1:12" x14ac:dyDescent="0.25">
      <c r="A304" s="7"/>
      <c r="C304" s="89"/>
      <c r="D304" s="145"/>
      <c r="J304"/>
      <c r="L304"/>
    </row>
    <row r="305" spans="1:15" x14ac:dyDescent="0.25">
      <c r="A305" s="6" t="s">
        <v>242</v>
      </c>
      <c r="B305" s="1" t="s">
        <v>235</v>
      </c>
      <c r="C305" s="89"/>
      <c r="D305" s="145"/>
      <c r="F305" s="5" t="s">
        <v>221</v>
      </c>
      <c r="G305" s="5" t="s">
        <v>223</v>
      </c>
      <c r="H305" s="71"/>
      <c r="I305"/>
    </row>
    <row r="306" spans="1:15" x14ac:dyDescent="0.25">
      <c r="A306" s="7"/>
      <c r="B306"/>
      <c r="C306"/>
      <c r="D306"/>
      <c r="E306"/>
      <c r="F306" s="5" t="s">
        <v>237</v>
      </c>
      <c r="G306" s="5" t="s">
        <v>224</v>
      </c>
      <c r="H306" s="5" t="s">
        <v>223</v>
      </c>
      <c r="I306"/>
    </row>
    <row r="307" spans="1:15" x14ac:dyDescent="0.25">
      <c r="A307" s="7"/>
      <c r="B307" t="s">
        <v>236</v>
      </c>
      <c r="C307"/>
      <c r="D307"/>
      <c r="E307"/>
      <c r="F307" s="8" t="s">
        <v>231</v>
      </c>
      <c r="G307" s="8" t="s">
        <v>225</v>
      </c>
      <c r="H307" s="8" t="s">
        <v>224</v>
      </c>
      <c r="I307" s="10"/>
    </row>
    <row r="308" spans="1:15" x14ac:dyDescent="0.25">
      <c r="A308" s="7"/>
      <c r="B308" s="5" t="s">
        <v>25</v>
      </c>
      <c r="C308" s="308">
        <f>J277*1000/J295</f>
        <v>74.849965112690654</v>
      </c>
      <c r="D308" t="s">
        <v>137</v>
      </c>
      <c r="E308"/>
      <c r="F308" s="279">
        <f>E300</f>
        <v>74.849999999999994</v>
      </c>
      <c r="G308" s="159">
        <f>E300/C308</f>
        <v>1.0000004660965345</v>
      </c>
      <c r="H308" s="302">
        <v>1.42967</v>
      </c>
    </row>
    <row r="309" spans="1:15" x14ac:dyDescent="0.25">
      <c r="A309" s="7"/>
      <c r="B309" s="5" t="s">
        <v>26</v>
      </c>
      <c r="C309" s="308">
        <f>J278*1000/J296</f>
        <v>74.850052781165985</v>
      </c>
      <c r="D309" t="s">
        <v>137</v>
      </c>
      <c r="E309"/>
      <c r="F309" s="279">
        <f>E301</f>
        <v>74.849999999999994</v>
      </c>
      <c r="G309" s="159">
        <f>E301/C309</f>
        <v>0.99999929484129901</v>
      </c>
      <c r="H309" s="302">
        <v>1.261979</v>
      </c>
    </row>
    <row r="310" spans="1:15" x14ac:dyDescent="0.25">
      <c r="A310" s="7"/>
      <c r="B310" s="5"/>
      <c r="C310" s="152"/>
      <c r="D310"/>
      <c r="E310"/>
      <c r="F310"/>
      <c r="G310"/>
      <c r="H310" s="2"/>
      <c r="I310" s="104"/>
      <c r="M310" s="16"/>
      <c r="N310" s="104"/>
      <c r="O310" s="104"/>
    </row>
    <row r="311" spans="1:15" x14ac:dyDescent="0.25">
      <c r="A311" s="7"/>
      <c r="B311"/>
      <c r="C311"/>
      <c r="D311"/>
      <c r="E311" s="137"/>
      <c r="F311" s="4"/>
      <c r="G311"/>
      <c r="H311"/>
      <c r="I311"/>
      <c r="J311"/>
      <c r="K311"/>
      <c r="L311"/>
    </row>
    <row r="312" spans="1:15" x14ac:dyDescent="0.25">
      <c r="A312" s="16" t="s">
        <v>108</v>
      </c>
      <c r="E312" s="98"/>
      <c r="F312" s="101"/>
      <c r="I312"/>
      <c r="J312"/>
      <c r="K312"/>
      <c r="L312"/>
    </row>
    <row r="313" spans="1:15" x14ac:dyDescent="0.25">
      <c r="A313" s="22"/>
      <c r="B313" s="89" t="s">
        <v>132</v>
      </c>
      <c r="C313" s="102">
        <f>E179</f>
        <v>149.83799999999999</v>
      </c>
      <c r="D313" s="93" t="s">
        <v>160</v>
      </c>
      <c r="E313" s="98"/>
      <c r="F313" s="101"/>
      <c r="I313"/>
      <c r="J313"/>
      <c r="K313"/>
      <c r="L313"/>
    </row>
    <row r="314" spans="1:15" x14ac:dyDescent="0.25">
      <c r="A314" s="22"/>
      <c r="B314" s="89"/>
      <c r="C314" s="102">
        <f>E180</f>
        <v>149.83799999999999</v>
      </c>
      <c r="D314" s="93" t="s">
        <v>161</v>
      </c>
      <c r="E314" s="98"/>
      <c r="F314" s="101"/>
      <c r="I314"/>
      <c r="J314"/>
      <c r="K314"/>
      <c r="L314"/>
    </row>
    <row r="315" spans="1:15" x14ac:dyDescent="0.25">
      <c r="A315" s="22"/>
      <c r="B315" s="89" t="s">
        <v>159</v>
      </c>
      <c r="C315" s="81" t="s">
        <v>158</v>
      </c>
      <c r="D315" s="93"/>
      <c r="E315" s="98"/>
      <c r="F315" s="101"/>
      <c r="I315"/>
      <c r="J315"/>
      <c r="K315"/>
      <c r="L315"/>
    </row>
    <row r="316" spans="1:15" x14ac:dyDescent="0.25">
      <c r="A316" s="22"/>
      <c r="B316" s="89" t="s">
        <v>109</v>
      </c>
      <c r="C316" s="148">
        <f>+H173</f>
        <v>4</v>
      </c>
      <c r="D316" s="13" t="s">
        <v>110</v>
      </c>
      <c r="E316" s="98"/>
      <c r="F316" s="101"/>
      <c r="I316"/>
      <c r="J316"/>
      <c r="K316"/>
      <c r="L316"/>
    </row>
    <row r="317" spans="1:15" x14ac:dyDescent="0.25">
      <c r="A317" s="22"/>
      <c r="B317" s="89"/>
      <c r="C317" s="148">
        <f>+H174</f>
        <v>8</v>
      </c>
      <c r="D317" s="13" t="s">
        <v>111</v>
      </c>
      <c r="E317" s="98"/>
      <c r="F317" s="101"/>
      <c r="I317"/>
      <c r="J317"/>
      <c r="K317"/>
      <c r="L317"/>
    </row>
    <row r="318" spans="1:15" x14ac:dyDescent="0.25">
      <c r="A318" s="22"/>
      <c r="B318" s="89" t="s">
        <v>112</v>
      </c>
      <c r="C318" s="102">
        <f>+E194</f>
        <v>3.786</v>
      </c>
      <c r="D318" s="13" t="s">
        <v>113</v>
      </c>
      <c r="E318" s="98"/>
      <c r="F318" s="101"/>
      <c r="I318"/>
      <c r="J318"/>
      <c r="K318"/>
      <c r="L318"/>
    </row>
    <row r="319" spans="1:15" x14ac:dyDescent="0.25">
      <c r="A319" s="22"/>
      <c r="B319" s="89" t="s">
        <v>114</v>
      </c>
      <c r="C319" s="21" t="s">
        <v>250</v>
      </c>
      <c r="E319" s="98"/>
      <c r="F319" s="101"/>
      <c r="I319"/>
      <c r="J319"/>
      <c r="K319"/>
      <c r="L319"/>
    </row>
    <row r="320" spans="1:15" x14ac:dyDescent="0.25">
      <c r="A320" s="22"/>
      <c r="B320" s="89"/>
      <c r="C320" s="336" t="s">
        <v>348</v>
      </c>
      <c r="E320" s="98"/>
      <c r="F320" s="101"/>
      <c r="I320"/>
      <c r="J320"/>
      <c r="K320"/>
      <c r="L320"/>
    </row>
    <row r="321" spans="1:12" x14ac:dyDescent="0.25">
      <c r="A321" s="22"/>
      <c r="B321" s="89" t="s">
        <v>115</v>
      </c>
      <c r="C321" s="12" t="str">
        <f>'BGS PTY15 Cost Alloc'!C$318</f>
        <v xml:space="preserve"> forecasted 2016 energy use by class based upon PJM on/off % from 2013 through 2015 class load profiles</v>
      </c>
      <c r="E321" s="98"/>
      <c r="F321" s="101"/>
      <c r="I321"/>
      <c r="J321"/>
      <c r="K321"/>
      <c r="L321"/>
    </row>
    <row r="322" spans="1:12" x14ac:dyDescent="0.25">
      <c r="A322" s="22"/>
      <c r="B322" s="89"/>
      <c r="C322" s="12" t="str">
        <f>'BGS PTY15 Cost Alloc'!C$319</f>
        <v xml:space="preserve">   JCP&amp;L billing on/off % from 2016 forecasted billing determinants</v>
      </c>
      <c r="E322" s="98"/>
      <c r="F322" s="101"/>
      <c r="I322"/>
      <c r="J322"/>
      <c r="K322"/>
      <c r="L322"/>
    </row>
    <row r="323" spans="1:12" x14ac:dyDescent="0.25">
      <c r="A323" s="22"/>
      <c r="B323" s="89" t="s">
        <v>116</v>
      </c>
      <c r="C323" s="12" t="str">
        <f>'BGS PTY15 Cost Alloc'!C$320</f>
        <v xml:space="preserve"> class totals for 2016 excluding accounts required to take service under BGS-CIEP as of June 1, 2017</v>
      </c>
      <c r="E323" s="98"/>
      <c r="F323" s="101"/>
      <c r="I323"/>
      <c r="J323"/>
      <c r="K323"/>
      <c r="L323"/>
    </row>
    <row r="324" spans="1:12" x14ac:dyDescent="0.25">
      <c r="A324" s="22"/>
      <c r="B324" s="89" t="s">
        <v>117</v>
      </c>
      <c r="C324" s="13" t="s">
        <v>166</v>
      </c>
      <c r="E324" s="98"/>
      <c r="F324" s="101"/>
      <c r="I324"/>
      <c r="J324"/>
      <c r="K324"/>
      <c r="L324"/>
    </row>
    <row r="325" spans="1:12" x14ac:dyDescent="0.25">
      <c r="A325" s="22"/>
      <c r="B325" s="89" t="s">
        <v>118</v>
      </c>
      <c r="C325" s="13" t="s">
        <v>214</v>
      </c>
      <c r="E325" s="100"/>
      <c r="F325" s="101"/>
      <c r="I325"/>
      <c r="J325"/>
      <c r="K325"/>
      <c r="L325"/>
    </row>
    <row r="326" spans="1:12" x14ac:dyDescent="0.25">
      <c r="C326" s="13" t="s">
        <v>119</v>
      </c>
      <c r="E326" s="98"/>
      <c r="F326" s="101"/>
      <c r="I326"/>
      <c r="J326"/>
      <c r="K326"/>
      <c r="L326"/>
    </row>
    <row r="327" spans="1:12" x14ac:dyDescent="0.25">
      <c r="B327" s="89" t="s">
        <v>120</v>
      </c>
      <c r="C327" s="103" t="s">
        <v>189</v>
      </c>
      <c r="E327" s="98"/>
      <c r="F327" s="101"/>
      <c r="I327"/>
      <c r="J327"/>
      <c r="K327"/>
      <c r="L327"/>
    </row>
    <row r="328" spans="1:12" x14ac:dyDescent="0.25">
      <c r="A328" s="22"/>
      <c r="C328" s="103" t="s">
        <v>121</v>
      </c>
      <c r="E328" s="99"/>
      <c r="I328"/>
      <c r="J328"/>
      <c r="K328"/>
      <c r="L328"/>
    </row>
    <row r="329" spans="1:12" x14ac:dyDescent="0.25">
      <c r="C329" s="103" t="s">
        <v>188</v>
      </c>
      <c r="I329"/>
      <c r="J329"/>
      <c r="K329"/>
      <c r="L329"/>
    </row>
    <row r="330" spans="1:12" x14ac:dyDescent="0.25">
      <c r="A330" s="7"/>
      <c r="B330" s="516" t="s">
        <v>383</v>
      </c>
      <c r="C330" s="517" t="s">
        <v>384</v>
      </c>
      <c r="D330"/>
      <c r="E330" s="137"/>
      <c r="F330" s="4"/>
      <c r="G330"/>
      <c r="H330"/>
      <c r="I330"/>
      <c r="J330"/>
      <c r="K330"/>
      <c r="L330"/>
    </row>
    <row r="331" spans="1:12" x14ac:dyDescent="0.25">
      <c r="A331" s="7"/>
      <c r="B331"/>
      <c r="C331" s="9"/>
      <c r="D331"/>
      <c r="E331" s="137"/>
      <c r="F331" s="137"/>
      <c r="G331"/>
      <c r="H331"/>
      <c r="I331"/>
      <c r="J331"/>
      <c r="K331"/>
      <c r="L331"/>
    </row>
    <row r="336" spans="1:12" x14ac:dyDescent="0.25">
      <c r="L336" s="144"/>
    </row>
    <row r="345" spans="12:12" x14ac:dyDescent="0.25">
      <c r="L345" s="144"/>
    </row>
    <row r="346" spans="12:12" x14ac:dyDescent="0.25">
      <c r="L346" s="144"/>
    </row>
    <row r="347" spans="12:12" x14ac:dyDescent="0.25">
      <c r="L347" s="144"/>
    </row>
    <row r="348" spans="12:12" x14ac:dyDescent="0.25">
      <c r="L348" s="139"/>
    </row>
    <row r="349" spans="12:12" x14ac:dyDescent="0.25">
      <c r="L349" s="139"/>
    </row>
    <row r="350" spans="12:12" x14ac:dyDescent="0.25">
      <c r="L350" s="139"/>
    </row>
  </sheetData>
  <sheetProtection password="D6B5" sheet="1" objects="1" scenarios="1" selectLockedCells="1" selectUnlockedCells="1"/>
  <mergeCells count="16">
    <mergeCell ref="B144:L144"/>
    <mergeCell ref="B286:L286"/>
    <mergeCell ref="B287:L287"/>
    <mergeCell ref="B239:L239"/>
    <mergeCell ref="B240:L240"/>
    <mergeCell ref="B209:L209"/>
    <mergeCell ref="B210:L210"/>
    <mergeCell ref="B103:L103"/>
    <mergeCell ref="B104:L104"/>
    <mergeCell ref="B143:L143"/>
    <mergeCell ref="B1:L1"/>
    <mergeCell ref="B2:L2"/>
    <mergeCell ref="B52:L52"/>
    <mergeCell ref="B53:L53"/>
    <mergeCell ref="B5:L5"/>
    <mergeCell ref="B3:L3"/>
  </mergeCells>
  <phoneticPr fontId="33" type="noConversion"/>
  <pageMargins left="0.97" right="0.79" top="0.69" bottom="0.67" header="0.33" footer="0.5"/>
  <pageSetup scale="60" orientation="landscape" r:id="rId1"/>
  <headerFooter alignWithMargins="0">
    <oddFooter>&amp;L&amp;F    &amp;A&amp;CPage &amp;P of &amp;N&amp;R&amp;D</oddFooter>
  </headerFooter>
  <rowBreaks count="6" manualBreakCount="6">
    <brk id="51" max="11" man="1"/>
    <brk id="102" max="11" man="1"/>
    <brk id="142" max="11" man="1"/>
    <brk id="208" max="11" man="1"/>
    <brk id="238" max="11" man="1"/>
    <brk id="285"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Y329"/>
  <sheetViews>
    <sheetView view="pageBreakPreview" topLeftCell="A271" zoomScale="70" zoomScaleNormal="100" zoomScaleSheetLayoutView="70" workbookViewId="0">
      <selection activeCell="J332" sqref="J332"/>
    </sheetView>
  </sheetViews>
  <sheetFormatPr defaultColWidth="9.109375" defaultRowHeight="13.2" x14ac:dyDescent="0.25"/>
  <cols>
    <col min="1" max="1" width="16.109375" style="12" customWidth="1"/>
    <col min="2" max="2" width="27.88671875" style="13" customWidth="1"/>
    <col min="3" max="3" width="14.5546875" style="13" customWidth="1"/>
    <col min="4" max="4" width="12.5546875" style="13" customWidth="1"/>
    <col min="5" max="5" width="14.44140625" style="13" customWidth="1"/>
    <col min="6" max="7" width="16.109375" style="13" customWidth="1"/>
    <col min="8" max="8" width="15.109375" style="13" customWidth="1"/>
    <col min="9" max="9" width="14.5546875" style="13" customWidth="1"/>
    <col min="10" max="10" width="15.44140625" style="13" customWidth="1"/>
    <col min="11" max="11" width="4.88671875" style="13" customWidth="1"/>
    <col min="12" max="12" width="6.5546875" style="13" customWidth="1"/>
    <col min="13" max="13" width="15.88671875" style="13" hidden="1" customWidth="1"/>
    <col min="14" max="14" width="18" style="13" hidden="1" customWidth="1"/>
    <col min="15" max="16" width="12.44140625" style="13" hidden="1" customWidth="1"/>
    <col min="17" max="17" width="15.5546875" style="13" hidden="1" customWidth="1"/>
    <col min="18" max="18" width="14.44140625" style="13" hidden="1" customWidth="1"/>
    <col min="19" max="19" width="14.88671875" style="13" hidden="1" customWidth="1"/>
    <col min="20" max="20" width="15.109375" style="13" hidden="1" customWidth="1"/>
    <col min="21" max="21" width="14.109375" style="13" hidden="1" customWidth="1"/>
    <col min="22" max="22" width="12.44140625" style="13" hidden="1" customWidth="1"/>
    <col min="23" max="23" width="13.44140625" style="13" hidden="1" customWidth="1"/>
    <col min="24" max="24" width="15.44140625" style="13" hidden="1" customWidth="1"/>
    <col min="25" max="25" width="12.88671875" style="13" hidden="1" customWidth="1"/>
    <col min="26" max="26" width="11.5546875" style="13" hidden="1" customWidth="1"/>
    <col min="27" max="27" width="12.5546875" style="13" hidden="1" customWidth="1"/>
    <col min="28" max="28" width="16.88671875" style="13" hidden="1" customWidth="1"/>
    <col min="29" max="29" width="15.6640625" style="13" hidden="1" customWidth="1"/>
    <col min="30" max="30" width="14.109375" style="13" hidden="1" customWidth="1"/>
    <col min="31" max="31" width="16.44140625" style="13" hidden="1" customWidth="1"/>
    <col min="32" max="32" width="9.109375" style="13" hidden="1" customWidth="1"/>
    <col min="33" max="33" width="12" style="13" hidden="1" customWidth="1"/>
    <col min="34" max="34" width="13.44140625" style="13" hidden="1" customWidth="1"/>
    <col min="35" max="35" width="9.109375" style="13" customWidth="1"/>
    <col min="36" max="36" width="11" style="13" customWidth="1"/>
    <col min="37" max="37" width="14.5546875" style="13" customWidth="1"/>
    <col min="38" max="38" width="12.44140625" style="13" customWidth="1"/>
    <col min="39" max="46" width="9.109375" style="13" customWidth="1"/>
    <col min="47" max="48" width="10.88671875" style="13" hidden="1" customWidth="1"/>
    <col min="49" max="49" width="12.44140625" style="13" hidden="1" customWidth="1"/>
    <col min="50" max="50" width="10.88671875" style="13" hidden="1" customWidth="1"/>
    <col min="51" max="51" width="11.44140625" style="13" hidden="1" customWidth="1"/>
    <col min="52" max="16384" width="9.109375" style="13"/>
  </cols>
  <sheetData>
    <row r="1" spans="1:26" ht="15.6" x14ac:dyDescent="0.3">
      <c r="B1" s="519" t="s">
        <v>69</v>
      </c>
      <c r="C1" s="519"/>
      <c r="D1" s="519"/>
      <c r="E1" s="519"/>
      <c r="F1" s="519"/>
      <c r="G1" s="519"/>
      <c r="H1" s="519"/>
      <c r="I1" s="519"/>
      <c r="J1" s="519"/>
      <c r="K1" s="519"/>
      <c r="L1" s="519"/>
    </row>
    <row r="2" spans="1:26" ht="15.6" x14ac:dyDescent="0.3">
      <c r="B2" s="519" t="s">
        <v>187</v>
      </c>
      <c r="C2" s="519"/>
      <c r="D2" s="519"/>
      <c r="E2" s="519"/>
      <c r="F2" s="519"/>
      <c r="G2" s="519"/>
      <c r="H2" s="519"/>
      <c r="I2" s="519"/>
      <c r="J2" s="519"/>
      <c r="K2" s="519"/>
      <c r="L2" s="519"/>
    </row>
    <row r="3" spans="1:26" ht="15.6" x14ac:dyDescent="0.3">
      <c r="B3" s="520" t="s">
        <v>355</v>
      </c>
      <c r="C3" s="520"/>
      <c r="D3" s="520"/>
      <c r="E3" s="520"/>
      <c r="F3" s="520"/>
      <c r="G3" s="520"/>
      <c r="H3" s="520"/>
      <c r="I3" s="520"/>
      <c r="J3" s="520"/>
      <c r="K3" s="520"/>
      <c r="L3" s="520"/>
    </row>
    <row r="4" spans="1:26" ht="15.6" x14ac:dyDescent="0.3">
      <c r="B4" s="166"/>
      <c r="C4" s="166"/>
      <c r="D4" s="166"/>
      <c r="E4" s="166"/>
      <c r="F4" s="166"/>
      <c r="G4" s="166"/>
      <c r="H4" s="166"/>
      <c r="I4" s="166"/>
      <c r="J4" s="166"/>
      <c r="K4" s="166"/>
      <c r="L4" s="166"/>
    </row>
    <row r="5" spans="1:26" ht="15.6" x14ac:dyDescent="0.3">
      <c r="B5" s="520" t="s">
        <v>346</v>
      </c>
      <c r="C5" s="520"/>
      <c r="D5" s="520"/>
      <c r="E5" s="520"/>
      <c r="F5" s="520"/>
      <c r="G5" s="520"/>
      <c r="H5" s="520"/>
      <c r="I5" s="520"/>
      <c r="J5" s="520"/>
      <c r="K5" s="520"/>
      <c r="L5" s="520"/>
    </row>
    <row r="8" spans="1:26" ht="15.6" x14ac:dyDescent="0.3">
      <c r="B8" s="14" t="s">
        <v>50</v>
      </c>
    </row>
    <row r="9" spans="1:26" x14ac:dyDescent="0.25">
      <c r="A9" s="15"/>
      <c r="B9" s="16" t="s">
        <v>45</v>
      </c>
    </row>
    <row r="10" spans="1:26" x14ac:dyDescent="0.25">
      <c r="E10" s="17" t="s">
        <v>354</v>
      </c>
      <c r="F10" s="90"/>
      <c r="G10" s="90"/>
      <c r="H10" s="90"/>
    </row>
    <row r="11" spans="1:26" x14ac:dyDescent="0.25">
      <c r="A11" s="18" t="s">
        <v>30</v>
      </c>
      <c r="B11" s="19" t="s">
        <v>47</v>
      </c>
      <c r="C11" s="20"/>
      <c r="E11" s="17" t="s">
        <v>27</v>
      </c>
      <c r="N11" s="19"/>
      <c r="P11" s="21"/>
      <c r="Q11" s="19" t="s">
        <v>212</v>
      </c>
      <c r="R11" s="21"/>
      <c r="S11" s="21"/>
      <c r="T11" s="21"/>
      <c r="U11" s="21"/>
      <c r="V11" s="21"/>
      <c r="W11" s="21"/>
      <c r="X11" s="21"/>
      <c r="Y11" s="21"/>
      <c r="Z11" s="21"/>
    </row>
    <row r="12" spans="1:26" ht="26.4" x14ac:dyDescent="0.25">
      <c r="A12" s="22"/>
      <c r="C12" s="23"/>
      <c r="D12" s="23"/>
      <c r="E12" s="23" t="s">
        <v>24</v>
      </c>
      <c r="F12" s="23" t="s">
        <v>24</v>
      </c>
      <c r="G12" s="23" t="s">
        <v>24</v>
      </c>
      <c r="H12" s="23" t="s">
        <v>24</v>
      </c>
      <c r="I12" s="23" t="s">
        <v>56</v>
      </c>
      <c r="L12" s="23"/>
      <c r="M12" s="23"/>
      <c r="N12" s="17"/>
      <c r="O12" s="23"/>
      <c r="P12" s="23"/>
      <c r="Q12" s="23" t="s">
        <v>24</v>
      </c>
      <c r="R12" s="23" t="s">
        <v>24</v>
      </c>
      <c r="S12" s="23" t="s">
        <v>24</v>
      </c>
      <c r="T12" s="23" t="s">
        <v>24</v>
      </c>
      <c r="U12" s="23" t="s">
        <v>56</v>
      </c>
      <c r="W12" s="23"/>
      <c r="X12" s="23"/>
      <c r="Y12" s="23"/>
      <c r="Z12" s="23"/>
    </row>
    <row r="13" spans="1:26" x14ac:dyDescent="0.25">
      <c r="A13" s="22"/>
      <c r="B13" s="24" t="s">
        <v>190</v>
      </c>
      <c r="C13" s="25"/>
      <c r="D13" s="25"/>
      <c r="E13" s="26" t="s">
        <v>61</v>
      </c>
      <c r="F13" s="26" t="s">
        <v>62</v>
      </c>
      <c r="G13" s="26" t="s">
        <v>65</v>
      </c>
      <c r="H13" s="26" t="s">
        <v>54</v>
      </c>
      <c r="I13" s="26" t="s">
        <v>55</v>
      </c>
      <c r="J13" s="25"/>
      <c r="K13" s="25"/>
      <c r="L13" s="25"/>
      <c r="M13" s="25"/>
      <c r="N13" s="27"/>
      <c r="O13" s="26"/>
      <c r="P13" s="26"/>
      <c r="Q13" s="26" t="str">
        <f>+E13</f>
        <v>RT{1}</v>
      </c>
      <c r="R13" s="26" t="str">
        <f>+F13</f>
        <v>RS{2}</v>
      </c>
      <c r="S13" s="26" t="str">
        <f>+G13</f>
        <v>GS{3}</v>
      </c>
      <c r="T13" s="26" t="str">
        <f>+H13</f>
        <v>GST</v>
      </c>
      <c r="U13" s="26" t="str">
        <f>+I13</f>
        <v>OL/SL</v>
      </c>
      <c r="V13" s="26"/>
      <c r="W13" s="26"/>
      <c r="X13" s="26"/>
      <c r="Y13" s="26"/>
      <c r="Z13" s="26"/>
    </row>
    <row r="14" spans="1:26" x14ac:dyDescent="0.25">
      <c r="A14" s="22"/>
      <c r="O14" s="21"/>
      <c r="P14" s="21"/>
      <c r="Q14" s="21"/>
      <c r="R14" s="21"/>
      <c r="S14" s="21"/>
      <c r="T14" s="21"/>
      <c r="U14" s="21"/>
      <c r="V14" s="21"/>
      <c r="W14" s="21"/>
      <c r="X14" s="21"/>
      <c r="Y14" s="21"/>
      <c r="Z14" s="21"/>
    </row>
    <row r="15" spans="1:26" x14ac:dyDescent="0.25">
      <c r="A15" s="22"/>
      <c r="B15" s="28" t="s">
        <v>1</v>
      </c>
      <c r="C15" s="29"/>
      <c r="D15" s="29"/>
      <c r="E15" s="329">
        <v>0.49080000000000001</v>
      </c>
      <c r="F15" s="329">
        <v>0.51570000000000005</v>
      </c>
      <c r="G15" s="329">
        <v>0.57820000000000005</v>
      </c>
      <c r="H15" s="329">
        <v>0.55479999999999996</v>
      </c>
      <c r="I15" s="329">
        <v>0.34320000000000001</v>
      </c>
      <c r="J15" s="29"/>
      <c r="K15" s="29"/>
      <c r="L15" s="30"/>
      <c r="M15" s="30"/>
      <c r="N15" s="31"/>
      <c r="O15" s="32"/>
      <c r="P15" s="32"/>
      <c r="Q15" s="32">
        <f t="shared" ref="Q15:Q26" si="0">1-E15</f>
        <v>0.50919999999999999</v>
      </c>
      <c r="R15" s="32">
        <f t="shared" ref="R15:R26" si="1">1-F15</f>
        <v>0.48429999999999995</v>
      </c>
      <c r="S15" s="32">
        <f t="shared" ref="S15:S26" si="2">1-G15</f>
        <v>0.42179999999999995</v>
      </c>
      <c r="T15" s="32">
        <f t="shared" ref="T15:T26" si="3">1-H15</f>
        <v>0.44520000000000004</v>
      </c>
      <c r="U15" s="32">
        <f t="shared" ref="U15:U26" si="4">1-I15</f>
        <v>0.65680000000000005</v>
      </c>
      <c r="V15" s="32"/>
      <c r="W15" s="32"/>
      <c r="X15" s="32"/>
      <c r="Y15" s="32"/>
      <c r="Z15" s="32"/>
    </row>
    <row r="16" spans="1:26" x14ac:dyDescent="0.25">
      <c r="A16" s="22"/>
      <c r="B16" s="28" t="s">
        <v>2</v>
      </c>
      <c r="C16" s="29"/>
      <c r="D16" s="29"/>
      <c r="E16" s="329">
        <v>0.4819</v>
      </c>
      <c r="F16" s="329">
        <v>0.51149999999999995</v>
      </c>
      <c r="G16" s="329">
        <v>0.57440000000000002</v>
      </c>
      <c r="H16" s="329">
        <v>0.55359999999999998</v>
      </c>
      <c r="I16" s="329">
        <v>0.31630000000000003</v>
      </c>
      <c r="J16" s="29"/>
      <c r="K16" s="29"/>
      <c r="L16" s="30"/>
      <c r="M16" s="30"/>
      <c r="N16" s="31"/>
      <c r="O16" s="32"/>
      <c r="P16" s="32"/>
      <c r="Q16" s="32">
        <f t="shared" si="0"/>
        <v>0.5181</v>
      </c>
      <c r="R16" s="32">
        <f t="shared" si="1"/>
        <v>0.48850000000000005</v>
      </c>
      <c r="S16" s="32">
        <f t="shared" si="2"/>
        <v>0.42559999999999998</v>
      </c>
      <c r="T16" s="32">
        <f t="shared" si="3"/>
        <v>0.44640000000000002</v>
      </c>
      <c r="U16" s="32">
        <f t="shared" si="4"/>
        <v>0.68369999999999997</v>
      </c>
      <c r="V16" s="32"/>
      <c r="W16" s="32"/>
      <c r="X16" s="32"/>
      <c r="Y16" s="32"/>
      <c r="Z16" s="32"/>
    </row>
    <row r="17" spans="1:26" x14ac:dyDescent="0.25">
      <c r="A17" s="22"/>
      <c r="B17" s="28" t="s">
        <v>3</v>
      </c>
      <c r="C17" s="29"/>
      <c r="D17" s="29"/>
      <c r="E17" s="329">
        <v>0.47589999999999999</v>
      </c>
      <c r="F17" s="329">
        <v>0.49380000000000002</v>
      </c>
      <c r="G17" s="329">
        <v>0.57830000000000004</v>
      </c>
      <c r="H17" s="329">
        <v>0.54449999999999998</v>
      </c>
      <c r="I17" s="329">
        <v>0.2712</v>
      </c>
      <c r="J17" s="29"/>
      <c r="K17" s="29"/>
      <c r="L17" s="30"/>
      <c r="M17" s="30"/>
      <c r="N17" s="31"/>
      <c r="O17" s="32"/>
      <c r="P17" s="32"/>
      <c r="Q17" s="32">
        <f t="shared" si="0"/>
        <v>0.52410000000000001</v>
      </c>
      <c r="R17" s="32">
        <f t="shared" si="1"/>
        <v>0.50619999999999998</v>
      </c>
      <c r="S17" s="32">
        <f t="shared" si="2"/>
        <v>0.42169999999999996</v>
      </c>
      <c r="T17" s="32">
        <f t="shared" si="3"/>
        <v>0.45550000000000002</v>
      </c>
      <c r="U17" s="32">
        <f t="shared" si="4"/>
        <v>0.7288</v>
      </c>
      <c r="V17" s="32"/>
      <c r="W17" s="32"/>
      <c r="X17" s="32"/>
      <c r="Y17" s="32"/>
      <c r="Z17" s="32"/>
    </row>
    <row r="18" spans="1:26" x14ac:dyDescent="0.25">
      <c r="A18" s="22"/>
      <c r="B18" s="28" t="s">
        <v>4</v>
      </c>
      <c r="C18" s="29"/>
      <c r="D18" s="29"/>
      <c r="E18" s="329">
        <v>0.50480000000000003</v>
      </c>
      <c r="F18" s="329">
        <v>0.52080000000000004</v>
      </c>
      <c r="G18" s="329">
        <v>0.61429999999999996</v>
      </c>
      <c r="H18" s="329">
        <v>0.59</v>
      </c>
      <c r="I18" s="329">
        <v>0.26250000000000001</v>
      </c>
      <c r="J18" s="29"/>
      <c r="K18" s="29"/>
      <c r="L18" s="30"/>
      <c r="M18" s="30"/>
      <c r="N18" s="31"/>
      <c r="O18" s="32"/>
      <c r="P18" s="32"/>
      <c r="Q18" s="32">
        <f t="shared" si="0"/>
        <v>0.49519999999999997</v>
      </c>
      <c r="R18" s="32">
        <f t="shared" si="1"/>
        <v>0.47919999999999996</v>
      </c>
      <c r="S18" s="32">
        <f t="shared" si="2"/>
        <v>0.38570000000000004</v>
      </c>
      <c r="T18" s="32">
        <f t="shared" si="3"/>
        <v>0.41000000000000003</v>
      </c>
      <c r="U18" s="32">
        <f t="shared" si="4"/>
        <v>0.73750000000000004</v>
      </c>
      <c r="V18" s="32"/>
      <c r="W18" s="32"/>
      <c r="X18" s="32"/>
      <c r="Y18" s="32"/>
      <c r="Z18" s="32"/>
    </row>
    <row r="19" spans="1:26" x14ac:dyDescent="0.25">
      <c r="A19" s="22"/>
      <c r="B19" s="28" t="s">
        <v>5</v>
      </c>
      <c r="C19" s="29"/>
      <c r="D19" s="29"/>
      <c r="E19" s="329">
        <v>0.48139999999999999</v>
      </c>
      <c r="F19" s="329">
        <v>0.49299999999999999</v>
      </c>
      <c r="G19" s="329">
        <v>0.59119999999999995</v>
      </c>
      <c r="H19" s="329">
        <v>0.57809999999999995</v>
      </c>
      <c r="I19" s="329">
        <v>0.24210000000000001</v>
      </c>
      <c r="J19" s="29"/>
      <c r="K19" s="29"/>
      <c r="L19" s="30"/>
      <c r="M19" s="30"/>
      <c r="N19" s="31"/>
      <c r="O19" s="32"/>
      <c r="P19" s="32"/>
      <c r="Q19" s="32">
        <f t="shared" si="0"/>
        <v>0.51859999999999995</v>
      </c>
      <c r="R19" s="32">
        <f t="shared" si="1"/>
        <v>0.50700000000000001</v>
      </c>
      <c r="S19" s="32">
        <f t="shared" si="2"/>
        <v>0.40880000000000005</v>
      </c>
      <c r="T19" s="32">
        <f t="shared" si="3"/>
        <v>0.42190000000000005</v>
      </c>
      <c r="U19" s="32">
        <f t="shared" si="4"/>
        <v>0.75790000000000002</v>
      </c>
      <c r="V19" s="32"/>
      <c r="W19" s="32"/>
      <c r="X19" s="32"/>
      <c r="Y19" s="32"/>
      <c r="Z19" s="32"/>
    </row>
    <row r="20" spans="1:26" x14ac:dyDescent="0.25">
      <c r="A20" s="22"/>
      <c r="B20" s="186" t="s">
        <v>6</v>
      </c>
      <c r="C20" s="210"/>
      <c r="D20" s="210"/>
      <c r="E20" s="330">
        <v>0.51149999999999995</v>
      </c>
      <c r="F20" s="330">
        <v>0.51590000000000003</v>
      </c>
      <c r="G20" s="330">
        <v>0.58189999999999997</v>
      </c>
      <c r="H20" s="330">
        <v>0.58020000000000005</v>
      </c>
      <c r="I20" s="331">
        <v>0.22559999999999999</v>
      </c>
      <c r="J20" s="29"/>
      <c r="K20" s="29"/>
      <c r="L20" s="30"/>
      <c r="M20" s="30"/>
      <c r="N20" s="31"/>
      <c r="O20" s="32"/>
      <c r="P20" s="32"/>
      <c r="Q20" s="32">
        <f t="shared" si="0"/>
        <v>0.48850000000000005</v>
      </c>
      <c r="R20" s="32">
        <f t="shared" si="1"/>
        <v>0.48409999999999997</v>
      </c>
      <c r="S20" s="32">
        <f t="shared" si="2"/>
        <v>0.41810000000000003</v>
      </c>
      <c r="T20" s="32">
        <f t="shared" si="3"/>
        <v>0.41979999999999995</v>
      </c>
      <c r="U20" s="32">
        <f t="shared" si="4"/>
        <v>0.77439999999999998</v>
      </c>
      <c r="V20" s="32"/>
      <c r="W20" s="32"/>
      <c r="X20" s="32"/>
      <c r="Y20" s="32"/>
      <c r="Z20" s="32"/>
    </row>
    <row r="21" spans="1:26" x14ac:dyDescent="0.25">
      <c r="A21" s="22"/>
      <c r="B21" s="190" t="s">
        <v>7</v>
      </c>
      <c r="C21" s="180"/>
      <c r="D21" s="180"/>
      <c r="E21" s="332">
        <v>0.53710000000000002</v>
      </c>
      <c r="F21" s="332">
        <v>0.53549999999999998</v>
      </c>
      <c r="G21" s="332">
        <v>0.60360000000000003</v>
      </c>
      <c r="H21" s="332">
        <v>0.59740000000000004</v>
      </c>
      <c r="I21" s="333">
        <v>0.24129999999999999</v>
      </c>
      <c r="J21" s="29"/>
      <c r="K21" s="29"/>
      <c r="L21" s="30"/>
      <c r="M21" s="30"/>
      <c r="N21" s="31"/>
      <c r="O21" s="32"/>
      <c r="P21" s="32"/>
      <c r="Q21" s="32">
        <f t="shared" si="0"/>
        <v>0.46289999999999998</v>
      </c>
      <c r="R21" s="32">
        <f t="shared" si="1"/>
        <v>0.46450000000000002</v>
      </c>
      <c r="S21" s="32">
        <f t="shared" si="2"/>
        <v>0.39639999999999997</v>
      </c>
      <c r="T21" s="32">
        <f t="shared" si="3"/>
        <v>0.40259999999999996</v>
      </c>
      <c r="U21" s="32">
        <f t="shared" si="4"/>
        <v>0.75870000000000004</v>
      </c>
      <c r="V21" s="32"/>
      <c r="W21" s="32"/>
      <c r="X21" s="32"/>
      <c r="Y21" s="32"/>
      <c r="Z21" s="32"/>
    </row>
    <row r="22" spans="1:26" x14ac:dyDescent="0.25">
      <c r="A22" s="22"/>
      <c r="B22" s="190" t="s">
        <v>8</v>
      </c>
      <c r="C22" s="180"/>
      <c r="D22" s="180"/>
      <c r="E22" s="332">
        <v>0.50949999999999995</v>
      </c>
      <c r="F22" s="332">
        <v>0.51019999999999999</v>
      </c>
      <c r="G22" s="332">
        <v>0.57569999999999999</v>
      </c>
      <c r="H22" s="332">
        <v>0.5716</v>
      </c>
      <c r="I22" s="333">
        <v>0.2346</v>
      </c>
      <c r="J22" s="29"/>
      <c r="K22" s="29"/>
      <c r="L22" s="30"/>
      <c r="M22" s="30"/>
      <c r="N22" s="31"/>
      <c r="O22" s="32"/>
      <c r="P22" s="32"/>
      <c r="Q22" s="32">
        <f t="shared" si="0"/>
        <v>0.49050000000000005</v>
      </c>
      <c r="R22" s="32">
        <f t="shared" si="1"/>
        <v>0.48980000000000001</v>
      </c>
      <c r="S22" s="32">
        <f t="shared" si="2"/>
        <v>0.42430000000000001</v>
      </c>
      <c r="T22" s="32">
        <f t="shared" si="3"/>
        <v>0.4284</v>
      </c>
      <c r="U22" s="32">
        <f t="shared" si="4"/>
        <v>0.76539999999999997</v>
      </c>
      <c r="V22" s="32"/>
      <c r="W22" s="32"/>
      <c r="X22" s="32"/>
      <c r="Y22" s="32"/>
      <c r="Z22" s="32"/>
    </row>
    <row r="23" spans="1:26" x14ac:dyDescent="0.25">
      <c r="A23" s="22"/>
      <c r="B23" s="193" t="s">
        <v>9</v>
      </c>
      <c r="C23" s="211"/>
      <c r="D23" s="211"/>
      <c r="E23" s="334">
        <v>0.49469999999999997</v>
      </c>
      <c r="F23" s="334">
        <v>0.50290000000000001</v>
      </c>
      <c r="G23" s="334">
        <v>0.59550000000000003</v>
      </c>
      <c r="H23" s="334">
        <v>0.58499999999999996</v>
      </c>
      <c r="I23" s="335">
        <v>0.26889999999999997</v>
      </c>
      <c r="J23" s="29"/>
      <c r="K23" s="29"/>
      <c r="L23" s="30"/>
      <c r="M23" s="30"/>
      <c r="N23" s="31"/>
      <c r="O23" s="32"/>
      <c r="P23" s="32"/>
      <c r="Q23" s="32">
        <f t="shared" si="0"/>
        <v>0.50530000000000008</v>
      </c>
      <c r="R23" s="32">
        <f t="shared" si="1"/>
        <v>0.49709999999999999</v>
      </c>
      <c r="S23" s="32">
        <f t="shared" si="2"/>
        <v>0.40449999999999997</v>
      </c>
      <c r="T23" s="32">
        <f t="shared" si="3"/>
        <v>0.41500000000000004</v>
      </c>
      <c r="U23" s="32">
        <f t="shared" si="4"/>
        <v>0.73110000000000008</v>
      </c>
      <c r="V23" s="32"/>
      <c r="W23" s="32"/>
      <c r="X23" s="32"/>
      <c r="Y23" s="32"/>
      <c r="Z23" s="32"/>
    </row>
    <row r="24" spans="1:26" x14ac:dyDescent="0.25">
      <c r="A24" s="22"/>
      <c r="B24" s="28" t="s">
        <v>10</v>
      </c>
      <c r="C24" s="29"/>
      <c r="D24" s="29"/>
      <c r="E24" s="329">
        <v>0.49619999999999997</v>
      </c>
      <c r="F24" s="329">
        <v>0.5171</v>
      </c>
      <c r="G24" s="329">
        <v>0.60709999999999997</v>
      </c>
      <c r="H24" s="329">
        <v>0.59560000000000002</v>
      </c>
      <c r="I24" s="329">
        <v>0.30030000000000001</v>
      </c>
      <c r="J24" s="29"/>
      <c r="K24" s="29"/>
      <c r="L24" s="30"/>
      <c r="M24" s="30"/>
      <c r="N24" s="31"/>
      <c r="O24" s="32"/>
      <c r="P24" s="32"/>
      <c r="Q24" s="32">
        <f t="shared" si="0"/>
        <v>0.50380000000000003</v>
      </c>
      <c r="R24" s="32">
        <f t="shared" si="1"/>
        <v>0.4829</v>
      </c>
      <c r="S24" s="32">
        <f t="shared" si="2"/>
        <v>0.39290000000000003</v>
      </c>
      <c r="T24" s="32">
        <f t="shared" si="3"/>
        <v>0.40439999999999998</v>
      </c>
      <c r="U24" s="32">
        <f t="shared" si="4"/>
        <v>0.69969999999999999</v>
      </c>
      <c r="V24" s="32"/>
      <c r="W24" s="32"/>
      <c r="X24" s="32"/>
      <c r="Y24" s="32"/>
      <c r="Z24" s="32"/>
    </row>
    <row r="25" spans="1:26" x14ac:dyDescent="0.25">
      <c r="A25" s="22"/>
      <c r="B25" s="28" t="s">
        <v>11</v>
      </c>
      <c r="C25" s="29"/>
      <c r="D25" s="29"/>
      <c r="E25" s="329">
        <v>0.45129999999999998</v>
      </c>
      <c r="F25" s="329">
        <v>0.47939999999999999</v>
      </c>
      <c r="G25" s="329">
        <v>0.56240000000000001</v>
      </c>
      <c r="H25" s="329">
        <v>0.5393</v>
      </c>
      <c r="I25" s="329">
        <v>0.32100000000000001</v>
      </c>
      <c r="J25" s="29"/>
      <c r="K25" s="29"/>
      <c r="L25" s="30"/>
      <c r="M25" s="30"/>
      <c r="N25" s="31"/>
      <c r="O25" s="32"/>
      <c r="P25" s="32"/>
      <c r="Q25" s="32">
        <f t="shared" si="0"/>
        <v>0.54869999999999997</v>
      </c>
      <c r="R25" s="32">
        <f t="shared" si="1"/>
        <v>0.52059999999999995</v>
      </c>
      <c r="S25" s="32">
        <f t="shared" si="2"/>
        <v>0.43759999999999999</v>
      </c>
      <c r="T25" s="32">
        <f t="shared" si="3"/>
        <v>0.4607</v>
      </c>
      <c r="U25" s="32">
        <f t="shared" si="4"/>
        <v>0.67900000000000005</v>
      </c>
      <c r="V25" s="32"/>
      <c r="W25" s="32"/>
      <c r="X25" s="32"/>
      <c r="Y25" s="32"/>
      <c r="Z25" s="32"/>
    </row>
    <row r="26" spans="1:26" x14ac:dyDescent="0.25">
      <c r="A26" s="22"/>
      <c r="B26" s="28" t="s">
        <v>12</v>
      </c>
      <c r="C26" s="29"/>
      <c r="D26" s="29"/>
      <c r="E26" s="329">
        <v>0.48820000000000002</v>
      </c>
      <c r="F26" s="329">
        <v>0.5101</v>
      </c>
      <c r="G26" s="329">
        <v>0.58230000000000004</v>
      </c>
      <c r="H26" s="329">
        <v>0.55659999999999998</v>
      </c>
      <c r="I26" s="329">
        <v>0.34710000000000002</v>
      </c>
      <c r="J26" s="29"/>
      <c r="K26" s="29"/>
      <c r="L26" s="30"/>
      <c r="M26" s="30"/>
      <c r="N26" s="31"/>
      <c r="O26" s="32"/>
      <c r="P26" s="32"/>
      <c r="Q26" s="32">
        <f t="shared" si="0"/>
        <v>0.51180000000000003</v>
      </c>
      <c r="R26" s="32">
        <f t="shared" si="1"/>
        <v>0.4899</v>
      </c>
      <c r="S26" s="32">
        <f t="shared" si="2"/>
        <v>0.41769999999999996</v>
      </c>
      <c r="T26" s="32">
        <f t="shared" si="3"/>
        <v>0.44340000000000002</v>
      </c>
      <c r="U26" s="32">
        <f t="shared" si="4"/>
        <v>0.65290000000000004</v>
      </c>
      <c r="V26" s="32"/>
      <c r="W26" s="32"/>
      <c r="X26" s="32"/>
      <c r="Y26" s="32"/>
      <c r="Z26" s="32"/>
    </row>
    <row r="27" spans="1:26" x14ac:dyDescent="0.25">
      <c r="A27" s="22"/>
      <c r="B27" s="28"/>
      <c r="C27" s="31"/>
      <c r="D27" s="31"/>
      <c r="E27" s="31"/>
      <c r="F27" s="31"/>
      <c r="G27" s="31"/>
      <c r="H27" s="31"/>
      <c r="I27" s="33"/>
      <c r="J27" s="33"/>
      <c r="K27" s="33"/>
      <c r="L27" s="31"/>
      <c r="M27" s="31"/>
      <c r="N27" s="31"/>
      <c r="O27" s="32"/>
      <c r="P27" s="32"/>
      <c r="Q27" s="32"/>
      <c r="R27" s="32"/>
      <c r="S27" s="32"/>
      <c r="T27" s="32"/>
      <c r="U27" s="32"/>
      <c r="V27" s="32"/>
      <c r="W27" s="32"/>
      <c r="X27" s="32"/>
      <c r="Y27" s="32"/>
      <c r="Z27" s="32"/>
    </row>
    <row r="28" spans="1:26" x14ac:dyDescent="0.25">
      <c r="A28" s="22"/>
      <c r="B28" s="28"/>
      <c r="C28" s="31"/>
      <c r="D28" s="31"/>
      <c r="E28" s="31"/>
      <c r="F28" s="31"/>
      <c r="G28" s="31"/>
      <c r="H28" s="31"/>
      <c r="I28" s="33"/>
      <c r="J28" s="33"/>
      <c r="K28" s="33"/>
      <c r="L28" s="31"/>
      <c r="M28" s="31"/>
      <c r="N28" s="31"/>
      <c r="O28" s="32"/>
      <c r="P28" s="32"/>
      <c r="Q28" s="32"/>
      <c r="R28" s="32"/>
      <c r="S28" s="32"/>
      <c r="T28" s="32"/>
      <c r="U28" s="32"/>
      <c r="V28" s="32"/>
      <c r="W28" s="32"/>
      <c r="X28" s="32"/>
      <c r="Y28" s="32"/>
      <c r="Z28" s="32"/>
    </row>
    <row r="29" spans="1:26" x14ac:dyDescent="0.25">
      <c r="A29" s="18" t="s">
        <v>31</v>
      </c>
      <c r="B29" s="19" t="s">
        <v>57</v>
      </c>
      <c r="C29" s="31"/>
      <c r="D29" s="31"/>
      <c r="E29" s="31"/>
      <c r="F29" s="34" t="s">
        <v>46</v>
      </c>
      <c r="G29" s="31"/>
      <c r="H29" s="31"/>
      <c r="I29" s="33"/>
      <c r="J29" s="33"/>
      <c r="K29" s="33"/>
      <c r="L29" s="31"/>
      <c r="M29" s="31"/>
      <c r="N29" s="31"/>
      <c r="O29" s="32"/>
      <c r="P29" s="32"/>
      <c r="Q29" s="32"/>
      <c r="R29" s="32"/>
      <c r="S29" s="32"/>
      <c r="T29" s="32"/>
      <c r="U29" s="32"/>
      <c r="V29" s="32"/>
      <c r="W29" s="32"/>
      <c r="X29" s="32"/>
      <c r="Y29" s="32"/>
      <c r="Z29" s="32"/>
    </row>
    <row r="30" spans="1:26" ht="53.25" customHeight="1" x14ac:dyDescent="0.25">
      <c r="A30" s="22"/>
      <c r="C30" s="23"/>
      <c r="D30" s="23"/>
      <c r="E30" s="181" t="s">
        <v>353</v>
      </c>
      <c r="F30" s="23" t="s">
        <v>39</v>
      </c>
      <c r="G30" s="23" t="s">
        <v>39</v>
      </c>
      <c r="H30" s="181" t="s">
        <v>353</v>
      </c>
      <c r="I30" s="23" t="s">
        <v>39</v>
      </c>
      <c r="J30" s="23"/>
      <c r="K30" s="23"/>
      <c r="L30" s="23"/>
      <c r="M30" s="23"/>
      <c r="N30" s="17"/>
      <c r="O30" s="23"/>
      <c r="P30" s="23"/>
      <c r="Q30" s="181" t="str">
        <f>E30</f>
        <v>2016 Forecasted Calendar Month Sales</v>
      </c>
      <c r="R30" s="23" t="s">
        <v>39</v>
      </c>
      <c r="S30" s="23" t="s">
        <v>39</v>
      </c>
      <c r="T30" s="181" t="str">
        <f>H30</f>
        <v>2016 Forecasted Calendar Month Sales</v>
      </c>
      <c r="U30" s="23" t="s">
        <v>39</v>
      </c>
      <c r="V30" s="23"/>
      <c r="W30" s="23"/>
      <c r="X30" s="23"/>
      <c r="Y30" s="23"/>
      <c r="Z30" s="23"/>
    </row>
    <row r="31" spans="1:26" x14ac:dyDescent="0.25">
      <c r="A31" s="22"/>
      <c r="B31" s="24" t="s">
        <v>190</v>
      </c>
      <c r="C31" s="26"/>
      <c r="D31" s="26"/>
      <c r="E31" s="26" t="str">
        <f>+E$13</f>
        <v>RT{1}</v>
      </c>
      <c r="F31" s="26" t="str">
        <f>+F$13</f>
        <v>RS{2}</v>
      </c>
      <c r="G31" s="26" t="str">
        <f>+G$13</f>
        <v>GS{3}</v>
      </c>
      <c r="H31" s="26" t="str">
        <f>+H$13</f>
        <v>GST</v>
      </c>
      <c r="I31" s="26" t="str">
        <f>+I$13</f>
        <v>OL/SL</v>
      </c>
      <c r="J31" s="26"/>
      <c r="K31" s="26"/>
      <c r="L31" s="26"/>
      <c r="M31" s="26"/>
      <c r="N31" s="27"/>
      <c r="O31" s="26"/>
      <c r="P31" s="26"/>
      <c r="Q31" s="26" t="str">
        <f>+Q$13</f>
        <v>RT{1}</v>
      </c>
      <c r="R31" s="26" t="str">
        <f>+R$13</f>
        <v>RS{2}</v>
      </c>
      <c r="S31" s="26" t="str">
        <f>+S$13</f>
        <v>GS{3}</v>
      </c>
      <c r="T31" s="26" t="str">
        <f>+T$13</f>
        <v>GST</v>
      </c>
      <c r="U31" s="26" t="str">
        <f>+U$13</f>
        <v>OL/SL</v>
      </c>
      <c r="V31" s="26"/>
      <c r="W31" s="26"/>
      <c r="X31" s="26"/>
      <c r="Y31" s="26"/>
      <c r="Z31" s="26"/>
    </row>
    <row r="32" spans="1:26" x14ac:dyDescent="0.25">
      <c r="A32" s="22"/>
      <c r="O32" s="21"/>
      <c r="P32" s="21"/>
      <c r="Q32" s="21"/>
      <c r="R32" s="21"/>
      <c r="S32" s="21"/>
      <c r="T32" s="21"/>
      <c r="U32" s="21"/>
      <c r="V32" s="21"/>
      <c r="W32" s="21"/>
      <c r="X32" s="21"/>
      <c r="Y32" s="21"/>
      <c r="Z32" s="21"/>
    </row>
    <row r="33" spans="1:26" x14ac:dyDescent="0.25">
      <c r="A33" s="22"/>
      <c r="B33" s="28" t="s">
        <v>1</v>
      </c>
      <c r="C33" s="35"/>
      <c r="D33" s="135"/>
      <c r="E33" s="204">
        <v>0.35449999999999998</v>
      </c>
      <c r="F33" s="156" t="s">
        <v>40</v>
      </c>
      <c r="G33" s="156" t="s">
        <v>40</v>
      </c>
      <c r="H33" s="153">
        <v>0.4274</v>
      </c>
      <c r="I33" s="156" t="s">
        <v>40</v>
      </c>
      <c r="J33" s="35"/>
      <c r="K33" s="35"/>
      <c r="L33" s="35"/>
      <c r="M33" s="30"/>
      <c r="N33" s="31"/>
      <c r="O33" s="32"/>
      <c r="P33" s="32"/>
      <c r="Q33" s="32">
        <f t="shared" ref="Q33:Q44" si="5">1-E33</f>
        <v>0.64549999999999996</v>
      </c>
      <c r="R33" s="32"/>
      <c r="S33" s="32"/>
      <c r="T33" s="32">
        <f t="shared" ref="T33:T44" si="6">1-H33</f>
        <v>0.5726</v>
      </c>
      <c r="U33" s="32"/>
      <c r="V33" s="32"/>
      <c r="W33" s="32"/>
      <c r="X33" s="32"/>
      <c r="Y33" s="32"/>
      <c r="Z33" s="32"/>
    </row>
    <row r="34" spans="1:26" x14ac:dyDescent="0.25">
      <c r="A34" s="22"/>
      <c r="B34" s="28" t="s">
        <v>2</v>
      </c>
      <c r="C34" s="35"/>
      <c r="D34" s="135"/>
      <c r="E34" s="204">
        <v>0.35120000000000001</v>
      </c>
      <c r="F34" s="156" t="s">
        <v>40</v>
      </c>
      <c r="G34" s="156" t="s">
        <v>40</v>
      </c>
      <c r="H34" s="153">
        <v>0.42909999999999998</v>
      </c>
      <c r="I34" s="156" t="s">
        <v>40</v>
      </c>
      <c r="J34" s="35"/>
      <c r="K34" s="35"/>
      <c r="L34" s="35"/>
      <c r="M34" s="30"/>
      <c r="N34" s="31"/>
      <c r="O34" s="32"/>
      <c r="P34" s="32"/>
      <c r="Q34" s="32">
        <f t="shared" si="5"/>
        <v>0.64880000000000004</v>
      </c>
      <c r="R34" s="32"/>
      <c r="S34" s="32"/>
      <c r="T34" s="32">
        <f t="shared" si="6"/>
        <v>0.57089999999999996</v>
      </c>
      <c r="U34" s="32"/>
      <c r="V34" s="32"/>
      <c r="W34" s="32"/>
      <c r="X34" s="32"/>
      <c r="Y34" s="32"/>
      <c r="Z34" s="32"/>
    </row>
    <row r="35" spans="1:26" x14ac:dyDescent="0.25">
      <c r="A35" s="22"/>
      <c r="B35" s="28" t="s">
        <v>3</v>
      </c>
      <c r="C35" s="35"/>
      <c r="D35" s="135"/>
      <c r="E35" s="204">
        <v>0.34570000000000001</v>
      </c>
      <c r="F35" s="156" t="s">
        <v>40</v>
      </c>
      <c r="G35" s="156" t="s">
        <v>40</v>
      </c>
      <c r="H35" s="153">
        <v>0.4299</v>
      </c>
      <c r="I35" s="156" t="s">
        <v>40</v>
      </c>
      <c r="J35" s="35"/>
      <c r="K35" s="35"/>
      <c r="L35" s="35"/>
      <c r="M35" s="30"/>
      <c r="N35" s="31"/>
      <c r="O35" s="32"/>
      <c r="P35" s="32"/>
      <c r="Q35" s="32">
        <f t="shared" si="5"/>
        <v>0.65429999999999999</v>
      </c>
      <c r="R35" s="32"/>
      <c r="S35" s="32"/>
      <c r="T35" s="32">
        <f t="shared" si="6"/>
        <v>0.57010000000000005</v>
      </c>
      <c r="U35" s="32"/>
      <c r="V35" s="32"/>
      <c r="W35" s="32"/>
      <c r="X35" s="32"/>
      <c r="Y35" s="32"/>
      <c r="Z35" s="32"/>
    </row>
    <row r="36" spans="1:26" x14ac:dyDescent="0.25">
      <c r="A36" s="22"/>
      <c r="B36" s="28" t="s">
        <v>4</v>
      </c>
      <c r="C36" s="35"/>
      <c r="D36" s="135"/>
      <c r="E36" s="204">
        <v>0.34710000000000002</v>
      </c>
      <c r="F36" s="156" t="s">
        <v>40</v>
      </c>
      <c r="G36" s="156" t="s">
        <v>40</v>
      </c>
      <c r="H36" s="153">
        <v>0.44030000000000002</v>
      </c>
      <c r="I36" s="156" t="s">
        <v>40</v>
      </c>
      <c r="J36" s="35"/>
      <c r="K36" s="35"/>
      <c r="L36" s="35"/>
      <c r="M36" s="30"/>
      <c r="N36" s="31"/>
      <c r="O36" s="32"/>
      <c r="P36" s="32"/>
      <c r="Q36" s="32">
        <f t="shared" si="5"/>
        <v>0.65290000000000004</v>
      </c>
      <c r="R36" s="32"/>
      <c r="S36" s="32"/>
      <c r="T36" s="32">
        <f t="shared" si="6"/>
        <v>0.55969999999999998</v>
      </c>
      <c r="U36" s="32"/>
      <c r="V36" s="32"/>
      <c r="W36" s="32"/>
      <c r="X36" s="32"/>
      <c r="Y36" s="32"/>
      <c r="Z36" s="32"/>
    </row>
    <row r="37" spans="1:26" x14ac:dyDescent="0.25">
      <c r="A37" s="22"/>
      <c r="B37" s="28" t="s">
        <v>5</v>
      </c>
      <c r="C37" s="35"/>
      <c r="D37" s="135"/>
      <c r="E37" s="204">
        <v>0.36709999999999998</v>
      </c>
      <c r="F37" s="156" t="s">
        <v>40</v>
      </c>
      <c r="G37" s="156" t="s">
        <v>40</v>
      </c>
      <c r="H37" s="153">
        <v>0.45200000000000001</v>
      </c>
      <c r="I37" s="156" t="s">
        <v>40</v>
      </c>
      <c r="J37" s="35"/>
      <c r="K37" s="35"/>
      <c r="L37" s="35"/>
      <c r="M37" s="30"/>
      <c r="N37" s="31"/>
      <c r="O37" s="32"/>
      <c r="P37" s="32"/>
      <c r="Q37" s="32">
        <f t="shared" si="5"/>
        <v>0.63290000000000002</v>
      </c>
      <c r="R37" s="32"/>
      <c r="S37" s="32"/>
      <c r="T37" s="32">
        <f t="shared" si="6"/>
        <v>0.54800000000000004</v>
      </c>
      <c r="U37" s="32"/>
      <c r="V37" s="32"/>
      <c r="W37" s="32"/>
      <c r="X37" s="32"/>
      <c r="Y37" s="32"/>
      <c r="Z37" s="32"/>
    </row>
    <row r="38" spans="1:26" x14ac:dyDescent="0.25">
      <c r="A38" s="22"/>
      <c r="B38" s="186" t="s">
        <v>6</v>
      </c>
      <c r="C38" s="212"/>
      <c r="D38" s="213"/>
      <c r="E38" s="214">
        <v>0.3952</v>
      </c>
      <c r="F38" s="215" t="s">
        <v>40</v>
      </c>
      <c r="G38" s="215" t="s">
        <v>40</v>
      </c>
      <c r="H38" s="216">
        <v>0.46529999999999999</v>
      </c>
      <c r="I38" s="217" t="s">
        <v>40</v>
      </c>
      <c r="J38" s="35"/>
      <c r="K38" s="35"/>
      <c r="L38" s="35"/>
      <c r="M38" s="30"/>
      <c r="N38" s="31"/>
      <c r="O38" s="32"/>
      <c r="P38" s="32"/>
      <c r="Q38" s="32">
        <f t="shared" si="5"/>
        <v>0.6048</v>
      </c>
      <c r="R38" s="32"/>
      <c r="S38" s="32"/>
      <c r="T38" s="32">
        <f t="shared" si="6"/>
        <v>0.53469999999999995</v>
      </c>
      <c r="U38" s="32"/>
      <c r="V38" s="32"/>
      <c r="W38" s="32"/>
      <c r="X38" s="32"/>
      <c r="Y38" s="32"/>
      <c r="Z38" s="32"/>
    </row>
    <row r="39" spans="1:26" x14ac:dyDescent="0.25">
      <c r="A39" s="22"/>
      <c r="B39" s="190" t="s">
        <v>7</v>
      </c>
      <c r="C39" s="205"/>
      <c r="D39" s="206"/>
      <c r="E39" s="207">
        <v>0.41139999999999999</v>
      </c>
      <c r="F39" s="208" t="s">
        <v>40</v>
      </c>
      <c r="G39" s="208" t="s">
        <v>40</v>
      </c>
      <c r="H39" s="209">
        <v>0.46679999999999999</v>
      </c>
      <c r="I39" s="218" t="s">
        <v>40</v>
      </c>
      <c r="J39" s="35"/>
      <c r="K39" s="35"/>
      <c r="L39" s="35"/>
      <c r="M39" s="30"/>
      <c r="N39" s="31"/>
      <c r="O39" s="32"/>
      <c r="P39" s="32"/>
      <c r="Q39" s="32">
        <f t="shared" si="5"/>
        <v>0.58860000000000001</v>
      </c>
      <c r="R39" s="32"/>
      <c r="S39" s="32"/>
      <c r="T39" s="32">
        <f t="shared" si="6"/>
        <v>0.53320000000000001</v>
      </c>
      <c r="U39" s="32"/>
      <c r="V39" s="32"/>
      <c r="W39" s="32"/>
      <c r="X39" s="32"/>
      <c r="Y39" s="32"/>
      <c r="Z39" s="32"/>
    </row>
    <row r="40" spans="1:26" x14ac:dyDescent="0.25">
      <c r="A40" s="22"/>
      <c r="B40" s="190" t="s">
        <v>8</v>
      </c>
      <c r="C40" s="205"/>
      <c r="D40" s="206"/>
      <c r="E40" s="207">
        <v>0.41289999999999999</v>
      </c>
      <c r="F40" s="208" t="s">
        <v>40</v>
      </c>
      <c r="G40" s="208" t="s">
        <v>40</v>
      </c>
      <c r="H40" s="209">
        <v>0.46300000000000002</v>
      </c>
      <c r="I40" s="218" t="s">
        <v>40</v>
      </c>
      <c r="J40" s="35"/>
      <c r="K40" s="35"/>
      <c r="L40" s="35"/>
      <c r="M40" s="30"/>
      <c r="N40" s="31"/>
      <c r="O40" s="32"/>
      <c r="P40" s="32"/>
      <c r="Q40" s="32">
        <f t="shared" si="5"/>
        <v>0.58709999999999996</v>
      </c>
      <c r="R40" s="32"/>
      <c r="S40" s="32"/>
      <c r="T40" s="32">
        <f t="shared" si="6"/>
        <v>0.53699999999999992</v>
      </c>
      <c r="U40" s="32"/>
      <c r="V40" s="32"/>
      <c r="W40" s="32"/>
      <c r="X40" s="32"/>
      <c r="Y40" s="32"/>
      <c r="Z40" s="32"/>
    </row>
    <row r="41" spans="1:26" x14ac:dyDescent="0.25">
      <c r="A41" s="22"/>
      <c r="B41" s="193" t="s">
        <v>9</v>
      </c>
      <c r="C41" s="219"/>
      <c r="D41" s="220"/>
      <c r="E41" s="221">
        <v>0.39789999999999998</v>
      </c>
      <c r="F41" s="222" t="s">
        <v>40</v>
      </c>
      <c r="G41" s="222" t="s">
        <v>40</v>
      </c>
      <c r="H41" s="223">
        <v>0.46729999999999999</v>
      </c>
      <c r="I41" s="224" t="s">
        <v>40</v>
      </c>
      <c r="J41" s="35"/>
      <c r="K41" s="35"/>
      <c r="L41" s="35"/>
      <c r="M41" s="30"/>
      <c r="N41" s="31"/>
      <c r="O41" s="32"/>
      <c r="P41" s="32"/>
      <c r="Q41" s="32">
        <f t="shared" si="5"/>
        <v>0.60210000000000008</v>
      </c>
      <c r="R41" s="32"/>
      <c r="S41" s="32"/>
      <c r="T41" s="32">
        <f t="shared" si="6"/>
        <v>0.53269999999999995</v>
      </c>
      <c r="U41" s="32"/>
      <c r="V41" s="32"/>
      <c r="W41" s="32"/>
      <c r="X41" s="32"/>
      <c r="Y41" s="32"/>
      <c r="Z41" s="32"/>
    </row>
    <row r="42" spans="1:26" x14ac:dyDescent="0.25">
      <c r="A42" s="22"/>
      <c r="B42" s="28" t="s">
        <v>10</v>
      </c>
      <c r="C42" s="35"/>
      <c r="D42" s="135"/>
      <c r="E42" s="204">
        <v>0.3674</v>
      </c>
      <c r="F42" s="156" t="s">
        <v>40</v>
      </c>
      <c r="G42" s="156" t="s">
        <v>40</v>
      </c>
      <c r="H42" s="153">
        <v>0.46039999999999998</v>
      </c>
      <c r="I42" s="156" t="s">
        <v>40</v>
      </c>
      <c r="J42" s="35"/>
      <c r="K42" s="35"/>
      <c r="L42" s="35"/>
      <c r="M42" s="30"/>
      <c r="N42" s="31"/>
      <c r="O42" s="32"/>
      <c r="P42" s="32"/>
      <c r="Q42" s="32">
        <f t="shared" si="5"/>
        <v>0.63260000000000005</v>
      </c>
      <c r="R42" s="32"/>
      <c r="S42" s="32"/>
      <c r="T42" s="32">
        <f t="shared" si="6"/>
        <v>0.53960000000000008</v>
      </c>
      <c r="U42" s="32"/>
      <c r="V42" s="32"/>
      <c r="W42" s="32"/>
      <c r="X42" s="32"/>
      <c r="Y42" s="32"/>
      <c r="Z42" s="32"/>
    </row>
    <row r="43" spans="1:26" x14ac:dyDescent="0.25">
      <c r="A43" s="22"/>
      <c r="B43" s="28" t="s">
        <v>11</v>
      </c>
      <c r="C43" s="35"/>
      <c r="D43" s="135"/>
      <c r="E43" s="204">
        <v>0.35170000000000001</v>
      </c>
      <c r="F43" s="156" t="s">
        <v>40</v>
      </c>
      <c r="G43" s="156" t="s">
        <v>40</v>
      </c>
      <c r="H43" s="153">
        <v>0.44900000000000001</v>
      </c>
      <c r="I43" s="156" t="s">
        <v>40</v>
      </c>
      <c r="J43" s="35"/>
      <c r="K43" s="35"/>
      <c r="L43" s="35"/>
      <c r="M43" s="30"/>
      <c r="N43" s="31"/>
      <c r="O43" s="32"/>
      <c r="P43" s="32"/>
      <c r="Q43" s="32">
        <f t="shared" si="5"/>
        <v>0.64829999999999999</v>
      </c>
      <c r="R43" s="32"/>
      <c r="S43" s="32"/>
      <c r="T43" s="32">
        <f t="shared" si="6"/>
        <v>0.55099999999999993</v>
      </c>
      <c r="U43" s="32"/>
      <c r="V43" s="32"/>
      <c r="W43" s="32"/>
      <c r="X43" s="32"/>
      <c r="Y43" s="32"/>
      <c r="Z43" s="32"/>
    </row>
    <row r="44" spans="1:26" x14ac:dyDescent="0.25">
      <c r="A44" s="22"/>
      <c r="B44" s="28" t="s">
        <v>12</v>
      </c>
      <c r="C44" s="35"/>
      <c r="D44" s="135"/>
      <c r="E44" s="204">
        <v>0.35239999999999999</v>
      </c>
      <c r="F44" s="156" t="s">
        <v>40</v>
      </c>
      <c r="G44" s="156" t="s">
        <v>40</v>
      </c>
      <c r="H44" s="153">
        <v>0.42949999999999999</v>
      </c>
      <c r="I44" s="156" t="s">
        <v>40</v>
      </c>
      <c r="J44" s="35"/>
      <c r="K44" s="35"/>
      <c r="L44" s="35"/>
      <c r="M44" s="30"/>
      <c r="N44" s="31"/>
      <c r="O44" s="32"/>
      <c r="P44" s="32"/>
      <c r="Q44" s="32">
        <f t="shared" si="5"/>
        <v>0.64759999999999995</v>
      </c>
      <c r="R44" s="32"/>
      <c r="S44" s="32"/>
      <c r="T44" s="32">
        <f t="shared" si="6"/>
        <v>0.57050000000000001</v>
      </c>
      <c r="U44" s="32"/>
      <c r="V44" s="32"/>
      <c r="W44" s="32"/>
      <c r="X44" s="32"/>
      <c r="Y44" s="32"/>
      <c r="Z44" s="32"/>
    </row>
    <row r="45" spans="1:26" x14ac:dyDescent="0.25">
      <c r="A45" s="22"/>
      <c r="B45" s="28"/>
      <c r="C45" s="35"/>
      <c r="D45" s="35"/>
      <c r="E45" s="35"/>
      <c r="F45" s="35"/>
      <c r="G45" s="35"/>
      <c r="H45" s="35"/>
      <c r="I45" s="35"/>
      <c r="J45" s="35"/>
      <c r="K45" s="35"/>
      <c r="L45" s="35"/>
      <c r="M45" s="30"/>
      <c r="N45" s="31"/>
      <c r="O45" s="32"/>
      <c r="P45" s="32"/>
      <c r="Q45" s="32"/>
      <c r="R45" s="32"/>
      <c r="S45" s="32"/>
      <c r="T45" s="32"/>
      <c r="U45" s="32"/>
      <c r="V45" s="32"/>
      <c r="W45" s="32"/>
      <c r="X45" s="32"/>
      <c r="Y45" s="32"/>
      <c r="Z45" s="32"/>
    </row>
    <row r="46" spans="1:26" x14ac:dyDescent="0.25">
      <c r="A46" s="22"/>
      <c r="B46" s="36" t="s">
        <v>202</v>
      </c>
      <c r="C46" s="35"/>
      <c r="D46" s="35"/>
      <c r="E46" s="35"/>
      <c r="F46" s="35"/>
      <c r="G46" s="35"/>
      <c r="H46" s="35"/>
      <c r="I46" s="35"/>
      <c r="J46" s="35"/>
      <c r="K46" s="35"/>
      <c r="L46" s="35"/>
      <c r="M46" s="30"/>
      <c r="N46" s="31"/>
      <c r="O46" s="32"/>
      <c r="P46" s="32"/>
      <c r="Q46" s="32"/>
      <c r="R46" s="32"/>
      <c r="S46" s="32"/>
      <c r="T46" s="32"/>
      <c r="U46" s="32"/>
      <c r="V46" s="32"/>
      <c r="W46" s="32"/>
      <c r="X46" s="32"/>
      <c r="Y46" s="32"/>
      <c r="Z46" s="32"/>
    </row>
    <row r="47" spans="1:26" x14ac:dyDescent="0.25">
      <c r="A47" s="22"/>
      <c r="B47" s="36" t="s">
        <v>213</v>
      </c>
      <c r="C47" s="31"/>
      <c r="D47" s="31"/>
      <c r="E47" s="31"/>
      <c r="F47" s="31"/>
      <c r="G47" s="31"/>
      <c r="H47" s="31"/>
      <c r="I47" s="33"/>
      <c r="J47" s="33"/>
      <c r="K47" s="33"/>
      <c r="L47" s="31"/>
      <c r="M47" s="31"/>
      <c r="N47" s="31"/>
      <c r="O47" s="32"/>
      <c r="P47" s="32"/>
      <c r="Q47" s="32"/>
      <c r="R47" s="32"/>
      <c r="S47" s="32"/>
      <c r="T47" s="32"/>
      <c r="U47" s="32"/>
      <c r="V47" s="32"/>
      <c r="W47" s="32"/>
      <c r="X47" s="32"/>
      <c r="Y47" s="32"/>
      <c r="Z47" s="32"/>
    </row>
    <row r="48" spans="1:26" x14ac:dyDescent="0.25">
      <c r="A48" s="22"/>
      <c r="B48" s="36" t="s">
        <v>66</v>
      </c>
      <c r="C48" s="31"/>
      <c r="D48" s="31"/>
      <c r="E48" s="31"/>
      <c r="F48" s="31"/>
      <c r="G48" s="31"/>
      <c r="H48" s="31"/>
      <c r="I48" s="33"/>
      <c r="J48" s="33"/>
      <c r="K48" s="33"/>
      <c r="L48" s="31"/>
      <c r="M48" s="31"/>
      <c r="N48" s="31"/>
      <c r="O48" s="32"/>
      <c r="P48" s="32"/>
      <c r="Q48" s="32"/>
      <c r="R48" s="32"/>
      <c r="S48" s="32"/>
      <c r="T48" s="32"/>
      <c r="U48" s="32"/>
      <c r="V48" s="32"/>
      <c r="W48" s="32"/>
      <c r="X48" s="32"/>
      <c r="Y48" s="32"/>
      <c r="Z48" s="32"/>
    </row>
    <row r="49" spans="1:39" x14ac:dyDescent="0.25">
      <c r="A49" s="22"/>
      <c r="B49" s="36" t="s">
        <v>67</v>
      </c>
      <c r="C49" s="31"/>
      <c r="D49" s="31"/>
      <c r="E49" s="31"/>
      <c r="F49" s="31"/>
      <c r="G49" s="31"/>
      <c r="H49" s="31"/>
      <c r="I49" s="33"/>
      <c r="J49" s="33"/>
      <c r="K49" s="33"/>
      <c r="L49" s="31"/>
      <c r="M49" s="31"/>
      <c r="N49" s="31"/>
      <c r="O49" s="32"/>
      <c r="P49" s="32"/>
      <c r="Q49" s="32"/>
      <c r="R49" s="32"/>
      <c r="S49" s="32"/>
      <c r="T49" s="32"/>
      <c r="U49" s="32"/>
      <c r="V49" s="32"/>
      <c r="W49" s="32"/>
      <c r="X49" s="32"/>
      <c r="Y49" s="32"/>
      <c r="Z49" s="32"/>
    </row>
    <row r="50" spans="1:39" x14ac:dyDescent="0.25">
      <c r="A50" s="22"/>
      <c r="B50" s="36" t="s">
        <v>68</v>
      </c>
      <c r="C50" s="31"/>
      <c r="D50" s="31"/>
      <c r="E50" s="31"/>
      <c r="F50" s="31"/>
      <c r="G50" s="31"/>
      <c r="H50" s="31"/>
      <c r="I50" s="33"/>
      <c r="J50" s="33"/>
      <c r="K50" s="33"/>
      <c r="L50" s="31"/>
      <c r="M50" s="31"/>
      <c r="N50" s="31"/>
      <c r="O50" s="32"/>
      <c r="P50" s="32"/>
      <c r="Q50" s="32"/>
      <c r="R50" s="32"/>
      <c r="S50" s="32"/>
      <c r="T50" s="32"/>
      <c r="U50" s="32"/>
      <c r="V50" s="32"/>
      <c r="W50" s="32"/>
      <c r="X50" s="32"/>
      <c r="Y50" s="32"/>
      <c r="Z50" s="32"/>
    </row>
    <row r="51" spans="1:39" x14ac:dyDescent="0.25">
      <c r="A51" s="22"/>
      <c r="B51" s="28"/>
      <c r="C51" s="31"/>
      <c r="D51" s="31"/>
      <c r="E51" s="31"/>
      <c r="F51" s="31"/>
      <c r="G51" s="31"/>
      <c r="H51" s="31"/>
      <c r="I51" s="33"/>
      <c r="J51" s="33"/>
      <c r="K51" s="33"/>
      <c r="L51" s="31"/>
      <c r="M51" s="31"/>
      <c r="N51" s="31"/>
      <c r="O51" s="32"/>
      <c r="P51" s="32"/>
      <c r="Q51" s="32"/>
      <c r="R51" s="32"/>
      <c r="S51" s="32"/>
      <c r="T51" s="32"/>
      <c r="U51" s="32"/>
      <c r="V51" s="32"/>
      <c r="W51" s="32"/>
      <c r="X51" s="32"/>
      <c r="Y51" s="32"/>
      <c r="Z51" s="32"/>
    </row>
    <row r="52" spans="1:39" ht="15.6" x14ac:dyDescent="0.3">
      <c r="A52" s="22"/>
      <c r="B52" s="519" t="str">
        <f>$B$1</f>
        <v xml:space="preserve">Jersey Central Power &amp; Light </v>
      </c>
      <c r="C52" s="519"/>
      <c r="D52" s="519"/>
      <c r="E52" s="519"/>
      <c r="F52" s="519"/>
      <c r="G52" s="519"/>
      <c r="H52" s="519"/>
      <c r="I52" s="519"/>
      <c r="J52" s="519"/>
      <c r="K52" s="519"/>
      <c r="L52" s="519"/>
      <c r="M52" s="31"/>
      <c r="N52" s="70"/>
      <c r="O52" s="32"/>
      <c r="P52" s="32"/>
      <c r="Q52" s="32"/>
      <c r="R52" s="32"/>
      <c r="S52" s="32"/>
      <c r="T52" s="32"/>
      <c r="U52" s="32"/>
      <c r="V52" s="32"/>
      <c r="W52" s="32"/>
      <c r="X52" s="32"/>
      <c r="Y52" s="32"/>
      <c r="Z52" s="32"/>
    </row>
    <row r="53" spans="1:39" ht="15.6" x14ac:dyDescent="0.3">
      <c r="A53" s="22"/>
      <c r="B53" s="519" t="str">
        <f>$B$2</f>
        <v>Attachment 2</v>
      </c>
      <c r="C53" s="519"/>
      <c r="D53" s="519"/>
      <c r="E53" s="519"/>
      <c r="F53" s="519"/>
      <c r="G53" s="519"/>
      <c r="H53" s="519"/>
      <c r="I53" s="519"/>
      <c r="J53" s="519"/>
      <c r="K53" s="519"/>
      <c r="L53" s="519"/>
      <c r="M53" s="70"/>
      <c r="N53" s="31"/>
      <c r="O53" s="32"/>
      <c r="P53" s="32"/>
      <c r="Q53" s="32"/>
      <c r="R53" s="32"/>
      <c r="S53" s="32"/>
      <c r="T53" s="32"/>
      <c r="U53" s="32"/>
      <c r="V53" s="32"/>
      <c r="X53" s="32"/>
      <c r="Y53" s="32"/>
      <c r="Z53" s="32"/>
      <c r="AA53" s="55"/>
    </row>
    <row r="54" spans="1:39" x14ac:dyDescent="0.25">
      <c r="A54" s="22"/>
      <c r="B54" s="28"/>
      <c r="C54" s="31"/>
      <c r="D54" s="31"/>
      <c r="E54" s="31"/>
      <c r="F54" s="31"/>
      <c r="G54" s="31"/>
      <c r="H54" s="31"/>
      <c r="I54" s="33"/>
      <c r="J54" s="33"/>
      <c r="K54" s="33"/>
      <c r="L54" s="31"/>
      <c r="M54" s="31"/>
      <c r="N54" s="31"/>
      <c r="O54" s="32"/>
      <c r="P54" s="32"/>
      <c r="Q54" s="32"/>
      <c r="R54" s="32"/>
      <c r="S54" s="32"/>
      <c r="T54" s="32"/>
      <c r="U54" s="32"/>
      <c r="V54" s="32"/>
      <c r="W54" s="32"/>
      <c r="X54" s="295"/>
      <c r="Y54" s="32"/>
      <c r="Z54" s="32"/>
    </row>
    <row r="55" spans="1:39" x14ac:dyDescent="0.25">
      <c r="A55" s="22"/>
      <c r="B55" s="28"/>
      <c r="C55" s="31"/>
      <c r="D55" s="31"/>
      <c r="E55" s="31"/>
      <c r="F55" s="31"/>
      <c r="G55" s="31"/>
      <c r="H55" s="31"/>
      <c r="I55" s="33"/>
      <c r="J55" s="33"/>
      <c r="K55" s="33"/>
      <c r="L55" s="31"/>
      <c r="M55" s="31"/>
      <c r="N55" s="31"/>
      <c r="O55" s="32"/>
      <c r="P55" s="32"/>
      <c r="Q55" s="32"/>
      <c r="R55" s="32"/>
      <c r="S55" s="32"/>
      <c r="T55" s="32"/>
      <c r="U55" s="32"/>
      <c r="V55" s="32"/>
      <c r="X55" s="31"/>
      <c r="Y55" s="295" t="s">
        <v>387</v>
      </c>
      <c r="Z55" s="32"/>
    </row>
    <row r="56" spans="1:39" x14ac:dyDescent="0.25">
      <c r="A56" s="18" t="s">
        <v>36</v>
      </c>
      <c r="B56" s="37" t="s">
        <v>48</v>
      </c>
      <c r="E56" s="31"/>
      <c r="F56" s="31"/>
      <c r="G56" s="31"/>
      <c r="H56" s="31"/>
      <c r="I56" s="33"/>
      <c r="J56" s="33"/>
      <c r="K56" s="33"/>
      <c r="O56" s="16"/>
      <c r="Y56" s="290" t="s">
        <v>252</v>
      </c>
      <c r="Z56" s="134"/>
      <c r="AJ56" s="445"/>
      <c r="AK56" s="445"/>
      <c r="AL56" s="445"/>
      <c r="AM56" s="447"/>
    </row>
    <row r="57" spans="1:39" x14ac:dyDescent="0.25">
      <c r="A57" s="22"/>
      <c r="B57" s="39" t="s">
        <v>386</v>
      </c>
      <c r="N57" s="40"/>
      <c r="O57" s="41"/>
      <c r="P57" s="41"/>
      <c r="Q57" s="41" t="s">
        <v>265</v>
      </c>
      <c r="R57" s="41"/>
      <c r="S57" s="41"/>
      <c r="T57" s="41"/>
      <c r="U57" s="42"/>
      <c r="W57" s="26" t="s">
        <v>13</v>
      </c>
      <c r="AB57" s="26" t="s">
        <v>282</v>
      </c>
      <c r="AJ57" s="445"/>
      <c r="AK57" s="448"/>
      <c r="AL57" s="445"/>
      <c r="AM57" s="447"/>
    </row>
    <row r="58" spans="1:39" x14ac:dyDescent="0.25">
      <c r="A58" s="22"/>
      <c r="B58" s="17" t="s">
        <v>38</v>
      </c>
      <c r="C58" s="26"/>
      <c r="D58" s="26"/>
      <c r="E58" s="26" t="str">
        <f>+E$13</f>
        <v>RT{1}</v>
      </c>
      <c r="F58" s="26" t="str">
        <f>+F$13</f>
        <v>RS{2}</v>
      </c>
      <c r="G58" s="26" t="str">
        <f>+G$13</f>
        <v>GS{3}</v>
      </c>
      <c r="H58" s="26" t="s">
        <v>203</v>
      </c>
      <c r="I58" s="26" t="str">
        <f>+I$13</f>
        <v>OL/SL</v>
      </c>
      <c r="J58" s="26" t="s">
        <v>13</v>
      </c>
      <c r="K58" s="26"/>
      <c r="L58" s="26"/>
      <c r="M58" s="26" t="s">
        <v>179</v>
      </c>
      <c r="N58" s="43"/>
      <c r="O58" s="44"/>
      <c r="P58" s="44"/>
      <c r="Q58" s="26" t="str">
        <f>+Q$13</f>
        <v>RT{1}</v>
      </c>
      <c r="R58" s="26" t="str">
        <f>+R$13</f>
        <v>RS{2}</v>
      </c>
      <c r="S58" s="26" t="str">
        <f>+S$13</f>
        <v>GS{3}</v>
      </c>
      <c r="T58" s="26" t="str">
        <f>+T$13</f>
        <v>GST</v>
      </c>
      <c r="U58" s="45" t="str">
        <f>+U$13</f>
        <v>OL/SL</v>
      </c>
      <c r="V58" s="26"/>
      <c r="W58" s="26" t="s">
        <v>59</v>
      </c>
      <c r="X58" s="26" t="s">
        <v>64</v>
      </c>
      <c r="Y58" s="26" t="s">
        <v>63</v>
      </c>
      <c r="Z58" s="303" t="s">
        <v>60</v>
      </c>
      <c r="AA58" s="26" t="s">
        <v>52</v>
      </c>
      <c r="AB58" s="26" t="s">
        <v>283</v>
      </c>
      <c r="AC58" s="26" t="s">
        <v>53</v>
      </c>
      <c r="AD58" s="296" t="s">
        <v>285</v>
      </c>
      <c r="AF58" s="26" t="s">
        <v>55</v>
      </c>
      <c r="AG58" s="26" t="s">
        <v>54</v>
      </c>
      <c r="AJ58" s="445"/>
      <c r="AK58" s="445"/>
      <c r="AL58" s="445"/>
      <c r="AM58" s="447"/>
    </row>
    <row r="59" spans="1:39" x14ac:dyDescent="0.25">
      <c r="A59" s="22"/>
      <c r="M59" s="16" t="s">
        <v>180</v>
      </c>
      <c r="N59" s="46"/>
      <c r="O59" s="47"/>
      <c r="P59" s="47"/>
      <c r="Q59" s="47"/>
      <c r="R59" s="47"/>
      <c r="S59" s="47"/>
      <c r="T59" s="47"/>
      <c r="U59" s="48"/>
      <c r="AJ59" s="445"/>
      <c r="AK59" s="445"/>
      <c r="AL59" s="445"/>
      <c r="AM59" s="447"/>
    </row>
    <row r="60" spans="1:39" x14ac:dyDescent="0.25">
      <c r="A60" s="22"/>
      <c r="B60" s="28" t="s">
        <v>1</v>
      </c>
      <c r="C60" s="49"/>
      <c r="D60" s="49"/>
      <c r="E60" s="50">
        <f>ROUND(AA60,0)+ROUND($W60/1000,0)</f>
        <v>27023</v>
      </c>
      <c r="F60" s="50">
        <f>ROUND(AB60,0)+ROUND($Z60/1000,0)</f>
        <v>763732</v>
      </c>
      <c r="G60" s="50">
        <f t="shared" ref="G60:G71" si="7">ROUND(AC60,0)-ROUND(SUM($X60/1000),0)</f>
        <v>552503</v>
      </c>
      <c r="H60" s="50">
        <f>ROUND(AG60,0)</f>
        <v>13133</v>
      </c>
      <c r="I60" s="50">
        <f>ROUND(AF60,0)</f>
        <v>9553</v>
      </c>
      <c r="J60" s="50">
        <f t="shared" ref="J60:J72" si="8">SUM(E60:I60)</f>
        <v>1365944</v>
      </c>
      <c r="K60" s="50"/>
      <c r="L60" s="49"/>
      <c r="M60" s="50">
        <f t="shared" ref="M60:M71" si="9">E60-ROUND(SUM($W60/1000),0)</f>
        <v>26511</v>
      </c>
      <c r="N60" s="51" t="s">
        <v>28</v>
      </c>
      <c r="O60" s="52"/>
      <c r="P60" s="53"/>
      <c r="Q60" s="53">
        <f>SUM(E60:E64,E69:E71)</f>
        <v>164662</v>
      </c>
      <c r="R60" s="53">
        <f>SUM(F60:F64,F69:F71)</f>
        <v>5022127</v>
      </c>
      <c r="S60" s="53">
        <f>SUM(G60:G64,G69:G71)</f>
        <v>3781623</v>
      </c>
      <c r="T60" s="53">
        <f>SUM(H60:H64,H69:H71)</f>
        <v>74592</v>
      </c>
      <c r="U60" s="54">
        <f>SUM(I60:I64,I69:I71)</f>
        <v>76214</v>
      </c>
      <c r="V60" s="310">
        <v>42736</v>
      </c>
      <c r="W60" s="291">
        <v>512328.67665650003</v>
      </c>
      <c r="X60" s="292">
        <v>5972.2406739000007</v>
      </c>
      <c r="Y60" s="55">
        <f t="shared" ref="Y60:Y71" si="10">W60-X60</f>
        <v>506356.43598260003</v>
      </c>
      <c r="Z60" s="292">
        <v>1884950.7580757001</v>
      </c>
      <c r="AA60" s="304">
        <v>26511.0783441395</v>
      </c>
      <c r="AB60" s="294">
        <v>761846.93089778395</v>
      </c>
      <c r="AC60" s="50">
        <v>552509.16457879392</v>
      </c>
      <c r="AD60" s="294">
        <v>606325.98157879396</v>
      </c>
      <c r="AF60" s="294">
        <v>9552.5910000000003</v>
      </c>
      <c r="AG60" s="304">
        <v>13133.320437320604</v>
      </c>
      <c r="AJ60" s="445"/>
      <c r="AK60" s="446"/>
      <c r="AL60" s="446"/>
      <c r="AM60" s="447"/>
    </row>
    <row r="61" spans="1:39" x14ac:dyDescent="0.25">
      <c r="A61" s="22"/>
      <c r="B61" s="28" t="s">
        <v>2</v>
      </c>
      <c r="C61" s="49"/>
      <c r="D61" s="49"/>
      <c r="E61" s="50">
        <f>ROUND(AA61,0)+ROUND($W61/1000,0)</f>
        <v>27487</v>
      </c>
      <c r="F61" s="50">
        <f>ROUND(AB61,0)+ROUND($Z61/1000,0)</f>
        <v>721091</v>
      </c>
      <c r="G61" s="50">
        <f t="shared" si="7"/>
        <v>480666</v>
      </c>
      <c r="H61" s="50">
        <f t="shared" ref="H61:H71" si="11">ROUND(AG61,0)</f>
        <v>9216</v>
      </c>
      <c r="I61" s="50">
        <f t="shared" ref="I61:I71" si="12">ROUND(AF61,0)</f>
        <v>9547</v>
      </c>
      <c r="J61" s="50">
        <f t="shared" si="8"/>
        <v>1248007</v>
      </c>
      <c r="K61" s="50"/>
      <c r="L61" s="49"/>
      <c r="M61" s="50">
        <f t="shared" si="9"/>
        <v>26982</v>
      </c>
      <c r="N61" s="51"/>
      <c r="O61" s="52"/>
      <c r="P61" s="114" t="s">
        <v>193</v>
      </c>
      <c r="Q61" s="53">
        <f>SUMPRODUCT(E33:E37,M60:M64)+SUMPRODUCT(E42:E44,M69:M71)</f>
        <v>56845.5003</v>
      </c>
      <c r="R61" s="47"/>
      <c r="S61" s="131" t="s">
        <v>177</v>
      </c>
      <c r="T61" s="53">
        <f>SUMPRODUCT(H33:H37,H60:H64)+SUMPRODUCT(H42:H44,H69:H71)</f>
        <v>32710.3141</v>
      </c>
      <c r="U61" s="48">
        <f>T61/T60</f>
        <v>0.43852308692621195</v>
      </c>
      <c r="V61" s="310">
        <v>42767</v>
      </c>
      <c r="W61" s="291">
        <v>505137.36006469995</v>
      </c>
      <c r="X61" s="292">
        <v>5958.7377296000004</v>
      </c>
      <c r="Y61" s="55">
        <f t="shared" si="10"/>
        <v>499178.62233509996</v>
      </c>
      <c r="Z61" s="292">
        <v>1854199.3097881</v>
      </c>
      <c r="AA61" s="304">
        <v>26981.641247462197</v>
      </c>
      <c r="AB61" s="294">
        <v>719236.92744274996</v>
      </c>
      <c r="AC61" s="50">
        <v>480672.33383363299</v>
      </c>
      <c r="AD61" s="294">
        <v>538284.28183363297</v>
      </c>
      <c r="AF61" s="294">
        <v>9547.3989999999994</v>
      </c>
      <c r="AG61" s="304">
        <v>9215.8170327590997</v>
      </c>
      <c r="AJ61" s="445"/>
      <c r="AK61" s="446"/>
      <c r="AL61" s="446"/>
    </row>
    <row r="62" spans="1:39" x14ac:dyDescent="0.25">
      <c r="A62" s="22"/>
      <c r="B62" s="28" t="s">
        <v>3</v>
      </c>
      <c r="C62" s="49"/>
      <c r="D62" s="49"/>
      <c r="E62" s="50">
        <f>ROUND(AA62,0)+ROUND($W62/1000,0)</f>
        <v>25189</v>
      </c>
      <c r="F62" s="50">
        <f>ROUND(AB62,0)+ROUND($Z62/1000,0)</f>
        <v>651847</v>
      </c>
      <c r="G62" s="50">
        <f t="shared" si="7"/>
        <v>506258</v>
      </c>
      <c r="H62" s="50">
        <f t="shared" si="11"/>
        <v>10072</v>
      </c>
      <c r="I62" s="50">
        <f t="shared" si="12"/>
        <v>9542</v>
      </c>
      <c r="J62" s="50">
        <f t="shared" si="8"/>
        <v>1202908</v>
      </c>
      <c r="K62" s="50"/>
      <c r="L62" s="49"/>
      <c r="M62" s="50">
        <f t="shared" si="9"/>
        <v>24691</v>
      </c>
      <c r="N62" s="51"/>
      <c r="O62" s="52"/>
      <c r="P62" s="114" t="s">
        <v>194</v>
      </c>
      <c r="Q62" s="53">
        <f>SUMPRODUCT(Q33:Q37,M60:M64)+SUMPRODUCT(Q42:Q44,M69:M71)</f>
        <v>104010.4997</v>
      </c>
      <c r="R62" s="47"/>
      <c r="S62" s="131" t="s">
        <v>178</v>
      </c>
      <c r="T62" s="53">
        <f>+T60-T61</f>
        <v>41881.685899999997</v>
      </c>
      <c r="U62" s="48"/>
      <c r="V62" s="310">
        <v>42795</v>
      </c>
      <c r="W62" s="291">
        <v>498467.18304700003</v>
      </c>
      <c r="X62" s="292">
        <v>5920.6036742999995</v>
      </c>
      <c r="Y62" s="55">
        <f t="shared" si="10"/>
        <v>492546.57937270001</v>
      </c>
      <c r="Z62" s="292">
        <v>1675264.8106487999</v>
      </c>
      <c r="AA62" s="304">
        <v>24691.276620735302</v>
      </c>
      <c r="AB62" s="294">
        <v>650171.65156861604</v>
      </c>
      <c r="AC62" s="50">
        <v>506264.33477273304</v>
      </c>
      <c r="AD62" s="294">
        <v>563183.28277273302</v>
      </c>
      <c r="AF62" s="294">
        <v>9542.2090000000007</v>
      </c>
      <c r="AG62" s="304">
        <v>10071.835568046898</v>
      </c>
      <c r="AJ62" s="445"/>
      <c r="AK62" s="446"/>
      <c r="AL62" s="446"/>
    </row>
    <row r="63" spans="1:39" x14ac:dyDescent="0.25">
      <c r="A63" s="22"/>
      <c r="B63" s="28" t="s">
        <v>4</v>
      </c>
      <c r="C63" s="49"/>
      <c r="D63" s="49"/>
      <c r="E63" s="50">
        <f>ROUND(AA63,0)+ROUND($W63/1000,0)</f>
        <v>20478</v>
      </c>
      <c r="F63" s="50">
        <f>ROUND(AB63,0)+ROUND($Z63/1000,0)</f>
        <v>567171</v>
      </c>
      <c r="G63" s="50">
        <f t="shared" si="7"/>
        <v>461012</v>
      </c>
      <c r="H63" s="50">
        <f t="shared" si="11"/>
        <v>7879</v>
      </c>
      <c r="I63" s="50">
        <f t="shared" si="12"/>
        <v>9537</v>
      </c>
      <c r="J63" s="50">
        <f t="shared" si="8"/>
        <v>1066077</v>
      </c>
      <c r="K63" s="50"/>
      <c r="L63" s="49"/>
      <c r="M63" s="50">
        <f t="shared" si="9"/>
        <v>19987</v>
      </c>
      <c r="N63" s="46"/>
      <c r="O63" s="47"/>
      <c r="P63" s="114" t="s">
        <v>263</v>
      </c>
      <c r="Q63" s="53">
        <f>SUM(W60:W64,W69:W71)/1000</f>
        <v>3806.4841961645006</v>
      </c>
      <c r="R63" s="47"/>
      <c r="S63" s="47"/>
      <c r="T63" s="47"/>
      <c r="U63" s="48"/>
      <c r="V63" s="310">
        <v>42826</v>
      </c>
      <c r="W63" s="291">
        <v>490770.94302790001</v>
      </c>
      <c r="X63" s="292">
        <v>5915.8251295999999</v>
      </c>
      <c r="Y63" s="55">
        <f t="shared" si="10"/>
        <v>484855.1178983</v>
      </c>
      <c r="Z63" s="292">
        <v>1278723.3884104001</v>
      </c>
      <c r="AA63" s="304">
        <v>19987.073399312601</v>
      </c>
      <c r="AB63" s="294">
        <v>565891.90721227706</v>
      </c>
      <c r="AC63" s="50">
        <v>461017.54433645599</v>
      </c>
      <c r="AD63" s="294">
        <v>521406.75333645602</v>
      </c>
      <c r="AF63" s="294">
        <v>9537.0229999999992</v>
      </c>
      <c r="AG63" s="304">
        <v>7878.6989951024052</v>
      </c>
      <c r="AJ63" s="445"/>
      <c r="AK63" s="446"/>
      <c r="AL63" s="446"/>
    </row>
    <row r="64" spans="1:39" x14ac:dyDescent="0.25">
      <c r="A64" s="22"/>
      <c r="B64" s="28" t="s">
        <v>5</v>
      </c>
      <c r="C64" s="49"/>
      <c r="D64" s="49"/>
      <c r="E64" s="50">
        <f>ROUND(AA64,0)+ROUND($W64/1000,0)</f>
        <v>15236</v>
      </c>
      <c r="F64" s="50">
        <f>ROUND(AB64,0)+ROUND($Z64/1000,0)</f>
        <v>522005</v>
      </c>
      <c r="G64" s="50">
        <f t="shared" si="7"/>
        <v>434013</v>
      </c>
      <c r="H64" s="195">
        <f t="shared" si="11"/>
        <v>8804</v>
      </c>
      <c r="I64" s="50">
        <f t="shared" si="12"/>
        <v>9532</v>
      </c>
      <c r="J64" s="50">
        <f t="shared" si="8"/>
        <v>989590</v>
      </c>
      <c r="K64" s="50"/>
      <c r="L64" s="49"/>
      <c r="M64" s="50">
        <f t="shared" si="9"/>
        <v>14753</v>
      </c>
      <c r="N64" s="51" t="s">
        <v>29</v>
      </c>
      <c r="O64" s="52"/>
      <c r="P64" s="53"/>
      <c r="Q64" s="53">
        <f>+SUM(E65:E68)</f>
        <v>78854</v>
      </c>
      <c r="R64" s="53">
        <f>+SUM(F65:F68)</f>
        <v>3577228</v>
      </c>
      <c r="S64" s="53">
        <f>+SUM(G65:G68)</f>
        <v>2175930</v>
      </c>
      <c r="T64" s="53">
        <f>+SUM(H65:H68)</f>
        <v>34920</v>
      </c>
      <c r="U64" s="54">
        <f>+SUM(I65:I68)</f>
        <v>38075</v>
      </c>
      <c r="V64" s="310">
        <v>42856</v>
      </c>
      <c r="W64" s="291">
        <v>483004.9709442</v>
      </c>
      <c r="X64" s="292">
        <v>5922.3972072000006</v>
      </c>
      <c r="Y64" s="55">
        <f t="shared" si="10"/>
        <v>477082.573737</v>
      </c>
      <c r="Z64" s="292">
        <v>925075.73007000005</v>
      </c>
      <c r="AA64" s="304">
        <v>14752.871929717099</v>
      </c>
      <c r="AB64" s="294">
        <v>521079.865340213</v>
      </c>
      <c r="AC64" s="50">
        <v>434019.25773103401</v>
      </c>
      <c r="AD64" s="294">
        <v>492911.394731034</v>
      </c>
      <c r="AF64" s="294">
        <v>9531.8389999999999</v>
      </c>
      <c r="AG64" s="304">
        <v>8804.0465103553979</v>
      </c>
      <c r="AJ64" s="445"/>
      <c r="AK64" s="446"/>
      <c r="AL64" s="446"/>
    </row>
    <row r="65" spans="1:38" x14ac:dyDescent="0.25">
      <c r="A65" s="22"/>
      <c r="B65" s="186" t="s">
        <v>6</v>
      </c>
      <c r="C65" s="187"/>
      <c r="D65" s="187"/>
      <c r="E65" s="188">
        <f>ROUND(AA65,0)+ROUND(SUM($W65+$Z65)/1000,0)</f>
        <v>16845</v>
      </c>
      <c r="F65" s="188">
        <f>ROUND(AB65,0)</f>
        <v>688865</v>
      </c>
      <c r="G65" s="188">
        <f t="shared" si="7"/>
        <v>502396</v>
      </c>
      <c r="H65" s="50">
        <f t="shared" si="11"/>
        <v>7878</v>
      </c>
      <c r="I65" s="188">
        <f t="shared" si="12"/>
        <v>9527</v>
      </c>
      <c r="J65" s="189">
        <f t="shared" si="8"/>
        <v>1225511</v>
      </c>
      <c r="K65" s="158"/>
      <c r="L65" s="49"/>
      <c r="M65" s="197">
        <f t="shared" si="9"/>
        <v>16370</v>
      </c>
      <c r="N65" s="114"/>
      <c r="O65" s="52"/>
      <c r="P65" s="130" t="s">
        <v>151</v>
      </c>
      <c r="Q65" s="53">
        <f>SUMPRODUCT(E38:E41,M65:M68)</f>
        <v>31192.8747</v>
      </c>
      <c r="R65" s="158">
        <f>Q$95/1000*T$95/(S$95/1000)</f>
        <v>1918973.8678962339</v>
      </c>
      <c r="S65" s="131" t="s">
        <v>177</v>
      </c>
      <c r="T65" s="53">
        <f>+SUMPRODUCT(H38:H41,H65:H68)</f>
        <v>16257.8182</v>
      </c>
      <c r="U65" s="56">
        <f>T65/T64</f>
        <v>0.46557325887743412</v>
      </c>
      <c r="V65" s="310">
        <v>42887</v>
      </c>
      <c r="W65" s="291">
        <v>475160.23876950005</v>
      </c>
      <c r="X65" s="292">
        <v>5917.9455939999998</v>
      </c>
      <c r="Y65" s="55">
        <f t="shared" si="10"/>
        <v>469242.29317550006</v>
      </c>
      <c r="Z65" s="292">
        <v>1020365.9151083999</v>
      </c>
      <c r="AA65" s="314">
        <v>15348.778122343101</v>
      </c>
      <c r="AB65" s="294">
        <v>688865.18296254799</v>
      </c>
      <c r="AC65" s="50">
        <v>502402.42463403905</v>
      </c>
      <c r="AD65" s="294">
        <v>560966.69463403907</v>
      </c>
      <c r="AF65" s="294">
        <v>9526.6579999999994</v>
      </c>
      <c r="AG65" s="304">
        <v>7878.4735150011029</v>
      </c>
      <c r="AJ65" s="445"/>
      <c r="AK65" s="446"/>
      <c r="AL65" s="446"/>
    </row>
    <row r="66" spans="1:38" x14ac:dyDescent="0.25">
      <c r="A66" s="22"/>
      <c r="B66" s="190" t="s">
        <v>7</v>
      </c>
      <c r="C66" s="191"/>
      <c r="D66" s="191"/>
      <c r="E66" s="158">
        <f>ROUND(AA66,0)+ROUND(SUM($W66+$Z66)/1000,0)</f>
        <v>20605</v>
      </c>
      <c r="F66" s="158">
        <f>ROUND(AB66,0)</f>
        <v>953644</v>
      </c>
      <c r="G66" s="158">
        <f t="shared" si="7"/>
        <v>561805</v>
      </c>
      <c r="H66" s="50">
        <f t="shared" si="11"/>
        <v>10987</v>
      </c>
      <c r="I66" s="158">
        <f t="shared" si="12"/>
        <v>9521</v>
      </c>
      <c r="J66" s="192">
        <f t="shared" si="8"/>
        <v>1556562</v>
      </c>
      <c r="K66" s="158"/>
      <c r="L66" s="49"/>
      <c r="M66" s="198">
        <f t="shared" si="9"/>
        <v>20137</v>
      </c>
      <c r="N66" s="114"/>
      <c r="O66" s="52"/>
      <c r="P66" s="130" t="s">
        <v>152</v>
      </c>
      <c r="Q66" s="53">
        <f>SUMPRODUCT(Q38:Q41,M65:M68)</f>
        <v>45805.125300000007</v>
      </c>
      <c r="R66" s="158">
        <f>R$95/1000*T$95/(S$95/1000)</f>
        <v>1658254.1321037663</v>
      </c>
      <c r="S66" s="131" t="s">
        <v>178</v>
      </c>
      <c r="T66" s="53">
        <f>+T64-T65</f>
        <v>18662.181799999998</v>
      </c>
      <c r="U66" s="48"/>
      <c r="V66" s="310">
        <v>42917</v>
      </c>
      <c r="W66" s="291">
        <v>467804.12626260007</v>
      </c>
      <c r="X66" s="292">
        <v>5871.1349178999999</v>
      </c>
      <c r="Y66" s="55">
        <f t="shared" si="10"/>
        <v>461932.99134470004</v>
      </c>
      <c r="Z66" s="292">
        <v>1202871.6010984001</v>
      </c>
      <c r="AA66" s="314">
        <v>18933.888761488499</v>
      </c>
      <c r="AB66" s="294">
        <v>953643.82963741303</v>
      </c>
      <c r="AC66" s="50">
        <v>561811.44278228702</v>
      </c>
      <c r="AD66" s="294">
        <v>627859.71278228704</v>
      </c>
      <c r="AF66" s="294">
        <v>9521.4779999999992</v>
      </c>
      <c r="AG66" s="304">
        <v>10986.688543943197</v>
      </c>
      <c r="AJ66" s="445"/>
      <c r="AK66" s="446"/>
      <c r="AL66" s="446"/>
    </row>
    <row r="67" spans="1:38" x14ac:dyDescent="0.25">
      <c r="A67" s="22"/>
      <c r="B67" s="190" t="s">
        <v>8</v>
      </c>
      <c r="C67" s="191"/>
      <c r="D67" s="191"/>
      <c r="E67" s="158">
        <f>ROUND(AA67,0)+ROUND(SUM($W67+$Z67)/1000,0)</f>
        <v>22308</v>
      </c>
      <c r="F67" s="158">
        <f>ROUND(AB67,0)</f>
        <v>1052047</v>
      </c>
      <c r="G67" s="158">
        <f t="shared" si="7"/>
        <v>575694</v>
      </c>
      <c r="H67" s="50">
        <f t="shared" si="11"/>
        <v>9081</v>
      </c>
      <c r="I67" s="158">
        <f t="shared" si="12"/>
        <v>9516</v>
      </c>
      <c r="J67" s="192">
        <f t="shared" si="8"/>
        <v>1668646</v>
      </c>
      <c r="K67" s="158"/>
      <c r="L67" s="49"/>
      <c r="M67" s="198">
        <f t="shared" si="9"/>
        <v>21848</v>
      </c>
      <c r="N67" s="58"/>
      <c r="O67" s="58"/>
      <c r="P67" s="114" t="s">
        <v>264</v>
      </c>
      <c r="Q67" s="53">
        <f>SUM(W65:W68)/1000</f>
        <v>1856.3194371117004</v>
      </c>
      <c r="R67" s="66"/>
      <c r="S67" s="58"/>
      <c r="T67" s="58"/>
      <c r="U67" s="59"/>
      <c r="V67" s="310">
        <v>42948</v>
      </c>
      <c r="W67" s="291">
        <v>460373.23291780002</v>
      </c>
      <c r="X67" s="292">
        <v>5848.3550629000001</v>
      </c>
      <c r="Y67" s="55">
        <f t="shared" si="10"/>
        <v>454524.87785490003</v>
      </c>
      <c r="Z67" s="292">
        <v>1285361.1229739001</v>
      </c>
      <c r="AA67" s="314">
        <v>20561.611102725295</v>
      </c>
      <c r="AB67" s="294">
        <v>1052047.2317742999</v>
      </c>
      <c r="AC67" s="50">
        <v>575699.86236243497</v>
      </c>
      <c r="AD67" s="294">
        <v>644654.26536243502</v>
      </c>
      <c r="AE67" s="21"/>
      <c r="AF67" s="294">
        <v>9516.2990000000009</v>
      </c>
      <c r="AG67" s="304">
        <v>9080.9945991096047</v>
      </c>
      <c r="AH67" s="21"/>
      <c r="AJ67" s="445"/>
      <c r="AK67" s="446"/>
      <c r="AL67" s="446"/>
    </row>
    <row r="68" spans="1:38" x14ac:dyDescent="0.25">
      <c r="A68" s="22"/>
      <c r="B68" s="193" t="s">
        <v>9</v>
      </c>
      <c r="C68" s="194"/>
      <c r="D68" s="194"/>
      <c r="E68" s="195">
        <f>ROUND(AA68,0)+ROUND(SUM($W68+$Z68)/1000,0)</f>
        <v>19096</v>
      </c>
      <c r="F68" s="195">
        <f>ROUND(AB68,0)</f>
        <v>882672</v>
      </c>
      <c r="G68" s="195">
        <f t="shared" si="7"/>
        <v>536035</v>
      </c>
      <c r="H68" s="195">
        <f t="shared" si="11"/>
        <v>6974</v>
      </c>
      <c r="I68" s="195">
        <f t="shared" si="12"/>
        <v>9511</v>
      </c>
      <c r="J68" s="196">
        <f t="shared" si="8"/>
        <v>1454288</v>
      </c>
      <c r="K68" s="158"/>
      <c r="L68" s="49"/>
      <c r="M68" s="199">
        <f t="shared" si="9"/>
        <v>18643</v>
      </c>
      <c r="N68" s="201" t="s">
        <v>255</v>
      </c>
      <c r="O68" s="41"/>
      <c r="P68" s="41"/>
      <c r="Q68" s="41" t="s">
        <v>130</v>
      </c>
      <c r="R68" s="41"/>
      <c r="S68" s="41"/>
      <c r="T68" s="41"/>
      <c r="U68" s="42"/>
      <c r="V68" s="310">
        <v>42979</v>
      </c>
      <c r="W68" s="291">
        <v>452981.8391618001</v>
      </c>
      <c r="X68" s="292">
        <v>5842.6624395999997</v>
      </c>
      <c r="Y68" s="55">
        <f t="shared" si="10"/>
        <v>447139.17672220012</v>
      </c>
      <c r="Z68" s="292">
        <v>1125687.2011235</v>
      </c>
      <c r="AA68" s="314">
        <v>17517.232770394399</v>
      </c>
      <c r="AB68" s="294">
        <v>882672.45002848201</v>
      </c>
      <c r="AC68" s="50">
        <v>536041.15971753804</v>
      </c>
      <c r="AD68" s="294">
        <v>605068.07871753804</v>
      </c>
      <c r="AE68" s="173"/>
      <c r="AF68" s="294">
        <v>9511.125</v>
      </c>
      <c r="AG68" s="304">
        <v>6973.5088072957997</v>
      </c>
      <c r="AH68" s="299"/>
      <c r="AJ68" s="445"/>
      <c r="AK68" s="446"/>
      <c r="AL68" s="446"/>
    </row>
    <row r="69" spans="1:38" x14ac:dyDescent="0.25">
      <c r="A69" s="22"/>
      <c r="B69" s="28" t="s">
        <v>10</v>
      </c>
      <c r="C69" s="49"/>
      <c r="D69" s="49"/>
      <c r="E69" s="50">
        <f>ROUND(AA69,0)+ROUND($W69/1000,0)</f>
        <v>13873</v>
      </c>
      <c r="F69" s="50">
        <f>ROUND(AB69,0)+ROUND($Z69/1000,0)</f>
        <v>602455</v>
      </c>
      <c r="G69" s="50">
        <f t="shared" si="7"/>
        <v>478374</v>
      </c>
      <c r="H69" s="50">
        <f t="shared" si="11"/>
        <v>9312</v>
      </c>
      <c r="I69" s="50">
        <f t="shared" si="12"/>
        <v>9506</v>
      </c>
      <c r="J69" s="50">
        <f t="shared" si="8"/>
        <v>1113520</v>
      </c>
      <c r="K69" s="50"/>
      <c r="L69" s="49"/>
      <c r="M69" s="50">
        <f t="shared" si="9"/>
        <v>13427</v>
      </c>
      <c r="N69" s="43"/>
      <c r="O69" s="44"/>
      <c r="P69" s="44"/>
      <c r="Q69" s="44" t="str">
        <f>+Q$13</f>
        <v>RT{1}</v>
      </c>
      <c r="R69" s="44"/>
      <c r="S69" s="44"/>
      <c r="T69" s="44" t="str">
        <f>+T$13</f>
        <v>GST</v>
      </c>
      <c r="U69" s="45"/>
      <c r="V69" s="310">
        <v>43009</v>
      </c>
      <c r="W69" s="291">
        <v>445966.08368579997</v>
      </c>
      <c r="X69" s="292">
        <v>5862.8538829999998</v>
      </c>
      <c r="Y69" s="55">
        <f t="shared" si="10"/>
        <v>440103.22980279999</v>
      </c>
      <c r="Z69" s="292">
        <v>882396.9562748</v>
      </c>
      <c r="AA69" s="304">
        <v>13426.7470064262</v>
      </c>
      <c r="AB69" s="294">
        <v>601572.80703729903</v>
      </c>
      <c r="AC69" s="50">
        <v>478379.81466621498</v>
      </c>
      <c r="AD69" s="294">
        <v>539740.52566621499</v>
      </c>
      <c r="AF69" s="294">
        <v>9505.9519999999993</v>
      </c>
      <c r="AG69" s="304">
        <v>9312.1415514660039</v>
      </c>
      <c r="AJ69" s="445"/>
      <c r="AK69" s="446"/>
      <c r="AL69" s="446"/>
    </row>
    <row r="70" spans="1:38" x14ac:dyDescent="0.25">
      <c r="A70" s="22"/>
      <c r="B70" s="28" t="s">
        <v>11</v>
      </c>
      <c r="C70" s="49"/>
      <c r="D70" s="49"/>
      <c r="E70" s="50">
        <f>ROUND(AA70,0)+ROUND($W70/1000,0)</f>
        <v>15242</v>
      </c>
      <c r="F70" s="50">
        <f>ROUND(AB70,0)+ROUND($Z70/1000,0)</f>
        <v>553786</v>
      </c>
      <c r="G70" s="50">
        <f t="shared" si="7"/>
        <v>417640</v>
      </c>
      <c r="H70" s="50">
        <f t="shared" si="11"/>
        <v>6634</v>
      </c>
      <c r="I70" s="50">
        <f t="shared" si="12"/>
        <v>9501</v>
      </c>
      <c r="J70" s="50">
        <f t="shared" si="8"/>
        <v>1002803</v>
      </c>
      <c r="K70" s="50"/>
      <c r="L70" s="49"/>
      <c r="M70" s="50">
        <f t="shared" si="9"/>
        <v>14803</v>
      </c>
      <c r="N70" s="46"/>
      <c r="O70" s="47"/>
      <c r="P70" s="47"/>
      <c r="Q70" s="47"/>
      <c r="R70" s="47"/>
      <c r="S70" s="47"/>
      <c r="T70" s="47"/>
      <c r="U70" s="48"/>
      <c r="V70" s="310">
        <v>43040</v>
      </c>
      <c r="W70" s="291">
        <v>438846.80242830003</v>
      </c>
      <c r="X70" s="292">
        <v>5854.1225477999997</v>
      </c>
      <c r="Y70" s="55">
        <f t="shared" si="10"/>
        <v>432992.67988050001</v>
      </c>
      <c r="Z70" s="292">
        <v>1044357.1498209999</v>
      </c>
      <c r="AA70" s="304">
        <v>14803.2619973324</v>
      </c>
      <c r="AB70" s="294">
        <v>552741.82685284701</v>
      </c>
      <c r="AC70" s="50">
        <v>417645.75918968703</v>
      </c>
      <c r="AD70" s="294">
        <v>472707.90518968704</v>
      </c>
      <c r="AE70" s="90"/>
      <c r="AF70" s="294">
        <v>9500.7829999999994</v>
      </c>
      <c r="AG70" s="304">
        <v>6633.778012933597</v>
      </c>
      <c r="AH70" s="21"/>
      <c r="AJ70" s="445"/>
      <c r="AK70" s="446"/>
      <c r="AL70" s="446"/>
    </row>
    <row r="71" spans="1:38" x14ac:dyDescent="0.25">
      <c r="A71" s="22"/>
      <c r="B71" s="28" t="s">
        <v>12</v>
      </c>
      <c r="C71" s="49"/>
      <c r="D71" s="49"/>
      <c r="E71" s="50">
        <f>ROUND(AA71,0)+ROUND($W71/1000,0)</f>
        <v>20134</v>
      </c>
      <c r="F71" s="50">
        <f>ROUND(AB71,0)+ROUND($Z71/1000,0)</f>
        <v>640040</v>
      </c>
      <c r="G71" s="50">
        <f t="shared" si="7"/>
        <v>451157</v>
      </c>
      <c r="H71" s="50">
        <f t="shared" si="11"/>
        <v>9542</v>
      </c>
      <c r="I71" s="50">
        <f t="shared" si="12"/>
        <v>9496</v>
      </c>
      <c r="J71" s="50">
        <f t="shared" si="8"/>
        <v>1130369</v>
      </c>
      <c r="K71" s="50"/>
      <c r="L71" s="49"/>
      <c r="M71" s="200">
        <f t="shared" si="9"/>
        <v>19702</v>
      </c>
      <c r="N71" s="51"/>
      <c r="O71" s="52"/>
      <c r="P71" s="115" t="s">
        <v>148</v>
      </c>
      <c r="Q71" s="53">
        <f>SUM(E60:E64,E69:E71)</f>
        <v>164662</v>
      </c>
      <c r="R71" s="53"/>
      <c r="S71" s="115" t="s">
        <v>148</v>
      </c>
      <c r="T71" s="53">
        <f>SUM(H60:H64,H69:H71)</f>
        <v>74592</v>
      </c>
      <c r="U71" s="54"/>
      <c r="V71" s="310">
        <v>43070</v>
      </c>
      <c r="W71" s="313">
        <v>431962.17631009995</v>
      </c>
      <c r="X71" s="311">
        <v>5823.9826819999998</v>
      </c>
      <c r="Y71" s="55">
        <f t="shared" si="10"/>
        <v>426138.19362809998</v>
      </c>
      <c r="Z71" s="311">
        <v>1380320.4882654001</v>
      </c>
      <c r="AA71" s="305">
        <v>19701.765860396899</v>
      </c>
      <c r="AB71" s="309">
        <v>638660.08565133798</v>
      </c>
      <c r="AC71" s="200">
        <v>451163.24256468198</v>
      </c>
      <c r="AD71" s="309">
        <v>506285.85056468198</v>
      </c>
      <c r="AE71" s="38"/>
      <c r="AF71" s="294">
        <v>9495.6149999999998</v>
      </c>
      <c r="AG71" s="305">
        <v>9542.2905637295989</v>
      </c>
      <c r="AH71" s="38"/>
      <c r="AJ71" s="445"/>
      <c r="AK71" s="446"/>
      <c r="AL71" s="446"/>
    </row>
    <row r="72" spans="1:38" x14ac:dyDescent="0.25">
      <c r="A72" s="22"/>
      <c r="B72" s="60" t="s">
        <v>13</v>
      </c>
      <c r="C72" s="55"/>
      <c r="D72" s="55"/>
      <c r="E72" s="55">
        <f>SUM(E60:E71)</f>
        <v>243516</v>
      </c>
      <c r="F72" s="55">
        <f>SUM(F60:F71)</f>
        <v>8599355</v>
      </c>
      <c r="G72" s="55">
        <f>SUM(G60:G71)</f>
        <v>5957553</v>
      </c>
      <c r="H72" s="55">
        <f>SUM(H60:H71)</f>
        <v>109512</v>
      </c>
      <c r="I72" s="55">
        <f>SUM(I60:I71)</f>
        <v>114289</v>
      </c>
      <c r="J72" s="55">
        <f t="shared" si="8"/>
        <v>15024225</v>
      </c>
      <c r="K72" s="55"/>
      <c r="L72" s="55"/>
      <c r="M72" s="55">
        <f>SUM(M60:M71)</f>
        <v>237854</v>
      </c>
      <c r="N72" s="51"/>
      <c r="O72" s="52"/>
      <c r="P72" s="114" t="s">
        <v>146</v>
      </c>
      <c r="Q72" s="53">
        <f>SUMPRODUCT(E15:E19,E60:E64)+SUMPRODUCT(E24:E26,E69:E71)</f>
        <v>79760.139599999995</v>
      </c>
      <c r="R72" s="47">
        <f>Q72/Q71</f>
        <v>0.48438704497698315</v>
      </c>
      <c r="S72" s="114" t="s">
        <v>177</v>
      </c>
      <c r="T72" s="53">
        <f>SUMPRODUCT(H15:H19,H60:H64)+SUMPRODUCT(H24:H26,H69:H71)</f>
        <v>42045.592999999993</v>
      </c>
      <c r="U72" s="48">
        <f>T72/T71</f>
        <v>0.56367429483054476</v>
      </c>
      <c r="W72" s="55">
        <f t="shared" ref="W72:AF72" si="13">SUM(W60:W71)</f>
        <v>5662803.6332761999</v>
      </c>
      <c r="X72" s="55">
        <f t="shared" si="13"/>
        <v>70710.861541799997</v>
      </c>
      <c r="Y72" s="55">
        <f t="shared" si="13"/>
        <v>5592092.7717344007</v>
      </c>
      <c r="Z72" s="55">
        <f t="shared" si="13"/>
        <v>15559574.431658402</v>
      </c>
      <c r="AA72" s="55">
        <f t="shared" si="13"/>
        <v>233217.22716247346</v>
      </c>
      <c r="AB72" s="55">
        <f t="shared" si="13"/>
        <v>8588430.6964058671</v>
      </c>
      <c r="AC72" s="55">
        <f t="shared" si="13"/>
        <v>5957626.3411695333</v>
      </c>
      <c r="AD72" s="55">
        <f t="shared" si="13"/>
        <v>6679394.7271695333</v>
      </c>
      <c r="AE72" s="317"/>
      <c r="AF72" s="55">
        <f t="shared" si="13"/>
        <v>114288.97100000001</v>
      </c>
      <c r="AG72" s="55">
        <f>SUM(AG60:AG71)</f>
        <v>109511.59413706331</v>
      </c>
      <c r="AH72" s="316"/>
      <c r="AJ72" s="336"/>
      <c r="AK72" s="337"/>
      <c r="AL72" s="337"/>
    </row>
    <row r="73" spans="1:38" x14ac:dyDescent="0.25">
      <c r="A73" s="22"/>
      <c r="B73" s="28"/>
      <c r="G73" s="50" t="s">
        <v>312</v>
      </c>
      <c r="K73" s="61"/>
      <c r="N73" s="51"/>
      <c r="O73" s="52"/>
      <c r="P73" s="114" t="s">
        <v>145</v>
      </c>
      <c r="Q73" s="53">
        <f>+Q71-Q72</f>
        <v>84901.860400000005</v>
      </c>
      <c r="R73" s="47"/>
      <c r="S73" s="114" t="s">
        <v>178</v>
      </c>
      <c r="T73" s="53">
        <f>+T71-T72</f>
        <v>32546.407000000007</v>
      </c>
      <c r="U73" s="48"/>
      <c r="AD73" s="297"/>
      <c r="AE73" s="298"/>
      <c r="AG73" s="297"/>
      <c r="AH73" s="298"/>
      <c r="AK73" s="55"/>
    </row>
    <row r="74" spans="1:38" ht="15.6" x14ac:dyDescent="0.3">
      <c r="A74" s="22"/>
      <c r="N74" s="46"/>
      <c r="O74" s="47"/>
      <c r="P74" s="47"/>
      <c r="Q74" s="47"/>
      <c r="R74" s="47"/>
      <c r="S74" s="47"/>
      <c r="T74" s="47"/>
      <c r="U74" s="48"/>
      <c r="V74" s="71" t="s">
        <v>181</v>
      </c>
      <c r="W74" s="13" t="s">
        <v>185</v>
      </c>
      <c r="X74" s="13" t="s">
        <v>184</v>
      </c>
      <c r="Y74" s="13" t="s">
        <v>182</v>
      </c>
      <c r="Z74" s="13" t="s">
        <v>183</v>
      </c>
      <c r="AB74" s="21" t="s">
        <v>287</v>
      </c>
      <c r="AC74" s="21" t="s">
        <v>288</v>
      </c>
      <c r="AE74" s="14"/>
    </row>
    <row r="75" spans="1:38" x14ac:dyDescent="0.25">
      <c r="A75" s="18" t="s">
        <v>37</v>
      </c>
      <c r="B75" s="16" t="s">
        <v>19</v>
      </c>
      <c r="G75" s="62" t="s">
        <v>32</v>
      </c>
      <c r="H75" s="16" t="s">
        <v>175</v>
      </c>
      <c r="N75" s="51"/>
      <c r="O75" s="52"/>
      <c r="P75" s="116" t="s">
        <v>149</v>
      </c>
      <c r="Q75" s="53">
        <f>+SUM(E65:E68)</f>
        <v>78854</v>
      </c>
      <c r="R75" s="44"/>
      <c r="S75" s="116" t="s">
        <v>149</v>
      </c>
      <c r="T75" s="53">
        <f>+SUM(H65:H68)</f>
        <v>34920</v>
      </c>
      <c r="U75" s="45"/>
      <c r="V75" s="55">
        <f t="shared" ref="V75:V86" si="14">W60-W75</f>
        <v>1181.6766565000289</v>
      </c>
      <c r="W75" s="55">
        <f t="shared" ref="W75:W86" si="15">SUM(X75:Z75)</f>
        <v>511147</v>
      </c>
      <c r="X75" s="293">
        <v>12853</v>
      </c>
      <c r="Y75" s="292">
        <v>492504</v>
      </c>
      <c r="Z75" s="292">
        <v>5790</v>
      </c>
      <c r="AA75" s="55"/>
      <c r="AB75" s="312">
        <f t="shared" ref="AB75:AB86" si="16">(V75*$AA$94+W75*$AA$95)/1000</f>
        <v>147.00182162577377</v>
      </c>
      <c r="AC75" s="312">
        <f t="shared" ref="AC75:AC86" si="17">(W60/1000)-AB75</f>
        <v>365.32685503072628</v>
      </c>
      <c r="AG75" s="55"/>
    </row>
    <row r="76" spans="1:38" s="63" customFormat="1" x14ac:dyDescent="0.25">
      <c r="A76" s="22"/>
      <c r="B76" s="17" t="s">
        <v>21</v>
      </c>
      <c r="G76" s="21"/>
      <c r="H76" s="127" t="s">
        <v>174</v>
      </c>
      <c r="N76" s="51"/>
      <c r="O76" s="52"/>
      <c r="P76" s="114" t="s">
        <v>146</v>
      </c>
      <c r="Q76" s="53">
        <f>+SUMPRODUCT(E20:E23,E65:E68)</f>
        <v>40495.8802</v>
      </c>
      <c r="R76" s="47">
        <f>Q76/Q75</f>
        <v>0.51355518046009074</v>
      </c>
      <c r="S76" s="131" t="s">
        <v>177</v>
      </c>
      <c r="T76" s="53">
        <f>+SUMPRODUCT(H20:H23,H65:H68)</f>
        <v>20404.939000000002</v>
      </c>
      <c r="U76" s="48">
        <f>T76/T75</f>
        <v>0.58433387743413523</v>
      </c>
      <c r="V76" s="55">
        <f t="shared" si="14"/>
        <v>-2131.6399353000452</v>
      </c>
      <c r="W76" s="55">
        <f t="shared" si="15"/>
        <v>507269</v>
      </c>
      <c r="X76" s="293">
        <v>12767</v>
      </c>
      <c r="Y76" s="292">
        <v>488751</v>
      </c>
      <c r="Z76" s="292">
        <v>5751</v>
      </c>
      <c r="AA76" s="55"/>
      <c r="AB76" s="312">
        <f t="shared" si="16"/>
        <v>145.49316443077925</v>
      </c>
      <c r="AC76" s="312">
        <f t="shared" si="17"/>
        <v>359.64419563392073</v>
      </c>
      <c r="AD76" s="13"/>
    </row>
    <row r="77" spans="1:38" x14ac:dyDescent="0.25">
      <c r="A77" s="22"/>
      <c r="C77" s="63"/>
      <c r="D77" s="26" t="s">
        <v>169</v>
      </c>
      <c r="E77" s="63"/>
      <c r="G77" s="26"/>
      <c r="N77" s="64"/>
      <c r="O77" s="65"/>
      <c r="P77" s="117" t="s">
        <v>145</v>
      </c>
      <c r="Q77" s="66">
        <f>Q75-Q76</f>
        <v>38358.1198</v>
      </c>
      <c r="R77" s="58"/>
      <c r="S77" s="132" t="s">
        <v>178</v>
      </c>
      <c r="T77" s="66">
        <f>T75-T76</f>
        <v>14515.060999999998</v>
      </c>
      <c r="U77" s="59"/>
      <c r="V77" s="55">
        <f t="shared" si="14"/>
        <v>-5198.8169529999723</v>
      </c>
      <c r="W77" s="55">
        <f t="shared" si="15"/>
        <v>503666</v>
      </c>
      <c r="X77" s="293">
        <v>12686</v>
      </c>
      <c r="Y77" s="292">
        <v>485266</v>
      </c>
      <c r="Z77" s="292">
        <v>5714</v>
      </c>
      <c r="AA77" s="55"/>
      <c r="AB77" s="312">
        <f t="shared" si="16"/>
        <v>144.0928216997344</v>
      </c>
      <c r="AC77" s="312">
        <f t="shared" si="17"/>
        <v>354.37436134726568</v>
      </c>
      <c r="AD77" s="55"/>
      <c r="AF77" s="63"/>
      <c r="AG77" s="63"/>
    </row>
    <row r="78" spans="1:38" x14ac:dyDescent="0.25">
      <c r="A78" s="22"/>
      <c r="C78" s="26" t="s">
        <v>14</v>
      </c>
      <c r="D78" s="26" t="s">
        <v>170</v>
      </c>
      <c r="E78" s="26" t="s">
        <v>15</v>
      </c>
      <c r="H78" s="26" t="s">
        <v>14</v>
      </c>
      <c r="I78" s="26" t="s">
        <v>15</v>
      </c>
      <c r="N78" s="46"/>
      <c r="O78" s="47"/>
      <c r="P78" s="47"/>
      <c r="Q78" s="47" t="s">
        <v>58</v>
      </c>
      <c r="R78" s="47"/>
      <c r="S78" s="47"/>
      <c r="T78" s="47"/>
      <c r="U78" s="48"/>
      <c r="V78" s="55">
        <f t="shared" si="14"/>
        <v>-9073.056972099992</v>
      </c>
      <c r="W78" s="55">
        <f t="shared" si="15"/>
        <v>499844</v>
      </c>
      <c r="X78" s="293">
        <v>12600</v>
      </c>
      <c r="Y78" s="292">
        <v>481569</v>
      </c>
      <c r="Z78" s="292">
        <v>5675</v>
      </c>
      <c r="AA78" s="55"/>
      <c r="AB78" s="312">
        <f t="shared" si="16"/>
        <v>142.53347764984156</v>
      </c>
      <c r="AC78" s="312">
        <f t="shared" si="17"/>
        <v>348.23746537805846</v>
      </c>
      <c r="AF78" s="63"/>
      <c r="AG78" s="63"/>
    </row>
    <row r="79" spans="1:38" x14ac:dyDescent="0.25">
      <c r="A79" s="22"/>
      <c r="B79" s="28" t="s">
        <v>1</v>
      </c>
      <c r="C79" s="69">
        <v>52.53</v>
      </c>
      <c r="D79" s="318">
        <v>0.69962854520404805</v>
      </c>
      <c r="E79" s="182">
        <f t="shared" ref="E79:E90" si="18">ROUND(C79*D79,3)</f>
        <v>36.750999999999998</v>
      </c>
      <c r="H79" s="33">
        <v>1.0424479436469261</v>
      </c>
      <c r="I79" s="33">
        <v>1.0344323436374043</v>
      </c>
      <c r="N79" s="43"/>
      <c r="O79" s="44"/>
      <c r="P79" s="26"/>
      <c r="Q79" s="26" t="str">
        <f>+Q$13</f>
        <v>RT{1}</v>
      </c>
      <c r="R79" s="26"/>
      <c r="S79" s="26"/>
      <c r="T79" s="26" t="str">
        <f>+T$13</f>
        <v>GST</v>
      </c>
      <c r="U79" s="45"/>
      <c r="V79" s="55">
        <f t="shared" si="14"/>
        <v>-13167.029055799998</v>
      </c>
      <c r="W79" s="55">
        <f t="shared" si="15"/>
        <v>496172</v>
      </c>
      <c r="X79" s="293">
        <v>12518</v>
      </c>
      <c r="Y79" s="292">
        <v>478017</v>
      </c>
      <c r="Z79" s="292">
        <v>5637</v>
      </c>
      <c r="AA79" s="55"/>
      <c r="AB79" s="312">
        <f t="shared" si="16"/>
        <v>140.99107254830216</v>
      </c>
      <c r="AC79" s="312">
        <f t="shared" si="17"/>
        <v>342.01389839589785</v>
      </c>
      <c r="AF79" s="63"/>
      <c r="AG79" s="63"/>
    </row>
    <row r="80" spans="1:38" x14ac:dyDescent="0.25">
      <c r="A80" s="22"/>
      <c r="B80" s="28" t="s">
        <v>2</v>
      </c>
      <c r="C80" s="69">
        <v>49.85</v>
      </c>
      <c r="D80" s="111">
        <f>+$D$79</f>
        <v>0.69962854520404805</v>
      </c>
      <c r="E80" s="182">
        <f t="shared" si="18"/>
        <v>34.875999999999998</v>
      </c>
      <c r="H80" s="177">
        <f>H79</f>
        <v>1.0424479436469261</v>
      </c>
      <c r="I80" s="177">
        <f>I79</f>
        <v>1.0344323436374043</v>
      </c>
      <c r="N80" s="46"/>
      <c r="O80" s="47"/>
      <c r="P80" s="47"/>
      <c r="Q80" s="47"/>
      <c r="R80" s="47"/>
      <c r="S80" s="47"/>
      <c r="T80" s="47"/>
      <c r="U80" s="48"/>
      <c r="V80" s="55">
        <f t="shared" si="14"/>
        <v>-17245.761230499949</v>
      </c>
      <c r="W80" s="55">
        <f t="shared" si="15"/>
        <v>492406</v>
      </c>
      <c r="X80" s="293">
        <v>12433</v>
      </c>
      <c r="Y80" s="292">
        <v>474375</v>
      </c>
      <c r="Z80" s="292">
        <v>5598</v>
      </c>
      <c r="AA80" s="55"/>
      <c r="AB80" s="312">
        <f t="shared" si="16"/>
        <v>139.42347393776095</v>
      </c>
      <c r="AC80" s="312">
        <f t="shared" si="17"/>
        <v>335.73676483173909</v>
      </c>
      <c r="AF80" s="63"/>
      <c r="AG80" s="63"/>
    </row>
    <row r="81" spans="1:33" x14ac:dyDescent="0.25">
      <c r="A81" s="22"/>
      <c r="B81" s="28" t="s">
        <v>3</v>
      </c>
      <c r="C81" s="69">
        <v>40.31</v>
      </c>
      <c r="D81" s="111">
        <f>+$D$79</f>
        <v>0.69962854520404805</v>
      </c>
      <c r="E81" s="182">
        <f t="shared" si="18"/>
        <v>28.202000000000002</v>
      </c>
      <c r="H81" s="177">
        <f>H79</f>
        <v>1.0424479436469261</v>
      </c>
      <c r="I81" s="177">
        <f>I79</f>
        <v>1.0344323436374043</v>
      </c>
      <c r="N81" s="51"/>
      <c r="O81" s="52"/>
      <c r="P81" s="115" t="s">
        <v>26</v>
      </c>
      <c r="Q81" s="53"/>
      <c r="R81" s="53"/>
      <c r="S81" s="115" t="s">
        <v>26</v>
      </c>
      <c r="T81" s="53"/>
      <c r="U81" s="54"/>
      <c r="V81" s="55">
        <f t="shared" si="14"/>
        <v>-20984.873737399932</v>
      </c>
      <c r="W81" s="55">
        <f t="shared" si="15"/>
        <v>488789</v>
      </c>
      <c r="X81" s="293">
        <v>12352</v>
      </c>
      <c r="Y81" s="292">
        <v>470876</v>
      </c>
      <c r="Z81" s="292">
        <v>5561</v>
      </c>
      <c r="AA81" s="55"/>
      <c r="AB81" s="312">
        <f t="shared" si="16"/>
        <v>137.93911645067578</v>
      </c>
      <c r="AC81" s="312">
        <f t="shared" si="17"/>
        <v>329.86500981192427</v>
      </c>
      <c r="AF81" s="63"/>
      <c r="AG81" s="63"/>
    </row>
    <row r="82" spans="1:33" x14ac:dyDescent="0.25">
      <c r="A82" s="22"/>
      <c r="B82" s="28" t="s">
        <v>4</v>
      </c>
      <c r="C82" s="69">
        <v>33.729999999999997</v>
      </c>
      <c r="D82" s="111">
        <f>+$D$79</f>
        <v>0.69962854520404805</v>
      </c>
      <c r="E82" s="182">
        <f t="shared" si="18"/>
        <v>23.597999999999999</v>
      </c>
      <c r="H82" s="177">
        <f>H79</f>
        <v>1.0424479436469261</v>
      </c>
      <c r="I82" s="177">
        <f>I79</f>
        <v>1.0344323436374043</v>
      </c>
      <c r="N82" s="51"/>
      <c r="O82" s="52"/>
      <c r="P82" s="114" t="s">
        <v>147</v>
      </c>
      <c r="Q82" s="53">
        <f>Q72-Q61</f>
        <v>22914.639299999995</v>
      </c>
      <c r="R82" s="47"/>
      <c r="S82" s="114" t="s">
        <v>147</v>
      </c>
      <c r="T82" s="53">
        <f>T72-T61</f>
        <v>9335.2788999999939</v>
      </c>
      <c r="U82" s="48"/>
      <c r="V82" s="55">
        <f t="shared" si="14"/>
        <v>-24706.767082199978</v>
      </c>
      <c r="W82" s="55">
        <f t="shared" si="15"/>
        <v>485080</v>
      </c>
      <c r="X82" s="293">
        <v>12269</v>
      </c>
      <c r="Y82" s="292">
        <v>467288</v>
      </c>
      <c r="Z82" s="292">
        <v>5523</v>
      </c>
      <c r="AA82" s="55"/>
      <c r="AB82" s="312">
        <f t="shared" si="16"/>
        <v>136.43037571365747</v>
      </c>
      <c r="AC82" s="312">
        <f t="shared" si="17"/>
        <v>323.94285720414257</v>
      </c>
      <c r="AF82" s="63"/>
      <c r="AG82" s="63"/>
    </row>
    <row r="83" spans="1:33" x14ac:dyDescent="0.25">
      <c r="A83" s="22"/>
      <c r="B83" s="28" t="s">
        <v>5</v>
      </c>
      <c r="C83" s="69">
        <v>33.630000000000003</v>
      </c>
      <c r="D83" s="111">
        <f>+$D$79</f>
        <v>0.69962854520404805</v>
      </c>
      <c r="E83" s="182">
        <f t="shared" si="18"/>
        <v>23.529</v>
      </c>
      <c r="H83" s="177">
        <f>H79</f>
        <v>1.0424479436469261</v>
      </c>
      <c r="I83" s="177">
        <f>I79</f>
        <v>1.0344323436374043</v>
      </c>
      <c r="N83" s="51"/>
      <c r="O83" s="52"/>
      <c r="P83" s="114" t="s">
        <v>150</v>
      </c>
      <c r="Q83" s="140">
        <f>Q82*(E117-E118)</f>
        <v>335725.44449754013</v>
      </c>
      <c r="R83" s="47"/>
      <c r="S83" s="114" t="s">
        <v>150</v>
      </c>
      <c r="T83" s="140">
        <f>T82*(H117-H118)</f>
        <v>132051.2516880788</v>
      </c>
      <c r="U83" s="48"/>
      <c r="V83" s="55">
        <f t="shared" si="14"/>
        <v>-28417.160838199896</v>
      </c>
      <c r="W83" s="55">
        <f t="shared" si="15"/>
        <v>481399</v>
      </c>
      <c r="X83" s="293">
        <v>12186</v>
      </c>
      <c r="Y83" s="292">
        <v>463728</v>
      </c>
      <c r="Z83" s="292">
        <v>5485</v>
      </c>
      <c r="AA83" s="55"/>
      <c r="AB83" s="312">
        <f t="shared" si="16"/>
        <v>134.9310488471007</v>
      </c>
      <c r="AC83" s="312">
        <f t="shared" si="17"/>
        <v>318.05079031469938</v>
      </c>
      <c r="AF83" s="63"/>
      <c r="AG83" s="63"/>
    </row>
    <row r="84" spans="1:33" x14ac:dyDescent="0.25">
      <c r="A84" s="22"/>
      <c r="B84" s="28" t="s">
        <v>6</v>
      </c>
      <c r="C84" s="338">
        <v>37.35</v>
      </c>
      <c r="D84" s="319">
        <v>0.64162163177611842</v>
      </c>
      <c r="E84" s="183">
        <f t="shared" si="18"/>
        <v>23.965</v>
      </c>
      <c r="H84" s="128">
        <v>0.95336004762387205</v>
      </c>
      <c r="I84" s="129">
        <v>0.89953982005070054</v>
      </c>
      <c r="N84" s="46"/>
      <c r="O84" s="47"/>
      <c r="P84" s="47"/>
      <c r="Q84" s="68"/>
      <c r="R84" s="47"/>
      <c r="S84" s="47"/>
      <c r="T84" s="68"/>
      <c r="U84" s="48"/>
      <c r="V84" s="55">
        <f t="shared" si="14"/>
        <v>-31896.916314200033</v>
      </c>
      <c r="W84" s="55">
        <f t="shared" si="15"/>
        <v>477863</v>
      </c>
      <c r="X84" s="293">
        <v>12106</v>
      </c>
      <c r="Y84" s="292">
        <v>460308</v>
      </c>
      <c r="Z84" s="292">
        <v>5449</v>
      </c>
      <c r="AA84" s="55"/>
      <c r="AB84" s="312">
        <f t="shared" si="16"/>
        <v>133.5008398618626</v>
      </c>
      <c r="AC84" s="312">
        <f t="shared" si="17"/>
        <v>312.46524382393739</v>
      </c>
      <c r="AF84" s="63"/>
      <c r="AG84" s="63"/>
    </row>
    <row r="85" spans="1:33" x14ac:dyDescent="0.25">
      <c r="A85" s="22"/>
      <c r="B85" s="28" t="s">
        <v>7</v>
      </c>
      <c r="C85" s="339">
        <v>45.53</v>
      </c>
      <c r="D85" s="225">
        <f>+$D$84</f>
        <v>0.64162163177611842</v>
      </c>
      <c r="E85" s="184">
        <f t="shared" si="18"/>
        <v>29.213000000000001</v>
      </c>
      <c r="H85" s="175">
        <f t="shared" ref="H85:I87" si="19">H84</f>
        <v>0.95336004762387205</v>
      </c>
      <c r="I85" s="178">
        <f t="shared" si="19"/>
        <v>0.89953982005070054</v>
      </c>
      <c r="N85" s="51"/>
      <c r="O85" s="52"/>
      <c r="P85" s="116" t="s">
        <v>25</v>
      </c>
      <c r="Q85" s="68"/>
      <c r="R85" s="44"/>
      <c r="S85" s="116" t="s">
        <v>25</v>
      </c>
      <c r="T85" s="68"/>
      <c r="U85" s="45"/>
      <c r="V85" s="55">
        <f t="shared" si="14"/>
        <v>-35390.197571699973</v>
      </c>
      <c r="W85" s="55">
        <f t="shared" si="15"/>
        <v>474237</v>
      </c>
      <c r="X85" s="293">
        <v>12025</v>
      </c>
      <c r="Y85" s="292">
        <v>456800</v>
      </c>
      <c r="Z85" s="292">
        <v>5412</v>
      </c>
      <c r="AA85" s="55"/>
      <c r="AB85" s="312">
        <f t="shared" si="16"/>
        <v>132.04316214805766</v>
      </c>
      <c r="AC85" s="312">
        <f t="shared" si="17"/>
        <v>306.80364028024235</v>
      </c>
      <c r="AF85" s="63"/>
      <c r="AG85" s="63"/>
    </row>
    <row r="86" spans="1:33" x14ac:dyDescent="0.25">
      <c r="A86" s="22"/>
      <c r="B86" s="28" t="s">
        <v>8</v>
      </c>
      <c r="C86" s="339">
        <v>41.6</v>
      </c>
      <c r="D86" s="225">
        <f>+$D$84</f>
        <v>0.64162163177611842</v>
      </c>
      <c r="E86" s="184">
        <f t="shared" si="18"/>
        <v>26.690999999999999</v>
      </c>
      <c r="H86" s="175">
        <f t="shared" si="19"/>
        <v>0.95336004762387205</v>
      </c>
      <c r="I86" s="178">
        <f t="shared" si="19"/>
        <v>0.89953982005070054</v>
      </c>
      <c r="N86" s="51"/>
      <c r="O86" s="52"/>
      <c r="P86" s="114" t="s">
        <v>147</v>
      </c>
      <c r="Q86" s="53">
        <f>Q76-Q65</f>
        <v>9303.0054999999993</v>
      </c>
      <c r="R86" s="47"/>
      <c r="S86" s="114" t="s">
        <v>147</v>
      </c>
      <c r="T86" s="53">
        <f>T76-T65</f>
        <v>4147.1208000000024</v>
      </c>
      <c r="U86" s="48"/>
      <c r="V86" s="55">
        <f t="shared" si="14"/>
        <v>-38791.823689900048</v>
      </c>
      <c r="W86" s="55">
        <f t="shared" si="15"/>
        <v>470754</v>
      </c>
      <c r="X86" s="315">
        <v>11946</v>
      </c>
      <c r="Y86" s="311">
        <v>453432</v>
      </c>
      <c r="Z86" s="311">
        <v>5376</v>
      </c>
      <c r="AA86" s="55"/>
      <c r="AB86" s="312">
        <f t="shared" si="16"/>
        <v>130.63748206988365</v>
      </c>
      <c r="AC86" s="312">
        <f t="shared" si="17"/>
        <v>301.32469424021633</v>
      </c>
      <c r="AF86" s="63"/>
      <c r="AG86" s="63"/>
    </row>
    <row r="87" spans="1:33" x14ac:dyDescent="0.25">
      <c r="A87" s="22"/>
      <c r="B87" s="28" t="s">
        <v>9</v>
      </c>
      <c r="C87" s="340">
        <v>35.39</v>
      </c>
      <c r="D87" s="226">
        <f>+$D$84</f>
        <v>0.64162163177611842</v>
      </c>
      <c r="E87" s="185">
        <f t="shared" si="18"/>
        <v>22.707000000000001</v>
      </c>
      <c r="H87" s="176">
        <f t="shared" si="19"/>
        <v>0.95336004762387205</v>
      </c>
      <c r="I87" s="179">
        <f t="shared" si="19"/>
        <v>0.89953982005070054</v>
      </c>
      <c r="N87" s="64"/>
      <c r="O87" s="65"/>
      <c r="P87" s="117" t="s">
        <v>150</v>
      </c>
      <c r="Q87" s="141">
        <f>Q86*(E113-E114)</f>
        <v>159072.77951993136</v>
      </c>
      <c r="R87" s="58"/>
      <c r="S87" s="117" t="s">
        <v>150</v>
      </c>
      <c r="T87" s="141">
        <f>T86*(H113-H114)</f>
        <v>71151.15593765516</v>
      </c>
      <c r="U87" s="59"/>
      <c r="V87" s="55">
        <f>SUM(V75:V86)</f>
        <v>-225822.36672379979</v>
      </c>
      <c r="W87" s="55">
        <f>SUM(W75:W86)</f>
        <v>5888626</v>
      </c>
      <c r="X87" s="55">
        <f>SUM(X75:X86)</f>
        <v>148741</v>
      </c>
      <c r="Y87" s="55">
        <f>SUM(Y75:Y86)</f>
        <v>5672914</v>
      </c>
      <c r="Z87" s="55">
        <f>SUM(Z75:Z86)</f>
        <v>66971</v>
      </c>
      <c r="AA87" s="55"/>
      <c r="AB87" s="55">
        <f>SUM(AB75:AB86)</f>
        <v>1665.01785698343</v>
      </c>
      <c r="AC87" s="55">
        <f>SUM(AC75:AC86)</f>
        <v>3997.7857762927697</v>
      </c>
      <c r="AF87" s="63"/>
      <c r="AG87" s="63"/>
    </row>
    <row r="88" spans="1:33" x14ac:dyDescent="0.25">
      <c r="A88" s="22"/>
      <c r="B88" s="28" t="s">
        <v>10</v>
      </c>
      <c r="C88" s="69">
        <v>33.72</v>
      </c>
      <c r="D88" s="111">
        <f>+$D$79</f>
        <v>0.69962854520404805</v>
      </c>
      <c r="E88" s="182">
        <f t="shared" si="18"/>
        <v>23.591000000000001</v>
      </c>
      <c r="H88" s="177">
        <f>H79</f>
        <v>1.0424479436469261</v>
      </c>
      <c r="I88" s="177">
        <f>I79</f>
        <v>1.0344323436374043</v>
      </c>
    </row>
    <row r="89" spans="1:33" x14ac:dyDescent="0.25">
      <c r="A89" s="22"/>
      <c r="B89" s="28" t="s">
        <v>11</v>
      </c>
      <c r="C89" s="69">
        <v>34.020000000000003</v>
      </c>
      <c r="D89" s="111">
        <f>+$D$79</f>
        <v>0.69962854520404805</v>
      </c>
      <c r="E89" s="182">
        <f t="shared" si="18"/>
        <v>23.800999999999998</v>
      </c>
      <c r="H89" s="177">
        <f>H79</f>
        <v>1.0424479436469261</v>
      </c>
      <c r="I89" s="177">
        <f>I79</f>
        <v>1.0344323436374043</v>
      </c>
    </row>
    <row r="90" spans="1:33" x14ac:dyDescent="0.25">
      <c r="A90" s="22"/>
      <c r="B90" s="28" t="s">
        <v>12</v>
      </c>
      <c r="C90" s="69">
        <v>38</v>
      </c>
      <c r="D90" s="111">
        <f>+$D$79</f>
        <v>0.69962854520404805</v>
      </c>
      <c r="E90" s="182">
        <f t="shared" si="18"/>
        <v>26.585999999999999</v>
      </c>
      <c r="G90" s="70"/>
      <c r="H90" s="177">
        <f>H79</f>
        <v>1.0424479436469261</v>
      </c>
      <c r="I90" s="177">
        <f>I79</f>
        <v>1.0344323436374043</v>
      </c>
    </row>
    <row r="91" spans="1:33" x14ac:dyDescent="0.25">
      <c r="A91" s="22"/>
      <c r="B91" s="28"/>
      <c r="C91" s="69"/>
      <c r="D91" s="69"/>
      <c r="G91" s="70"/>
      <c r="L91" s="70"/>
      <c r="X91" s="13" t="s">
        <v>210</v>
      </c>
    </row>
    <row r="92" spans="1:33" x14ac:dyDescent="0.25">
      <c r="A92" s="18" t="s">
        <v>33</v>
      </c>
      <c r="B92" s="37" t="s">
        <v>22</v>
      </c>
      <c r="C92" s="26"/>
      <c r="D92" s="26"/>
      <c r="E92" s="26" t="str">
        <f>+E$13</f>
        <v>RT{1}</v>
      </c>
      <c r="F92" s="26" t="str">
        <f>+F$13</f>
        <v>RS{2}</v>
      </c>
      <c r="G92" s="26" t="str">
        <f>+G$13</f>
        <v>GS{3}</v>
      </c>
      <c r="H92" s="26" t="str">
        <f>+H$58</f>
        <v>GST {4}</v>
      </c>
      <c r="I92" s="26" t="str">
        <f>+I$13</f>
        <v>OL/SL</v>
      </c>
      <c r="J92" s="26"/>
      <c r="K92" s="26"/>
      <c r="L92" s="26"/>
      <c r="M92" s="26"/>
      <c r="P92" s="274">
        <v>2017</v>
      </c>
      <c r="Q92" s="13" t="s">
        <v>215</v>
      </c>
      <c r="R92" s="13" t="s">
        <v>216</v>
      </c>
      <c r="S92" s="13" t="s">
        <v>217</v>
      </c>
      <c r="X92" s="13" t="s">
        <v>205</v>
      </c>
      <c r="Y92" s="71" t="s">
        <v>13</v>
      </c>
      <c r="Z92" s="71" t="s">
        <v>13</v>
      </c>
      <c r="AA92" s="71" t="s">
        <v>207</v>
      </c>
    </row>
    <row r="93" spans="1:33" x14ac:dyDescent="0.25">
      <c r="A93" s="22"/>
      <c r="C93" s="71"/>
      <c r="D93" s="71"/>
      <c r="E93" s="71"/>
      <c r="F93" s="71"/>
      <c r="P93" s="13" t="s">
        <v>0</v>
      </c>
      <c r="Q93" s="203">
        <v>1772188760.024086</v>
      </c>
      <c r="R93" s="203">
        <v>1573066065</v>
      </c>
      <c r="S93" s="50">
        <f>SUM(Q93:R93)</f>
        <v>3345254825.024086</v>
      </c>
      <c r="X93" s="133" t="s">
        <v>206</v>
      </c>
      <c r="Y93" s="38" t="s">
        <v>207</v>
      </c>
      <c r="Z93" s="38" t="s">
        <v>208</v>
      </c>
      <c r="AA93" s="38" t="s">
        <v>209</v>
      </c>
    </row>
    <row r="94" spans="1:33" x14ac:dyDescent="0.25">
      <c r="A94" s="22"/>
      <c r="B94" s="28" t="s">
        <v>278</v>
      </c>
      <c r="C94" s="72"/>
      <c r="D94" s="72"/>
      <c r="E94" s="154">
        <v>0.105545</v>
      </c>
      <c r="F94" s="154">
        <v>0.105545</v>
      </c>
      <c r="G94" s="154">
        <v>0.105545</v>
      </c>
      <c r="H94" s="154">
        <v>0.105545</v>
      </c>
      <c r="I94" s="154">
        <v>0.105545</v>
      </c>
      <c r="J94" s="72"/>
      <c r="K94" s="72"/>
      <c r="L94" s="72"/>
      <c r="M94" s="72"/>
      <c r="P94" s="13" t="s">
        <v>253</v>
      </c>
      <c r="Q94" s="203">
        <v>146785480.37865841</v>
      </c>
      <c r="R94" s="203">
        <v>85188389</v>
      </c>
      <c r="S94" s="50">
        <f>SUM(Q94:R94)</f>
        <v>231973869.37865841</v>
      </c>
      <c r="W94" s="13" t="s">
        <v>181</v>
      </c>
      <c r="X94" s="13">
        <v>4</v>
      </c>
      <c r="Y94" s="13">
        <f>X94*365*5/7</f>
        <v>1042.8571428571429</v>
      </c>
      <c r="Z94" s="13">
        <f>365*24</f>
        <v>8760</v>
      </c>
      <c r="AA94" s="13">
        <f>Y94/Z94</f>
        <v>0.11904761904761905</v>
      </c>
    </row>
    <row r="95" spans="1:33" x14ac:dyDescent="0.25">
      <c r="A95" s="22"/>
      <c r="B95" s="13" t="s">
        <v>279</v>
      </c>
      <c r="C95" s="73"/>
      <c r="D95" s="73"/>
      <c r="E95" s="73">
        <f>1/(1-E94)</f>
        <v>1.1179992285805322</v>
      </c>
      <c r="F95" s="73">
        <f>1/(1-F94)</f>
        <v>1.1179992285805322</v>
      </c>
      <c r="G95" s="73">
        <f>1/(1-G94)</f>
        <v>1.1179992285805322</v>
      </c>
      <c r="H95" s="73">
        <f>1/(1-H94)</f>
        <v>1.1179992285805322</v>
      </c>
      <c r="I95" s="73">
        <f>1/(1-I94)</f>
        <v>1.1179992285805322</v>
      </c>
      <c r="J95" s="73"/>
      <c r="K95" s="73"/>
      <c r="L95" s="73"/>
      <c r="M95" s="73"/>
      <c r="P95" s="13" t="s">
        <v>254</v>
      </c>
      <c r="Q95" s="50">
        <f>SUM(Q93:Q94)</f>
        <v>1918974240.4027443</v>
      </c>
      <c r="R95" s="50">
        <f>SUM(R93:R94)</f>
        <v>1658254454</v>
      </c>
      <c r="S95" s="50">
        <f>SUM(S93:S94)</f>
        <v>3577228694.4027443</v>
      </c>
      <c r="T95" s="55">
        <f>SUM(F65:F68)</f>
        <v>3577228</v>
      </c>
      <c r="W95" s="13" t="s">
        <v>204</v>
      </c>
      <c r="X95" s="13">
        <f>(9*18+10*34)/52</f>
        <v>9.6538461538461533</v>
      </c>
      <c r="Y95" s="13">
        <f>X95*365*5/7</f>
        <v>2516.8956043956036</v>
      </c>
      <c r="Z95" s="13">
        <f>365*24</f>
        <v>8760</v>
      </c>
      <c r="AA95" s="13">
        <f>Y95/Z95</f>
        <v>0.28731684981684974</v>
      </c>
    </row>
    <row r="96" spans="1:33" x14ac:dyDescent="0.25">
      <c r="A96" s="22"/>
      <c r="C96" s="73"/>
      <c r="D96" s="73"/>
      <c r="E96" s="73"/>
      <c r="F96" s="73"/>
      <c r="G96" s="73"/>
      <c r="H96" s="73"/>
      <c r="I96" s="73"/>
      <c r="J96" s="73" t="s">
        <v>255</v>
      </c>
      <c r="K96" s="73"/>
      <c r="L96" s="73"/>
      <c r="M96" s="73" t="s">
        <v>255</v>
      </c>
      <c r="Q96" s="50"/>
      <c r="R96" s="50"/>
      <c r="S96" s="50"/>
      <c r="T96" s="55"/>
    </row>
    <row r="97" spans="1:21" x14ac:dyDescent="0.25">
      <c r="A97" s="22"/>
      <c r="B97" s="241" t="s">
        <v>280</v>
      </c>
      <c r="C97" s="246"/>
      <c r="D97" s="246"/>
      <c r="E97" s="250">
        <f>ROUND(1-1/E98,6)</f>
        <v>9.8871000000000001E-2</v>
      </c>
      <c r="F97" s="250">
        <f>ROUND(1-1/F98,6)</f>
        <v>9.8871000000000001E-2</v>
      </c>
      <c r="G97" s="250">
        <f>ROUND(1-1/G98,6)</f>
        <v>9.8871000000000001E-2</v>
      </c>
      <c r="H97" s="250">
        <f>ROUND(1-1/H98,6)</f>
        <v>9.8871000000000001E-2</v>
      </c>
      <c r="I97" s="250">
        <f>ROUND(1-1/I98,6)</f>
        <v>9.8871000000000001E-2</v>
      </c>
      <c r="Q97" s="50"/>
      <c r="R97" s="50"/>
      <c r="S97" s="50"/>
      <c r="T97" s="55"/>
    </row>
    <row r="98" spans="1:21" x14ac:dyDescent="0.25">
      <c r="A98" s="22"/>
      <c r="B98" s="241" t="s">
        <v>281</v>
      </c>
      <c r="C98" s="246"/>
      <c r="D98" s="246"/>
      <c r="E98" s="246">
        <v>1.109719568319151</v>
      </c>
      <c r="F98" s="246">
        <v>1.109719568319151</v>
      </c>
      <c r="G98" s="246">
        <v>1.109719568319151</v>
      </c>
      <c r="H98" s="246">
        <v>1.109719568319151</v>
      </c>
      <c r="I98" s="246">
        <v>1.109719568319151</v>
      </c>
      <c r="M98" s="47"/>
      <c r="N98" s="47"/>
      <c r="O98" s="47"/>
      <c r="P98" s="47"/>
      <c r="Q98" s="158"/>
      <c r="R98" s="158"/>
      <c r="S98" s="158"/>
      <c r="T98" s="53"/>
      <c r="U98" s="47"/>
    </row>
    <row r="99" spans="1:21" x14ac:dyDescent="0.25">
      <c r="A99" s="22"/>
      <c r="C99" s="73"/>
      <c r="D99" s="73"/>
      <c r="E99" s="89"/>
      <c r="F99" s="269"/>
      <c r="G99" s="73"/>
      <c r="H99" s="73"/>
      <c r="I99" s="73"/>
      <c r="J99" s="73"/>
      <c r="K99" s="73"/>
      <c r="L99" s="73"/>
      <c r="M99" s="47"/>
      <c r="N99" s="47"/>
      <c r="O99" s="47"/>
      <c r="P99" s="47"/>
      <c r="Q99" s="158"/>
      <c r="R99" s="158"/>
      <c r="S99" s="158"/>
      <c r="T99" s="53"/>
      <c r="U99" s="47"/>
    </row>
    <row r="100" spans="1:21" x14ac:dyDescent="0.25">
      <c r="A100" s="22"/>
      <c r="C100" s="73"/>
      <c r="D100" s="73"/>
      <c r="E100" s="270"/>
      <c r="F100" s="271"/>
      <c r="G100" s="73"/>
      <c r="H100" s="73"/>
      <c r="I100" s="73"/>
      <c r="J100" s="73"/>
      <c r="K100" s="73"/>
      <c r="L100" s="268"/>
      <c r="M100" s="47"/>
      <c r="N100" s="47"/>
      <c r="O100" s="47"/>
      <c r="P100" s="47"/>
      <c r="Q100" s="47"/>
      <c r="R100" s="47"/>
      <c r="S100" s="47"/>
      <c r="T100" s="458"/>
      <c r="U100" s="47"/>
    </row>
    <row r="101" spans="1:21" x14ac:dyDescent="0.25">
      <c r="A101" s="22"/>
      <c r="B101" s="36" t="s">
        <v>286</v>
      </c>
      <c r="C101" s="73"/>
      <c r="D101" s="73"/>
      <c r="E101" s="73"/>
      <c r="F101" s="73"/>
      <c r="G101" s="73"/>
      <c r="H101" s="73"/>
      <c r="I101" s="73"/>
      <c r="J101" s="269"/>
      <c r="K101" s="269"/>
      <c r="L101" s="255"/>
      <c r="M101" s="47"/>
      <c r="N101" s="47"/>
      <c r="O101" s="47"/>
      <c r="P101" s="47"/>
      <c r="Q101" s="47"/>
      <c r="R101" s="47"/>
      <c r="S101" s="47"/>
      <c r="T101" s="47"/>
      <c r="U101" s="47"/>
    </row>
    <row r="102" spans="1:21" x14ac:dyDescent="0.25">
      <c r="A102" s="22"/>
      <c r="B102" s="13" t="s">
        <v>255</v>
      </c>
      <c r="I102" s="73"/>
      <c r="J102" s="269"/>
      <c r="K102" s="269"/>
      <c r="L102" s="73"/>
      <c r="M102" s="47"/>
      <c r="N102" s="47"/>
      <c r="O102" s="47"/>
      <c r="P102" s="47"/>
      <c r="Q102" s="47"/>
      <c r="R102" s="47"/>
      <c r="S102" s="47"/>
      <c r="T102" s="47"/>
      <c r="U102" s="47"/>
    </row>
    <row r="103" spans="1:21" ht="15.6" x14ac:dyDescent="0.3">
      <c r="A103" s="22"/>
      <c r="B103" s="519" t="str">
        <f>$B$1</f>
        <v xml:space="preserve">Jersey Central Power &amp; Light </v>
      </c>
      <c r="C103" s="519"/>
      <c r="D103" s="519"/>
      <c r="E103" s="519"/>
      <c r="F103" s="519"/>
      <c r="G103" s="519"/>
      <c r="H103" s="519"/>
      <c r="I103" s="519"/>
      <c r="J103" s="519"/>
      <c r="K103" s="519"/>
      <c r="L103" s="519"/>
      <c r="M103" s="47"/>
      <c r="N103" s="47"/>
      <c r="O103" s="47"/>
      <c r="P103" s="47"/>
      <c r="Q103" s="47"/>
      <c r="R103" s="47"/>
      <c r="S103" s="47"/>
      <c r="T103" s="47"/>
      <c r="U103" s="47"/>
    </row>
    <row r="104" spans="1:21" ht="15.6" x14ac:dyDescent="0.3">
      <c r="A104" s="22"/>
      <c r="B104" s="519" t="str">
        <f>$B$2</f>
        <v>Attachment 2</v>
      </c>
      <c r="C104" s="519"/>
      <c r="D104" s="519"/>
      <c r="E104" s="519"/>
      <c r="F104" s="519"/>
      <c r="G104" s="519"/>
      <c r="H104" s="519"/>
      <c r="I104" s="519"/>
      <c r="J104" s="519"/>
      <c r="K104" s="519"/>
      <c r="L104" s="519"/>
      <c r="M104" s="47"/>
      <c r="N104" s="47"/>
      <c r="O104" s="47"/>
      <c r="P104" s="47"/>
      <c r="Q104" s="47"/>
      <c r="R104" s="47"/>
      <c r="S104" s="47"/>
      <c r="T104" s="47"/>
      <c r="U104" s="47"/>
    </row>
    <row r="105" spans="1:21" x14ac:dyDescent="0.25">
      <c r="A105" s="22"/>
      <c r="M105" s="47"/>
      <c r="N105" s="47"/>
      <c r="O105" s="47"/>
      <c r="P105" s="47"/>
      <c r="Q105" s="47"/>
      <c r="R105" s="47"/>
      <c r="S105" s="47"/>
      <c r="T105" s="47"/>
      <c r="U105" s="47"/>
    </row>
    <row r="106" spans="1:21" x14ac:dyDescent="0.25">
      <c r="A106" s="22"/>
      <c r="M106" s="47"/>
      <c r="N106" s="47"/>
      <c r="O106" s="47"/>
      <c r="P106" s="47"/>
      <c r="Q106" s="47"/>
      <c r="R106" s="47"/>
      <c r="S106" s="47"/>
      <c r="T106" s="47"/>
      <c r="U106" s="47"/>
    </row>
    <row r="107" spans="1:21" x14ac:dyDescent="0.25">
      <c r="A107" s="18" t="s">
        <v>34</v>
      </c>
      <c r="B107" s="16" t="s">
        <v>51</v>
      </c>
      <c r="M107" s="47"/>
      <c r="N107" s="47"/>
      <c r="O107" s="47"/>
      <c r="P107" s="47"/>
      <c r="Q107" s="47"/>
      <c r="R107" s="47"/>
      <c r="S107" s="47"/>
      <c r="T107" s="47"/>
      <c r="U107" s="47"/>
    </row>
    <row r="108" spans="1:21" x14ac:dyDescent="0.25">
      <c r="A108" s="22"/>
      <c r="B108" s="17" t="s">
        <v>171</v>
      </c>
      <c r="M108" s="47"/>
      <c r="N108" s="47"/>
      <c r="O108" s="47"/>
      <c r="P108" s="47"/>
      <c r="Q108" s="47"/>
      <c r="R108" s="47"/>
      <c r="S108" s="477"/>
      <c r="T108" s="47"/>
      <c r="U108" s="47"/>
    </row>
    <row r="109" spans="1:21" x14ac:dyDescent="0.25">
      <c r="A109" s="22"/>
      <c r="B109" s="17" t="s">
        <v>21</v>
      </c>
      <c r="M109" s="47"/>
      <c r="N109" s="47"/>
      <c r="O109" s="47"/>
      <c r="P109" s="47"/>
      <c r="Q109" s="47"/>
      <c r="R109" s="47"/>
      <c r="S109" s="467"/>
      <c r="T109" s="47"/>
      <c r="U109" s="47"/>
    </row>
    <row r="110" spans="1:21" x14ac:dyDescent="0.25">
      <c r="A110" s="22"/>
      <c r="B110" s="16"/>
      <c r="C110" s="26"/>
      <c r="D110" s="26"/>
      <c r="E110" s="26" t="str">
        <f>+E$13</f>
        <v>RT{1}</v>
      </c>
      <c r="F110" s="26" t="str">
        <f>+F$13</f>
        <v>RS{2}</v>
      </c>
      <c r="G110" s="26" t="str">
        <f>+G$13</f>
        <v>GS{3}</v>
      </c>
      <c r="H110" s="26" t="str">
        <f>+H$58</f>
        <v>GST {4}</v>
      </c>
      <c r="I110" s="26" t="str">
        <f>+I$13</f>
        <v>OL/SL</v>
      </c>
      <c r="J110" s="26"/>
      <c r="K110" s="26"/>
      <c r="L110" s="26"/>
      <c r="M110" s="44"/>
      <c r="N110" s="478"/>
      <c r="O110" s="47"/>
      <c r="P110" s="131"/>
      <c r="Q110" s="47"/>
      <c r="R110" s="47"/>
      <c r="S110" s="47"/>
      <c r="T110" s="47"/>
      <c r="U110" s="47"/>
    </row>
    <row r="111" spans="1:21" x14ac:dyDescent="0.25">
      <c r="A111" s="22"/>
      <c r="M111" s="47"/>
      <c r="N111" s="47"/>
      <c r="O111" s="47"/>
      <c r="P111" s="47"/>
      <c r="Q111" s="47"/>
      <c r="R111" s="114"/>
      <c r="S111" s="479"/>
      <c r="T111" s="47"/>
      <c r="U111" s="47"/>
    </row>
    <row r="112" spans="1:21" x14ac:dyDescent="0.25">
      <c r="A112" s="22"/>
      <c r="B112" s="28" t="s">
        <v>17</v>
      </c>
      <c r="C112" s="74"/>
      <c r="D112" s="74"/>
      <c r="E112" s="75">
        <f>(SUMPRODUCT(E20:E23,E65:E68,$C84:$C87,$H84:$H87)*E95+SUMPRODUCT(Q20:Q23,E65:E68,$E84:$E87,$I84:$I87)*E95)/SUM(E65:E68)</f>
        <v>34.6587164303074</v>
      </c>
      <c r="F112" s="75">
        <f>(SUMPRODUCT(F20:F23,F65:F68,$C84:$C87,$H84:$H87)*F95+SUMPRODUCT(R20:R23,F65:F68,$E84:$E87,$I84:$I87)*F95)/SUM(F65:F68)</f>
        <v>34.769003939783623</v>
      </c>
      <c r="G112" s="75">
        <f>(SUMPRODUCT(G20:G23,G65:G68,$C84:$C87,$H84:$H87)*G95+SUMPRODUCT(S20:S23,G65:G68,$E84:$E87,$I84:$I87)*G95)/SUM(G65:G68)</f>
        <v>35.820987505641732</v>
      </c>
      <c r="H112" s="75">
        <f>(SUMPRODUCT(H20:H23,H65:H68,$C84:$C87,$H84:$H87)*H95+SUMPRODUCT(T20:T23,H65:H68,$E84:$E87,$I84:$I87)*H95)/SUM(H65:H68)</f>
        <v>36.217404844334837</v>
      </c>
      <c r="I112" s="75">
        <f>(SUMPRODUCT(I20:I23,I65:I68,$C84:$C87,$H84:$H87)*I95+SUMPRODUCT(U20:U23,I65:I68,$E84:$E87,$I84:$I87)*I95)/SUM(I65:I68)</f>
        <v>29.858030339182328</v>
      </c>
      <c r="J112" s="76"/>
      <c r="K112" s="76"/>
      <c r="L112" s="74"/>
      <c r="M112" s="480"/>
      <c r="N112" s="47"/>
      <c r="O112" s="47"/>
      <c r="P112" s="47"/>
      <c r="Q112" s="47"/>
      <c r="R112" s="47"/>
      <c r="S112" s="47"/>
      <c r="T112" s="47"/>
      <c r="U112" s="47"/>
    </row>
    <row r="113" spans="1:21" x14ac:dyDescent="0.25">
      <c r="A113" s="22"/>
      <c r="B113" s="77" t="s">
        <v>41</v>
      </c>
      <c r="C113" s="74"/>
      <c r="D113" s="74"/>
      <c r="E113" s="75">
        <f>(SUMPRODUCT(E20:E23,E65:E68,$C84:$C87,$H84:$H87)*E95)/SUMPRODUCT(E20:E23,E65:E68)</f>
        <v>42.976472399309543</v>
      </c>
      <c r="F113" s="75">
        <f>(SUMPRODUCT(F20:F23,F65:F68,$C84:$C87,$H84:$H87)*F95)/SUMPRODUCT(F20:F23,F65:F68)</f>
        <v>43.035197283447317</v>
      </c>
      <c r="G113" s="75">
        <f>(SUMPRODUCT(G20:G23,G65:G68,$C84:$C87,$H84:$H87)*G95)/SUMPRODUCT(G20:G23,G65:G68)</f>
        <v>42.766641670041601</v>
      </c>
      <c r="H113" s="75">
        <f>(SUMPRODUCT(H20:H23,H65:H68,$C84:$C87,$H84:$H87)*H95)/SUMPRODUCT(H20:H23,H65:H68)</f>
        <v>43.348888717359301</v>
      </c>
      <c r="I113" s="75">
        <f>(SUMPRODUCT(I20:I23,I65:I68,$C84:$C87,$H84:$H87)*I95)/SUMPRODUCT(I20:I23,I65:I68)</f>
        <v>42.494710284213248</v>
      </c>
      <c r="J113" s="76"/>
      <c r="K113" s="76"/>
      <c r="L113" s="74"/>
      <c r="M113" s="480"/>
      <c r="N113" s="47"/>
      <c r="O113" s="47"/>
      <c r="P113" s="47"/>
      <c r="Q113" s="47"/>
      <c r="R113" s="47"/>
      <c r="S113" s="484"/>
      <c r="T113" s="47"/>
      <c r="U113" s="47"/>
    </row>
    <row r="114" spans="1:21" x14ac:dyDescent="0.25">
      <c r="A114" s="22"/>
      <c r="B114" s="77" t="s">
        <v>42</v>
      </c>
      <c r="C114" s="74"/>
      <c r="D114" s="74"/>
      <c r="E114" s="75">
        <f>(SUMPRODUCT(Q20:Q23,E65:E68,$E84:$E87,$I84:$I87)*E95)/SUMPRODUCT(Q20:Q23,E65:E68)</f>
        <v>25.877398393609841</v>
      </c>
      <c r="F114" s="75">
        <f>(SUMPRODUCT(R20:R23,F65:F68,$E84:$E87,$I84:$I87)*F95)/SUMPRODUCT(R20:R23,F65:F68)</f>
        <v>25.947775196424995</v>
      </c>
      <c r="G114" s="75">
        <f>(SUMPRODUCT(S20:S23,G65:G68,$E84:$E87,$I84:$I87)*G95)/SUMPRODUCT(S20:S23,G65:G68)</f>
        <v>25.85848918506375</v>
      </c>
      <c r="H114" s="75">
        <f>(SUMPRODUCT(T20:T23,H65:H68,$E84:$E87,$I84:$I87)*H95)/SUMPRODUCT(T20:T23,H65:H68)</f>
        <v>26.192128794268775</v>
      </c>
      <c r="I114" s="75">
        <f>(SUMPRODUCT(U20:U23,I65:I68,$E84:$E87,$I84:$I87)*I95)/SUMPRODUCT(U20:U23,I65:I68)</f>
        <v>25.810610029203605</v>
      </c>
      <c r="J114" s="76"/>
      <c r="K114" s="76"/>
      <c r="L114" s="74"/>
      <c r="M114" s="44"/>
      <c r="N114" s="478"/>
      <c r="O114" s="47"/>
      <c r="P114" s="131"/>
      <c r="Q114" s="47"/>
      <c r="R114" s="47"/>
      <c r="S114" s="47"/>
      <c r="T114" s="47"/>
      <c r="U114" s="47"/>
    </row>
    <row r="115" spans="1:21" x14ac:dyDescent="0.25">
      <c r="A115" s="22"/>
      <c r="C115" s="142"/>
      <c r="D115" s="142"/>
      <c r="E115" s="143"/>
      <c r="F115" s="143"/>
      <c r="G115" s="143"/>
      <c r="H115" s="143"/>
      <c r="I115" s="143"/>
      <c r="J115" s="76"/>
      <c r="K115" s="76"/>
      <c r="L115" s="142"/>
      <c r="M115" s="47"/>
      <c r="N115" s="47"/>
      <c r="O115" s="47"/>
      <c r="P115" s="47"/>
      <c r="Q115" s="47"/>
      <c r="R115" s="114"/>
      <c r="S115" s="479"/>
      <c r="T115" s="47"/>
      <c r="U115" s="47"/>
    </row>
    <row r="116" spans="1:21" x14ac:dyDescent="0.25">
      <c r="A116" s="22"/>
      <c r="B116" s="28" t="s">
        <v>18</v>
      </c>
      <c r="C116" s="74"/>
      <c r="D116" s="74"/>
      <c r="E116" s="75">
        <f>(SUMPRODUCT(E15:E19,E60:E64,$C79:$C83,$H79:$H83)*E95+SUMPRODUCT(Q15:Q19,E60:E64,$E79:$E83,$I79:$I83)*E95+SUMPRODUCT(E24:E26,E69:E71,$C88:$C90,$H88:$H90)*E95+SUMPRODUCT(Q24:Q26,E69:E71,$E88:$E90,$I88:$I90)*E95)/SUM(E60:E64,E69:E71)</f>
        <v>40.303214626752521</v>
      </c>
      <c r="F116" s="75">
        <f>(SUMPRODUCT(F15:F19,F60:F64,$C79:$C83,$H79:$H83)*F95+SUMPRODUCT(R15:R19,F60:F64,$E79:$E83,$I79:$I83)*F95+SUMPRODUCT(F24:F26,F69:F71,$C88:$C90,$H88:$H90)*F95+SUMPRODUCT(R24:R26,F69:F71,$E88:$E90,$I88:$I90)*F95)/SUM(F60:F64,F69:F71)</f>
        <v>39.905901356994278</v>
      </c>
      <c r="G116" s="75">
        <f>(SUMPRODUCT(G15:G19,G60:G64,$C79:$C83,$H79:$H83)*G95+SUMPRODUCT(S15:S19,G60:G64,$E79:$E83,$I79:$I83)*G95+SUMPRODUCT(G24:G26,G69:G71,$C88:$C90,$H88:$H90)*G95+SUMPRODUCT(S24:S26,G69:G71,$E88:$E90,$I88:$I90)*G95)/SUM(G60:G64,G69:G71)</f>
        <v>40.632036432870869</v>
      </c>
      <c r="H116" s="75">
        <f>(SUMPRODUCT(H15:H19,H60:H64,$C79:$C83,$H79:$H83)*H95+SUMPRODUCT(T15:T19,H60:H64,$E79:$E83,$I79:$I83)*H95+SUMPRODUCT(H24:H26,H69:H71,$C88:$C90,$H88:$H90)*H95+SUMPRODUCT(T24:T26,H69:H71,$E88:$E90,$I88:$I90)*H95)/SUM(H60:H64,H69:H71)</f>
        <v>40.857470709546789</v>
      </c>
      <c r="I116" s="75">
        <f>(SUMPRODUCT(I15:I19,I60:I64,$C79:$C83,$H79:$H83)*I95+SUMPRODUCT(U15:U19,I60:I64,$E79:$E83,$I79:$I83)*I95+SUMPRODUCT(I24:I26,I69:I71,$C88:$C90,$H88:$H90)*I95+SUMPRODUCT(U24:U26,I69:I71,$E88:$E90,$I88:$I90)*I95)/SUM(I60:I64,I69:I71)</f>
        <v>36.222209982253872</v>
      </c>
      <c r="J116" s="76"/>
      <c r="K116" s="76"/>
      <c r="L116" s="74"/>
      <c r="M116" s="481"/>
      <c r="N116" s="47"/>
      <c r="O116" s="47"/>
      <c r="P116" s="47"/>
      <c r="Q116" s="47"/>
      <c r="R116" s="47"/>
      <c r="S116" s="47"/>
      <c r="T116" s="47"/>
      <c r="U116" s="47"/>
    </row>
    <row r="117" spans="1:21" x14ac:dyDescent="0.25">
      <c r="A117" s="22"/>
      <c r="B117" s="77" t="s">
        <v>41</v>
      </c>
      <c r="C117" s="74"/>
      <c r="D117" s="74"/>
      <c r="E117" s="75">
        <f>(SUMPRODUCT(E15:E19,E60:E64,$C79:$C83,$H79:$H83)*E95+SUMPRODUCT(E24:E26,E69:E71,$C88:$C90,$H88:$H90)*E95)/(SUMPRODUCT(E15:E19,E60:E64)+SUMPRODUCT(E24:E26,E69:E71))</f>
        <v>47.857528977831684</v>
      </c>
      <c r="F117" s="75">
        <f>(SUMPRODUCT(F15:F19,F60:F64,$C79:$C83,$H79:$H83)*F95+SUMPRODUCT(F24:F26,F69:F71,$C88:$C90,$H88:$H90)*F95)/(SUMPRODUCT(F15:F19,F60:F64)+SUMPRODUCT(F24:F26,F69:F71))</f>
        <v>47.06754473536926</v>
      </c>
      <c r="G117" s="75">
        <f>(SUMPRODUCT(G15:G19,G60:G64,$C79:$C83,$H79:$H83)*G95+SUMPRODUCT(G24:G26,G69:G71,$C88:$C90,$H88:$H90)*G95)/(SUMPRODUCT(G15:G19,G60:G64)+SUMPRODUCT(G24:G26,G69:G71))</f>
        <v>46.433707552782245</v>
      </c>
      <c r="H117" s="75">
        <f>(SUMPRODUCT(H15:H19,H60:H64,$C79:$C83,$H79:$H83)*H95+SUMPRODUCT(H24:H26,H69:H71,$C88:$C90,$H88:$H90)*H95)/(SUMPRODUCT(H15:H19,H60:H64)+SUMPRODUCT(H24:H26,H69:H71))</f>
        <v>47.029472224285712</v>
      </c>
      <c r="I117" s="75">
        <f>(SUMPRODUCT(I15:I19,I60:I64,$C79:$C83,$H79:$H83)*I95+SUMPRODUCT(I24:I26,I69:I71,$C88:$C90,$H88:$H90)*I95)/(SUMPRODUCT(I15:I19,I60:I64)+SUMPRODUCT(I24:I26,I69:I71))</f>
        <v>46.540525426170703</v>
      </c>
      <c r="J117" s="76"/>
      <c r="K117" s="76"/>
      <c r="L117" s="74"/>
      <c r="M117" s="480"/>
      <c r="N117" s="47"/>
      <c r="O117" s="47"/>
      <c r="P117" s="47"/>
      <c r="Q117" s="47"/>
      <c r="R117" s="47"/>
      <c r="S117" s="484"/>
      <c r="T117" s="47"/>
      <c r="U117" s="47"/>
    </row>
    <row r="118" spans="1:21" x14ac:dyDescent="0.25">
      <c r="A118" s="22"/>
      <c r="B118" s="77" t="s">
        <v>42</v>
      </c>
      <c r="C118" s="74"/>
      <c r="D118" s="74"/>
      <c r="E118" s="75">
        <f>(SUMPRODUCT(Q15:Q19,E60:E64,$E79:$E83,$I79:$I83)*E95+SUMPRODUCT(Q24:Q26,E69:E71,$E88:$E90,$I88:$I90)*E95)/(SUMPRODUCT(Q15:Q19,E60:E64)+SUMPRODUCT(Q24:Q26,E69:E71))</f>
        <v>33.206395259242441</v>
      </c>
      <c r="F118" s="75">
        <f>(SUMPRODUCT(R15:R19,F60:F64,$E79:$E83,$I79:$I83)*F95+SUMPRODUCT(R24:R26,F69:F71,$E88:$E90,$I88:$I90)*F95)/(SUMPRODUCT(R15:R19,F60:F64)+SUMPRODUCT(R24:R26,F69:F71))</f>
        <v>32.572566958095948</v>
      </c>
      <c r="G118" s="75">
        <f>(SUMPRODUCT(S15:S19,G60:G64,$E79:$E83,$I79:$I83)*G95+SUMPRODUCT(S24:S26,G69:G71,$E88:$E90,$I88:$I90)*G95)/(SUMPRODUCT(S15:S19,G60:G64)+SUMPRODUCT(S24:S26,G69:G71))</f>
        <v>32.419219864087154</v>
      </c>
      <c r="H118" s="75">
        <f>(SUMPRODUCT(T15:T19,H60:H64,$E79:$E83,$I79:$I83)*H95+SUMPRODUCT(T24:T26,H69:H71,$E88:$E90,$I88:$I90)*H95)/(SUMPRODUCT(T15:T19,H60:H64)+SUMPRODUCT(T24:T26,H69:H71))</f>
        <v>32.884072488228668</v>
      </c>
      <c r="I118" s="75">
        <f>(SUMPRODUCT(U15:U19,I60:I64,$E79:$E83,$I79:$I83)*I95+SUMPRODUCT(U24:U26,I69:I71,$E88:$E90,$I88:$I90)*I95)/(SUMPRODUCT(U15:U19,I60:I64)+SUMPRODUCT(U24:U26,I69:I71))</f>
        <v>31.790788034997842</v>
      </c>
      <c r="J118" s="76"/>
      <c r="K118" s="76"/>
      <c r="L118" s="74"/>
      <c r="M118" s="44"/>
      <c r="N118" s="478"/>
      <c r="O118" s="47"/>
      <c r="P118" s="131"/>
      <c r="Q118" s="47"/>
      <c r="R118" s="47"/>
      <c r="S118" s="47"/>
      <c r="T118" s="47"/>
      <c r="U118" s="47"/>
    </row>
    <row r="119" spans="1:21" x14ac:dyDescent="0.25">
      <c r="A119" s="22"/>
      <c r="C119" s="142"/>
      <c r="D119" s="142"/>
      <c r="E119" s="143"/>
      <c r="F119" s="143"/>
      <c r="G119" s="143"/>
      <c r="H119" s="143"/>
      <c r="I119" s="143"/>
      <c r="J119" s="76"/>
      <c r="K119" s="76"/>
      <c r="L119" s="142"/>
      <c r="M119" s="47"/>
      <c r="N119" s="47"/>
      <c r="O119" s="47"/>
      <c r="P119" s="47"/>
      <c r="Q119" s="47"/>
      <c r="R119" s="114"/>
      <c r="S119" s="479"/>
      <c r="T119" s="47"/>
      <c r="U119" s="47"/>
    </row>
    <row r="120" spans="1:21" x14ac:dyDescent="0.25">
      <c r="A120" s="22"/>
      <c r="B120" s="13" t="s">
        <v>16</v>
      </c>
      <c r="C120" s="74"/>
      <c r="D120" s="78"/>
      <c r="E120" s="79">
        <f>(E112*SUM(E65:E68)+E116*SUM(E60:E64,E69:E71))/E72</f>
        <v>38.475444538616692</v>
      </c>
      <c r="F120" s="79">
        <f>(F112*SUM(F65:F68)+F116*SUM(F60:F64,F69:F71))/F72</f>
        <v>37.769013965559267</v>
      </c>
      <c r="G120" s="79">
        <f>(G112*SUM(G65:G68)+G116*SUM(G60:G64,G69:G71))/G72</f>
        <v>38.874854299161662</v>
      </c>
      <c r="H120" s="79">
        <f>(H112*SUM(H65:H68)+H116*SUM(H60:H64,H69:H71))/H72</f>
        <v>39.377896781454879</v>
      </c>
      <c r="I120" s="79">
        <f>(I112*SUM(I65:I68)+I116*SUM(I60:I64,I69:I71))/I72</f>
        <v>34.102004713943288</v>
      </c>
      <c r="J120" s="76"/>
      <c r="K120" s="76"/>
      <c r="L120" s="78"/>
      <c r="M120" s="480"/>
      <c r="N120" s="47"/>
      <c r="O120" s="47"/>
      <c r="P120" s="47"/>
      <c r="Q120" s="47"/>
      <c r="R120" s="47"/>
      <c r="S120" s="47"/>
      <c r="T120" s="47"/>
      <c r="U120" s="47"/>
    </row>
    <row r="121" spans="1:21" x14ac:dyDescent="0.25">
      <c r="A121" s="22"/>
      <c r="C121" s="74"/>
      <c r="D121" s="78"/>
      <c r="E121" s="78"/>
      <c r="F121" s="78"/>
      <c r="G121" s="78"/>
      <c r="H121" s="78"/>
      <c r="I121" s="78"/>
      <c r="J121" s="78"/>
      <c r="K121" s="78"/>
      <c r="L121" s="78"/>
      <c r="M121" s="480"/>
      <c r="N121" s="47"/>
      <c r="O121" s="47"/>
      <c r="P121" s="47"/>
      <c r="Q121" s="47"/>
      <c r="R121" s="47"/>
      <c r="S121" s="484"/>
      <c r="T121" s="47"/>
      <c r="U121" s="47"/>
    </row>
    <row r="122" spans="1:21" x14ac:dyDescent="0.25">
      <c r="A122" s="22"/>
      <c r="B122" s="13" t="s">
        <v>44</v>
      </c>
      <c r="C122" s="80">
        <f>SUMPRODUCT(C120:I120,C72:I72)/SUM(C72:I72)</f>
        <v>38.202794922578953</v>
      </c>
      <c r="D122" s="78"/>
      <c r="E122" s="78"/>
      <c r="F122" s="78"/>
      <c r="G122" s="78"/>
      <c r="H122" s="78"/>
      <c r="I122" s="78"/>
      <c r="J122" s="78"/>
      <c r="K122" s="78"/>
      <c r="L122" s="78"/>
      <c r="M122" s="44"/>
      <c r="N122" s="478"/>
      <c r="O122" s="47"/>
      <c r="P122" s="131"/>
      <c r="Q122" s="47"/>
      <c r="R122" s="47"/>
      <c r="S122" s="47"/>
      <c r="T122" s="47"/>
      <c r="U122" s="47"/>
    </row>
    <row r="123" spans="1:21" x14ac:dyDescent="0.25">
      <c r="A123" s="22"/>
      <c r="C123" s="74"/>
      <c r="D123" s="78"/>
      <c r="E123" s="78"/>
      <c r="F123" s="78"/>
      <c r="G123" s="78"/>
      <c r="H123" s="78"/>
      <c r="I123" s="78"/>
      <c r="J123" s="78"/>
      <c r="K123" s="78"/>
      <c r="L123" s="78"/>
      <c r="M123" s="47"/>
      <c r="N123" s="47"/>
      <c r="O123" s="47"/>
      <c r="P123" s="47"/>
      <c r="Q123" s="47"/>
      <c r="R123" s="114"/>
      <c r="S123" s="479"/>
      <c r="T123" s="47"/>
      <c r="U123" s="47"/>
    </row>
    <row r="124" spans="1:21" x14ac:dyDescent="0.25">
      <c r="A124" s="22"/>
      <c r="C124" s="78"/>
      <c r="D124" s="78"/>
      <c r="E124" s="78"/>
      <c r="F124" s="78"/>
      <c r="G124" s="78"/>
      <c r="H124" s="78"/>
      <c r="I124" s="78"/>
      <c r="J124" s="78"/>
      <c r="K124" s="78"/>
      <c r="L124" s="78"/>
      <c r="M124" s="480"/>
      <c r="N124" s="47"/>
      <c r="O124" s="47"/>
      <c r="P124" s="47"/>
      <c r="Q124" s="47"/>
      <c r="R124" s="47"/>
      <c r="S124" s="47"/>
      <c r="T124" s="47"/>
      <c r="U124" s="47"/>
    </row>
    <row r="125" spans="1:21" x14ac:dyDescent="0.25">
      <c r="A125" s="18" t="s">
        <v>35</v>
      </c>
      <c r="B125" s="16" t="s">
        <v>49</v>
      </c>
      <c r="C125" s="78"/>
      <c r="D125" s="78"/>
      <c r="E125" s="78"/>
      <c r="F125" s="78"/>
      <c r="G125" s="78"/>
      <c r="H125" s="78"/>
      <c r="I125" s="78"/>
      <c r="J125" s="78"/>
      <c r="K125" s="78"/>
      <c r="L125" s="78"/>
      <c r="M125" s="480"/>
      <c r="N125" s="47"/>
      <c r="O125" s="47"/>
      <c r="P125" s="47"/>
      <c r="Q125" s="47"/>
      <c r="R125" s="47"/>
      <c r="S125" s="484"/>
      <c r="T125" s="47"/>
      <c r="U125" s="47"/>
    </row>
    <row r="126" spans="1:21" x14ac:dyDescent="0.25">
      <c r="A126" s="22"/>
      <c r="B126" s="17" t="s">
        <v>172</v>
      </c>
      <c r="C126" s="78"/>
      <c r="D126" s="78"/>
      <c r="E126" s="78"/>
      <c r="F126" s="78"/>
      <c r="G126" s="78"/>
      <c r="H126" s="78"/>
      <c r="I126" s="78"/>
      <c r="J126" s="78"/>
      <c r="K126" s="78"/>
      <c r="L126" s="78"/>
      <c r="M126" s="44"/>
      <c r="N126" s="478"/>
      <c r="O126" s="47"/>
      <c r="P126" s="131"/>
      <c r="Q126" s="47"/>
      <c r="R126" s="47"/>
      <c r="S126" s="47"/>
      <c r="T126" s="47"/>
      <c r="U126" s="47"/>
    </row>
    <row r="127" spans="1:21" x14ac:dyDescent="0.25">
      <c r="A127" s="22"/>
      <c r="B127" s="17" t="s">
        <v>43</v>
      </c>
      <c r="C127" s="78"/>
      <c r="D127" s="78"/>
      <c r="E127" s="78"/>
      <c r="F127" s="78"/>
      <c r="G127" s="78"/>
      <c r="H127" s="78"/>
      <c r="I127" s="78"/>
      <c r="J127" s="78"/>
      <c r="K127" s="78"/>
      <c r="L127" s="78"/>
      <c r="M127" s="47"/>
      <c r="N127" s="47"/>
      <c r="O127" s="47"/>
      <c r="P127" s="47"/>
      <c r="Q127" s="47"/>
      <c r="R127" s="114"/>
      <c r="S127" s="479"/>
      <c r="T127" s="47"/>
      <c r="U127" s="47"/>
    </row>
    <row r="128" spans="1:21" x14ac:dyDescent="0.25">
      <c r="A128" s="22"/>
      <c r="B128" s="16"/>
      <c r="C128" s="26"/>
      <c r="D128" s="26"/>
      <c r="E128" s="26" t="str">
        <f>+E$13</f>
        <v>RT{1}</v>
      </c>
      <c r="F128" s="26" t="str">
        <f>+F$13</f>
        <v>RS{2}</v>
      </c>
      <c r="G128" s="26" t="str">
        <f>+G$13</f>
        <v>GS{3}</v>
      </c>
      <c r="H128" s="26" t="str">
        <f>+H$58</f>
        <v>GST {4}</v>
      </c>
      <c r="I128" s="26" t="str">
        <f>+I$13</f>
        <v>OL/SL</v>
      </c>
      <c r="J128" s="26" t="s">
        <v>13</v>
      </c>
      <c r="K128" s="26"/>
      <c r="L128" s="26"/>
      <c r="M128" s="44"/>
      <c r="N128" s="47"/>
      <c r="O128" s="47"/>
      <c r="P128" s="47"/>
      <c r="Q128" s="47"/>
      <c r="R128" s="47"/>
      <c r="S128" s="47"/>
      <c r="T128" s="47"/>
      <c r="U128" s="47"/>
    </row>
    <row r="129" spans="1:21" x14ac:dyDescent="0.25">
      <c r="A129" s="22"/>
      <c r="C129" s="81"/>
      <c r="M129" s="480"/>
      <c r="N129" s="47"/>
      <c r="O129" s="47"/>
      <c r="P129" s="47"/>
      <c r="Q129" s="47"/>
      <c r="R129" s="47"/>
      <c r="S129" s="484"/>
      <c r="T129" s="47"/>
      <c r="U129" s="47"/>
    </row>
    <row r="130" spans="1:21" x14ac:dyDescent="0.25">
      <c r="A130" s="22"/>
      <c r="B130" s="28" t="s">
        <v>17</v>
      </c>
      <c r="C130" s="76"/>
      <c r="D130" s="76"/>
      <c r="E130" s="76">
        <f>SUM(E65:E68)*E112/1000</f>
        <v>2732.9784253954599</v>
      </c>
      <c r="F130" s="76">
        <f>SUM(F65:F68)*F112/1000</f>
        <v>124376.6544255043</v>
      </c>
      <c r="G130" s="76">
        <f>SUM(G65:G68)*G112/1000</f>
        <v>77943.961343151022</v>
      </c>
      <c r="H130" s="76">
        <f>SUM(H65:H68)*H112/1000</f>
        <v>1264.7117771641726</v>
      </c>
      <c r="I130" s="76">
        <f>SUM(I65:I68)*I112/1000</f>
        <v>1136.8445051643671</v>
      </c>
      <c r="J130" s="76">
        <f>SUM(E130:I130)</f>
        <v>207455.15047637929</v>
      </c>
      <c r="K130" s="76"/>
      <c r="L130" s="76"/>
      <c r="M130" s="44"/>
      <c r="N130" s="478"/>
      <c r="O130" s="47"/>
      <c r="P130" s="131"/>
      <c r="Q130" s="47"/>
      <c r="R130" s="47"/>
      <c r="S130" s="47"/>
      <c r="T130" s="47"/>
      <c r="U130" s="47"/>
    </row>
    <row r="131" spans="1:21" x14ac:dyDescent="0.25">
      <c r="A131" s="22"/>
      <c r="B131" s="77" t="s">
        <v>41</v>
      </c>
      <c r="C131" s="76"/>
      <c r="D131" s="76"/>
      <c r="E131" s="76">
        <f>SUMPRODUCT(E65:E68,E20:E23)*E113/1000</f>
        <v>1740.3700777010458</v>
      </c>
      <c r="F131" s="76">
        <f>SUMPRODUCT(F65:F68,F20:F23)*F113/1000</f>
        <v>79473.612822827956</v>
      </c>
      <c r="G131" s="76">
        <f>SUMPRODUCT(G65:G68,G20:G23)*G113/1000</f>
        <v>54830.495817590076</v>
      </c>
      <c r="H131" s="76">
        <f>SUMPRODUCT(H65:H68,H20:H23)*H113/1000</f>
        <v>884.53142999550494</v>
      </c>
      <c r="I131" s="76">
        <f>SUMPRODUCT(I65:I68,I20:I23)*I113/1000</f>
        <v>392.50961564088396</v>
      </c>
      <c r="J131" s="76">
        <f>SUM(E131:I131)</f>
        <v>137321.51976375547</v>
      </c>
      <c r="K131" s="76"/>
      <c r="L131" s="76"/>
      <c r="M131" s="47"/>
      <c r="N131" s="47"/>
      <c r="O131" s="47"/>
      <c r="P131" s="47"/>
      <c r="Q131" s="47"/>
      <c r="R131" s="114"/>
      <c r="S131" s="479"/>
      <c r="T131" s="47"/>
      <c r="U131" s="47"/>
    </row>
    <row r="132" spans="1:21" x14ac:dyDescent="0.25">
      <c r="A132" s="22"/>
      <c r="B132" s="77" t="s">
        <v>42</v>
      </c>
      <c r="C132" s="76"/>
      <c r="D132" s="76"/>
      <c r="E132" s="76">
        <f>SUMPRODUCT(E65:E68,Q20:Q23)*E114/1000</f>
        <v>992.60834769441385</v>
      </c>
      <c r="F132" s="76">
        <f>SUMPRODUCT(F65:F68,R20:R23)*F114/1000</f>
        <v>44903.041602676341</v>
      </c>
      <c r="G132" s="76">
        <f>SUMPRODUCT(G65:G68,S20:S23)*G114/1000</f>
        <v>23113.465525560943</v>
      </c>
      <c r="H132" s="76">
        <f>SUMPRODUCT(H65:H68,T20:T23)*H114/1000</f>
        <v>380.18034716866765</v>
      </c>
      <c r="I132" s="76">
        <f>SUMPRODUCT(I65:I68,U20:U23)*I114/1000</f>
        <v>744.33488952348307</v>
      </c>
      <c r="J132" s="76">
        <f>SUM(E132:I132)</f>
        <v>70133.630712623853</v>
      </c>
      <c r="K132" s="76"/>
      <c r="L132" s="76"/>
      <c r="M132" s="482"/>
      <c r="N132" s="47"/>
      <c r="O132" s="47"/>
      <c r="P132" s="47"/>
      <c r="Q132" s="47"/>
      <c r="R132" s="47"/>
      <c r="S132" s="47"/>
      <c r="T132" s="47"/>
      <c r="U132" s="47"/>
    </row>
    <row r="133" spans="1:21" x14ac:dyDescent="0.25">
      <c r="A133" s="22"/>
      <c r="C133" s="82"/>
      <c r="D133" s="82"/>
      <c r="E133" s="82"/>
      <c r="F133" s="82"/>
      <c r="G133" s="82"/>
      <c r="H133" s="82"/>
      <c r="I133" s="82"/>
      <c r="J133" s="76"/>
      <c r="K133" s="76"/>
      <c r="L133" s="82"/>
      <c r="M133" s="483"/>
      <c r="N133" s="47"/>
      <c r="O133" s="47"/>
      <c r="P133" s="47"/>
      <c r="Q133" s="47"/>
      <c r="R133" s="47"/>
      <c r="S133" s="484"/>
      <c r="T133" s="47"/>
      <c r="U133" s="47"/>
    </row>
    <row r="134" spans="1:21" x14ac:dyDescent="0.25">
      <c r="A134" s="22"/>
      <c r="B134" s="28" t="s">
        <v>18</v>
      </c>
      <c r="C134" s="82"/>
      <c r="D134" s="82"/>
      <c r="E134" s="82">
        <f>SUM(E60:E64,E69:E71)*E116/1000</f>
        <v>6636.4079268703235</v>
      </c>
      <c r="F134" s="82">
        <f>SUM(F60:F64,F69:F71)*F116/1000</f>
        <v>200412.50466429762</v>
      </c>
      <c r="G134" s="82">
        <f>SUM(G60:G64,G69:G71)*G116/1000</f>
        <v>153655.04351138242</v>
      </c>
      <c r="H134" s="82">
        <f>SUM(H60:H64,H69:H71)*H116/1000</f>
        <v>3047.6404551665141</v>
      </c>
      <c r="I134" s="82">
        <f>SUM(I60:I64,I69:I71)*I116/1000</f>
        <v>2760.6395115874971</v>
      </c>
      <c r="J134" s="76">
        <f>SUM(E134:I134)</f>
        <v>366512.2360693044</v>
      </c>
      <c r="K134" s="76"/>
      <c r="L134" s="82"/>
      <c r="M134" s="44"/>
      <c r="N134" s="478"/>
      <c r="O134" s="47"/>
      <c r="P134" s="131"/>
      <c r="Q134" s="47"/>
      <c r="R134" s="47"/>
      <c r="S134" s="47"/>
      <c r="T134" s="47"/>
      <c r="U134" s="47"/>
    </row>
    <row r="135" spans="1:21" x14ac:dyDescent="0.25">
      <c r="A135" s="22"/>
      <c r="B135" s="77" t="s">
        <v>41</v>
      </c>
      <c r="C135" s="76"/>
      <c r="D135" s="76"/>
      <c r="E135" s="76">
        <f>(SUMPRODUCT(E60:E64,E15:E19)+SUMPRODUCT(E69:E71,E24:E26))*E117/1000</f>
        <v>3817.1231921829003</v>
      </c>
      <c r="F135" s="76">
        <f>(SUMPRODUCT(F60:F64,F15:F19)+SUMPRODUCT(F69:F71,F24:F26))*F117/1000</f>
        <v>119589.53311972455</v>
      </c>
      <c r="G135" s="76">
        <f>(SUMPRODUCT(G60:G64,G15:G19)+SUMPRODUCT(G69:G71,G24:G26))*G117/1000</f>
        <v>102902.63343983675</v>
      </c>
      <c r="H135" s="76">
        <f>(SUMPRODUCT(H60:H64,H15:H19)+SUMPRODUCT(H69:H71,H24:H26))*H117/1000</f>
        <v>1977.3820481471214</v>
      </c>
      <c r="I135" s="76">
        <f>(SUMPRODUCT(I60:I64,I15:I19)+SUMPRODUCT(I69:I71,I24:I26))*I117/1000</f>
        <v>1065.6751870062226</v>
      </c>
      <c r="J135" s="76">
        <f>SUM(E135:I135)</f>
        <v>229352.34698689752</v>
      </c>
      <c r="K135" s="76"/>
      <c r="L135" s="76"/>
      <c r="M135" s="47"/>
      <c r="N135" s="47"/>
      <c r="O135" s="47"/>
      <c r="P135" s="397"/>
      <c r="Q135" s="47"/>
      <c r="R135" s="114"/>
      <c r="S135" s="479"/>
      <c r="T135" s="47"/>
      <c r="U135" s="47"/>
    </row>
    <row r="136" spans="1:21" x14ac:dyDescent="0.25">
      <c r="A136" s="22"/>
      <c r="B136" s="77" t="s">
        <v>42</v>
      </c>
      <c r="C136" s="76"/>
      <c r="D136" s="76"/>
      <c r="E136" s="76">
        <f>+(SUMPRODUCT(E60:E64,Q15:Q19)+SUMPRODUCT(E69:E71,Q24:Q26))*E118/1000</f>
        <v>2819.2847346874237</v>
      </c>
      <c r="F136" s="76">
        <f>+(SUMPRODUCT(F60:F64,R15:R19)+SUMPRODUCT(F69:F71,R24:R26))*F118/1000</f>
        <v>80822.971544573069</v>
      </c>
      <c r="G136" s="76">
        <f>+(SUMPRODUCT(G60:G64,S15:S19)+SUMPRODUCT(G69:G71,S24:S26))*G118/1000</f>
        <v>50752.410071545681</v>
      </c>
      <c r="H136" s="76">
        <f>+(SUMPRODUCT(H60:H64,T15:T19)+SUMPRODUCT(H69:H71,T24:T26))*H118/1000</f>
        <v>1070.258407019393</v>
      </c>
      <c r="I136" s="76">
        <f>+(SUMPRODUCT(I60:I64,U15:U19)+SUMPRODUCT(I69:I71,U24:U26))*I118/1000</f>
        <v>1694.9643245812745</v>
      </c>
      <c r="J136" s="76">
        <f>SUM(E136:I136)</f>
        <v>137159.88908240682</v>
      </c>
      <c r="K136" s="76"/>
      <c r="L136" s="76"/>
      <c r="M136" s="482"/>
      <c r="N136" s="47"/>
      <c r="O136" s="47"/>
      <c r="P136" s="47"/>
      <c r="Q136" s="47"/>
      <c r="R136" s="47"/>
      <c r="S136" s="47"/>
      <c r="T136" s="47"/>
      <c r="U136" s="47"/>
    </row>
    <row r="137" spans="1:21" x14ac:dyDescent="0.25">
      <c r="A137" s="22"/>
      <c r="C137" s="142"/>
      <c r="D137" s="142"/>
      <c r="E137" s="142"/>
      <c r="F137" s="142"/>
      <c r="G137" s="142"/>
      <c r="H137" s="142"/>
      <c r="I137" s="142"/>
      <c r="J137" s="76"/>
      <c r="K137" s="76"/>
      <c r="L137" s="142"/>
      <c r="M137" s="483"/>
      <c r="N137" s="47"/>
      <c r="O137" s="47"/>
      <c r="P137" s="47"/>
      <c r="Q137" s="47"/>
      <c r="R137" s="47"/>
      <c r="S137" s="484"/>
      <c r="T137" s="47"/>
      <c r="U137" s="47"/>
    </row>
    <row r="138" spans="1:21" x14ac:dyDescent="0.25">
      <c r="A138" s="22"/>
      <c r="B138" s="13" t="s">
        <v>16</v>
      </c>
      <c r="C138" s="82"/>
      <c r="D138" s="82"/>
      <c r="E138" s="82">
        <f>+E130+E134</f>
        <v>9369.386352265783</v>
      </c>
      <c r="F138" s="82">
        <f>+F130+F134</f>
        <v>324789.15908980195</v>
      </c>
      <c r="G138" s="82">
        <f>+G130+G134</f>
        <v>231599.00485453344</v>
      </c>
      <c r="H138" s="82">
        <f>+H130+H134</f>
        <v>4312.352232330687</v>
      </c>
      <c r="I138" s="82">
        <f>+I130+I134</f>
        <v>3897.4840167518641</v>
      </c>
      <c r="J138" s="76">
        <f>SUM(E138:I138)</f>
        <v>573967.38654568372</v>
      </c>
      <c r="K138" s="76"/>
      <c r="L138" s="82"/>
      <c r="M138" s="44"/>
      <c r="N138" s="478"/>
      <c r="O138" s="47"/>
      <c r="P138" s="131"/>
      <c r="Q138" s="47"/>
      <c r="R138" s="47"/>
      <c r="S138" s="47"/>
      <c r="T138" s="47"/>
      <c r="U138" s="47"/>
    </row>
    <row r="139" spans="1:21" x14ac:dyDescent="0.25">
      <c r="A139" s="22"/>
      <c r="M139" s="47"/>
      <c r="N139" s="47"/>
      <c r="O139" s="47"/>
      <c r="P139" s="397"/>
      <c r="Q139" s="47"/>
      <c r="R139" s="114"/>
      <c r="S139" s="479"/>
      <c r="T139" s="47"/>
      <c r="U139" s="47"/>
    </row>
    <row r="140" spans="1:21" x14ac:dyDescent="0.25">
      <c r="A140" s="22"/>
      <c r="B140" s="13" t="s">
        <v>44</v>
      </c>
      <c r="C140" s="76">
        <f>SUM(C138:I138)</f>
        <v>573967.38654568372</v>
      </c>
      <c r="E140" s="83"/>
      <c r="F140" s="74"/>
      <c r="M140" s="47"/>
      <c r="N140" s="47"/>
      <c r="O140" s="47"/>
      <c r="P140" s="47"/>
      <c r="Q140" s="47"/>
      <c r="R140" s="47"/>
      <c r="S140" s="47"/>
      <c r="T140" s="47"/>
      <c r="U140" s="47"/>
    </row>
    <row r="141" spans="1:21" x14ac:dyDescent="0.25">
      <c r="A141" s="22"/>
      <c r="M141" s="483"/>
      <c r="N141" s="47"/>
      <c r="O141" s="47"/>
      <c r="P141" s="47"/>
      <c r="Q141" s="47"/>
      <c r="R141" s="47"/>
      <c r="S141" s="484"/>
      <c r="T141" s="47"/>
      <c r="U141" s="47"/>
    </row>
    <row r="142" spans="1:21" x14ac:dyDescent="0.25">
      <c r="A142" s="22"/>
      <c r="M142" s="44"/>
      <c r="N142" s="478"/>
      <c r="O142" s="47"/>
      <c r="P142" s="131"/>
      <c r="Q142" s="47"/>
      <c r="R142" s="47"/>
      <c r="S142" s="47"/>
      <c r="T142" s="47"/>
      <c r="U142" s="47"/>
    </row>
    <row r="143" spans="1:21" ht="15.6" x14ac:dyDescent="0.3">
      <c r="A143" s="22"/>
      <c r="B143" s="519" t="str">
        <f>$B$1</f>
        <v xml:space="preserve">Jersey Central Power &amp; Light </v>
      </c>
      <c r="C143" s="519"/>
      <c r="D143" s="519"/>
      <c r="E143" s="519"/>
      <c r="F143" s="519"/>
      <c r="G143" s="519"/>
      <c r="H143" s="519"/>
      <c r="I143" s="519"/>
      <c r="J143" s="519"/>
      <c r="K143" s="519"/>
      <c r="L143" s="519"/>
      <c r="M143" s="47"/>
      <c r="N143" s="47"/>
      <c r="O143" s="47"/>
      <c r="P143" s="397"/>
      <c r="Q143" s="47"/>
      <c r="R143" s="114"/>
      <c r="S143" s="479"/>
      <c r="T143" s="47"/>
      <c r="U143" s="47"/>
    </row>
    <row r="144" spans="1:21" ht="15.6" x14ac:dyDescent="0.3">
      <c r="A144" s="22"/>
      <c r="B144" s="519" t="str">
        <f>$B$2</f>
        <v>Attachment 2</v>
      </c>
      <c r="C144" s="519"/>
      <c r="D144" s="519"/>
      <c r="E144" s="519"/>
      <c r="F144" s="519"/>
      <c r="G144" s="519"/>
      <c r="H144" s="519"/>
      <c r="I144" s="519"/>
      <c r="J144" s="519"/>
      <c r="K144" s="519"/>
      <c r="L144" s="519"/>
      <c r="M144" s="47"/>
      <c r="N144" s="47"/>
      <c r="O144" s="47"/>
      <c r="P144" s="47"/>
      <c r="Q144" s="47"/>
      <c r="R144" s="47"/>
      <c r="S144" s="47"/>
      <c r="T144" s="47"/>
      <c r="U144" s="47"/>
    </row>
    <row r="145" spans="1:51" x14ac:dyDescent="0.25">
      <c r="A145" s="22"/>
    </row>
    <row r="146" spans="1:51" x14ac:dyDescent="0.25">
      <c r="A146" s="22"/>
    </row>
    <row r="147" spans="1:51" x14ac:dyDescent="0.25">
      <c r="A147" s="18" t="s">
        <v>70</v>
      </c>
      <c r="B147" s="16" t="s">
        <v>71</v>
      </c>
      <c r="C147" s="78"/>
      <c r="Q147" s="13" t="s">
        <v>126</v>
      </c>
      <c r="T147" s="13" t="s">
        <v>122</v>
      </c>
      <c r="W147" s="13" t="s">
        <v>123</v>
      </c>
      <c r="Z147" s="13" t="s">
        <v>124</v>
      </c>
    </row>
    <row r="148" spans="1:51" x14ac:dyDescent="0.25">
      <c r="A148" s="22"/>
      <c r="B148" s="17" t="s">
        <v>173</v>
      </c>
      <c r="C148" s="78"/>
      <c r="W148" s="13" t="s">
        <v>127</v>
      </c>
      <c r="Z148" s="13" t="s">
        <v>128</v>
      </c>
      <c r="AC148" s="13" t="s">
        <v>125</v>
      </c>
    </row>
    <row r="149" spans="1:51" x14ac:dyDescent="0.25">
      <c r="A149" s="22"/>
      <c r="B149" s="17" t="s">
        <v>21</v>
      </c>
      <c r="C149" s="78"/>
    </row>
    <row r="150" spans="1:51" x14ac:dyDescent="0.25">
      <c r="A150" s="22"/>
      <c r="B150" s="16"/>
      <c r="C150" s="26"/>
      <c r="D150" s="26"/>
      <c r="E150" s="26" t="str">
        <f>+E$13</f>
        <v>RT{1}</v>
      </c>
      <c r="F150" s="26" t="str">
        <f>+F$13</f>
        <v>RS{2}</v>
      </c>
      <c r="G150" s="26" t="str">
        <f>+G$13</f>
        <v>GS{3}</v>
      </c>
      <c r="H150" s="26" t="str">
        <f>+H$58</f>
        <v>GST {4}</v>
      </c>
      <c r="I150" s="26" t="str">
        <f>+I$13</f>
        <v>OL/SL</v>
      </c>
      <c r="J150" s="26"/>
      <c r="K150" s="26"/>
      <c r="L150" s="26"/>
      <c r="M150" s="26"/>
      <c r="Q150" s="26" t="str">
        <f>+$H150</f>
        <v>GST {4}</v>
      </c>
      <c r="R150" s="26"/>
      <c r="S150" s="26"/>
      <c r="T150" s="26" t="str">
        <f>+$H150</f>
        <v>GST {4}</v>
      </c>
      <c r="U150" s="26"/>
      <c r="V150" s="26"/>
      <c r="W150" s="26" t="str">
        <f>+$H150</f>
        <v>GST {4}</v>
      </c>
      <c r="X150" s="26"/>
      <c r="Z150" s="26" t="str">
        <f>+$H150</f>
        <v>GST {4}</v>
      </c>
      <c r="AA150" s="26"/>
      <c r="AC150" s="26" t="str">
        <f>+$H150</f>
        <v>GST {4}</v>
      </c>
      <c r="AD150" s="26"/>
      <c r="AU150" s="26" t="str">
        <f>+E$13</f>
        <v>RT{1}</v>
      </c>
      <c r="AV150" s="26" t="str">
        <f>+F$13</f>
        <v>RS{2}</v>
      </c>
      <c r="AW150" s="26" t="str">
        <f>+G$13</f>
        <v>GS{3}</v>
      </c>
      <c r="AX150" s="26" t="str">
        <f>+H$13</f>
        <v>GST</v>
      </c>
      <c r="AY150" s="26" t="str">
        <f>+I$13</f>
        <v>OL/SL</v>
      </c>
    </row>
    <row r="151" spans="1:51" x14ac:dyDescent="0.25">
      <c r="A151" s="22"/>
      <c r="C151" s="81"/>
    </row>
    <row r="152" spans="1:51" x14ac:dyDescent="0.25">
      <c r="A152" s="22"/>
      <c r="B152" s="28" t="s">
        <v>17</v>
      </c>
      <c r="C152" s="80"/>
      <c r="D152" s="80"/>
      <c r="E152" s="75">
        <f>+E130/SUM(E65:E68)*1000</f>
        <v>34.6587164303074</v>
      </c>
      <c r="F152" s="75">
        <f>+F130/SUM(F65:F68)*1000</f>
        <v>34.769003939783623</v>
      </c>
      <c r="G152" s="75">
        <f>+G130/SUM(G65:G68)*1000</f>
        <v>35.820987505641739</v>
      </c>
      <c r="H152" s="75">
        <f>+H130/SUM(H65:H68)*1000</f>
        <v>36.217404844334837</v>
      </c>
      <c r="I152" s="75">
        <f>+I130/SUM(I65:I68)*1000</f>
        <v>29.858030339182324</v>
      </c>
      <c r="J152" s="80"/>
      <c r="K152" s="80"/>
      <c r="L152" s="80"/>
      <c r="M152" s="80"/>
      <c r="P152" s="133" t="s">
        <v>25</v>
      </c>
      <c r="AU152" s="55">
        <f>SUM(E67:E68)</f>
        <v>41404</v>
      </c>
      <c r="AV152" s="55">
        <f>SUM(F67:F68)</f>
        <v>1934719</v>
      </c>
      <c r="AW152" s="55">
        <f>SUM(G67:G68)</f>
        <v>1111729</v>
      </c>
      <c r="AX152" s="55">
        <f>SUM(H67:H68)</f>
        <v>16055</v>
      </c>
      <c r="AY152" s="55">
        <f>SUM(I67:I68)</f>
        <v>19027</v>
      </c>
    </row>
    <row r="153" spans="1:51" x14ac:dyDescent="0.25">
      <c r="A153" s="22"/>
      <c r="B153" s="77" t="s">
        <v>72</v>
      </c>
      <c r="C153" s="76"/>
      <c r="D153" s="76"/>
      <c r="E153" s="75">
        <f>+(E131*1000-X165*AVERAGE(E$113,E$114))/R165</f>
        <v>45.267246617207391</v>
      </c>
      <c r="F153" s="75"/>
      <c r="G153" s="75"/>
      <c r="H153" s="75">
        <f>+(H131*1000-W153*AVERAGE(H$113,H$114))/Q153</f>
        <v>45.537102260602616</v>
      </c>
      <c r="I153" s="75"/>
      <c r="J153" s="76"/>
      <c r="K153" s="76"/>
      <c r="L153" s="76"/>
      <c r="M153" s="80"/>
      <c r="P153" s="13" t="s">
        <v>14</v>
      </c>
      <c r="Q153" s="55">
        <f>T65</f>
        <v>16257.8182</v>
      </c>
      <c r="R153" s="55"/>
      <c r="T153" s="55">
        <f>T76</f>
        <v>20404.939000000002</v>
      </c>
      <c r="U153" s="55"/>
      <c r="W153" s="55">
        <f>+T153-Q153</f>
        <v>4147.1208000000024</v>
      </c>
      <c r="X153" s="55"/>
      <c r="Z153" s="144">
        <f>+H153*Q153/1000</f>
        <v>740.3339299076863</v>
      </c>
      <c r="AA153" s="144"/>
      <c r="AX153" s="55">
        <f>ROUND(SUMPRODUCT(H65:H68,H38:H41),0)</f>
        <v>16258</v>
      </c>
    </row>
    <row r="154" spans="1:51" ht="15" x14ac:dyDescent="0.4">
      <c r="A154" s="22"/>
      <c r="B154" s="77" t="s">
        <v>73</v>
      </c>
      <c r="C154" s="76"/>
      <c r="D154" s="76"/>
      <c r="E154" s="75">
        <f>+(E132*1000-X166*AVERAGE(E$113,E$114))/R166</f>
        <v>27.435189819911262</v>
      </c>
      <c r="F154" s="75"/>
      <c r="G154" s="75"/>
      <c r="H154" s="75">
        <f>+(H132*1000-W154*AVERAGE(H$113,H$114))/Q154</f>
        <v>28.098421335520708</v>
      </c>
      <c r="I154" s="75"/>
      <c r="J154" s="76"/>
      <c r="K154" s="76"/>
      <c r="L154" s="76"/>
      <c r="M154" s="80"/>
      <c r="P154" s="13" t="s">
        <v>15</v>
      </c>
      <c r="Q154" s="55">
        <f>T66</f>
        <v>18662.181799999998</v>
      </c>
      <c r="R154" s="55"/>
      <c r="T154" s="55">
        <f>T77</f>
        <v>14515.060999999998</v>
      </c>
      <c r="U154" s="55"/>
      <c r="W154" s="55">
        <f>+T154-Q154</f>
        <v>-4147.1208000000006</v>
      </c>
      <c r="X154" s="55"/>
      <c r="Z154" s="85">
        <f>+H154*Q154/1000</f>
        <v>524.37784725648623</v>
      </c>
      <c r="AA154" s="85"/>
      <c r="AX154" s="55">
        <f>AX152-AX153</f>
        <v>-203</v>
      </c>
    </row>
    <row r="155" spans="1:51" x14ac:dyDescent="0.25">
      <c r="A155" s="22"/>
      <c r="C155" s="82"/>
      <c r="D155" s="82"/>
      <c r="E155" s="79"/>
      <c r="F155" s="79"/>
      <c r="G155" s="79"/>
      <c r="H155" s="79"/>
      <c r="I155" s="79"/>
      <c r="J155" s="82"/>
      <c r="K155" s="82"/>
      <c r="L155" s="82"/>
      <c r="M155" s="82"/>
      <c r="Q155" s="55"/>
      <c r="R155" s="55"/>
      <c r="T155" s="55"/>
      <c r="U155" s="55"/>
      <c r="W155" s="55"/>
      <c r="X155" s="55"/>
      <c r="Z155" s="144">
        <f>+Z154+Z153</f>
        <v>1264.7117771641724</v>
      </c>
      <c r="AA155" s="144"/>
      <c r="AC155" s="81">
        <f>+H130</f>
        <v>1264.7117771641726</v>
      </c>
      <c r="AD155" s="81"/>
    </row>
    <row r="156" spans="1:51" x14ac:dyDescent="0.25">
      <c r="A156" s="22"/>
      <c r="B156" s="28" t="s">
        <v>18</v>
      </c>
      <c r="C156" s="78"/>
      <c r="D156" s="78"/>
      <c r="E156" s="79">
        <f>+E134/SUM(E60:E64,E69:E71)*1000</f>
        <v>40.303214626752521</v>
      </c>
      <c r="F156" s="79">
        <f>+F134/SUM(F60:F64,F69:F71)*1000</f>
        <v>39.905901356994285</v>
      </c>
      <c r="G156" s="79">
        <f>+G134/SUM(G60:G64,G69:G71)*1000</f>
        <v>40.632036432870869</v>
      </c>
      <c r="H156" s="79">
        <f>+H134/SUM(H60:H64,H69:H71)*1000</f>
        <v>40.857470709546789</v>
      </c>
      <c r="I156" s="79">
        <f>+I134/SUM(I60:I64,I69:I71)*1000</f>
        <v>36.222209982253879</v>
      </c>
      <c r="J156" s="78"/>
      <c r="K156" s="78"/>
      <c r="L156" s="78"/>
      <c r="M156" s="78"/>
      <c r="P156" s="133" t="s">
        <v>26</v>
      </c>
      <c r="Q156" s="55"/>
      <c r="R156" s="55"/>
      <c r="T156" s="55"/>
      <c r="U156" s="55"/>
      <c r="W156" s="55"/>
      <c r="X156" s="55"/>
      <c r="Z156" s="144"/>
      <c r="AA156" s="144"/>
      <c r="AC156" s="81"/>
      <c r="AU156" s="55">
        <f>E72-AU152</f>
        <v>202112</v>
      </c>
      <c r="AV156" s="55">
        <f>F72-AV152</f>
        <v>6664636</v>
      </c>
      <c r="AW156" s="55">
        <f>G72-AW152</f>
        <v>4845824</v>
      </c>
      <c r="AX156" s="55">
        <f>H72-AX152</f>
        <v>93457</v>
      </c>
      <c r="AY156" s="55">
        <f>I72-AY152</f>
        <v>95262</v>
      </c>
    </row>
    <row r="157" spans="1:51" x14ac:dyDescent="0.25">
      <c r="A157" s="22"/>
      <c r="B157" s="77" t="s">
        <v>72</v>
      </c>
      <c r="C157" s="76"/>
      <c r="D157" s="76"/>
      <c r="E157" s="75">
        <f>+(E135*1000-X170*AVERAGE(E$113,E$114))/R170</f>
        <v>52.832140160643206</v>
      </c>
      <c r="F157" s="75"/>
      <c r="G157" s="75"/>
      <c r="H157" s="75">
        <f>+(H135*1000-W157*AVERAGE(H$117,H$118))/Q157</f>
        <v>49.047967847476301</v>
      </c>
      <c r="I157" s="75"/>
      <c r="J157" s="76"/>
      <c r="K157" s="76"/>
      <c r="L157" s="76"/>
      <c r="M157" s="80"/>
      <c r="P157" s="13" t="s">
        <v>14</v>
      </c>
      <c r="Q157" s="55">
        <f>T61</f>
        <v>32710.3141</v>
      </c>
      <c r="R157" s="55"/>
      <c r="T157" s="55">
        <f>T72</f>
        <v>42045.592999999993</v>
      </c>
      <c r="U157" s="55"/>
      <c r="W157" s="55">
        <f>+T157-Q157</f>
        <v>9335.2788999999939</v>
      </c>
      <c r="X157" s="55"/>
      <c r="Z157" s="144">
        <f>+H157*Q157/1000</f>
        <v>1604.3744342576508</v>
      </c>
      <c r="AA157" s="144"/>
      <c r="AC157" s="81"/>
      <c r="AX157" s="55">
        <f>ROUND(SUMPRODUCT(H33:H37,H60:H64)+SUMPRODUCT(H42:H44,H69:H71),0)</f>
        <v>32710</v>
      </c>
    </row>
    <row r="158" spans="1:51" ht="15" x14ac:dyDescent="0.4">
      <c r="A158" s="22"/>
      <c r="B158" s="77" t="s">
        <v>73</v>
      </c>
      <c r="C158" s="76"/>
      <c r="D158" s="76"/>
      <c r="E158" s="75">
        <f>+(E136*1000-X171*AVERAGE(E$113,E$114))/R171</f>
        <v>33.45509018290899</v>
      </c>
      <c r="F158" s="75"/>
      <c r="G158" s="75"/>
      <c r="H158" s="75">
        <f>+(H136*1000-W158*AVERAGE(H$117,H$118))/Q158</f>
        <v>34.460552145749794</v>
      </c>
      <c r="I158" s="75"/>
      <c r="J158" s="76"/>
      <c r="K158" s="76"/>
      <c r="L158" s="76"/>
      <c r="M158" s="80"/>
      <c r="P158" s="13" t="s">
        <v>15</v>
      </c>
      <c r="Q158" s="55">
        <f>T62</f>
        <v>41881.685899999997</v>
      </c>
      <c r="R158" s="55"/>
      <c r="T158" s="55">
        <f>T73</f>
        <v>32546.407000000007</v>
      </c>
      <c r="U158" s="55"/>
      <c r="W158" s="55">
        <f>+T158-Q158</f>
        <v>-9335.2788999999902</v>
      </c>
      <c r="X158" s="55"/>
      <c r="Z158" s="85">
        <f>+H158*Q158/1000</f>
        <v>1443.2660209088638</v>
      </c>
      <c r="AA158" s="85"/>
      <c r="AC158" s="81"/>
      <c r="AX158" s="55">
        <f>AX156-AX157</f>
        <v>60747</v>
      </c>
    </row>
    <row r="159" spans="1:51" x14ac:dyDescent="0.25">
      <c r="A159" s="22"/>
      <c r="C159" s="142"/>
      <c r="D159" s="142"/>
      <c r="E159" s="143"/>
      <c r="F159" s="143"/>
      <c r="G159" s="143"/>
      <c r="H159" s="143"/>
      <c r="I159" s="143"/>
      <c r="J159" s="142"/>
      <c r="K159" s="142"/>
      <c r="L159" s="142"/>
      <c r="M159" s="142"/>
      <c r="Z159" s="144">
        <f>+Z158+Z157</f>
        <v>3047.6404551665146</v>
      </c>
      <c r="AA159" s="144"/>
      <c r="AC159" s="81">
        <f>+H134</f>
        <v>3047.6404551665141</v>
      </c>
      <c r="AD159" s="81"/>
    </row>
    <row r="160" spans="1:51" x14ac:dyDescent="0.25">
      <c r="A160" s="22"/>
      <c r="B160" s="13" t="s">
        <v>74</v>
      </c>
      <c r="C160" s="74"/>
      <c r="D160" s="74"/>
      <c r="E160" s="75">
        <f>(E152*SUM(E65:E68)+E156*SUM(E60:E64,E69:E71))/E72</f>
        <v>38.475444538616692</v>
      </c>
      <c r="F160" s="75">
        <f>(F152*SUM(F65:F68)+F156*SUM(F60:F64,F69:F71))/F72</f>
        <v>37.769013965559267</v>
      </c>
      <c r="G160" s="75">
        <f>(G152*SUM(G65:G68)+G156*SUM(G60:G64,G69:G71))/G72</f>
        <v>38.874854299161662</v>
      </c>
      <c r="H160" s="75">
        <f>(H152*SUM(H65:H68)+H156*SUM(H60:H64,H69:H71))/H72</f>
        <v>39.377896781454879</v>
      </c>
      <c r="I160" s="75">
        <f>(I152*SUM(I65:I68)+I156*SUM(I60:I64,I69:I71))/I72</f>
        <v>34.102004713943288</v>
      </c>
      <c r="J160" s="74"/>
      <c r="K160" s="74"/>
      <c r="L160" s="74"/>
      <c r="M160" s="74"/>
      <c r="AU160" s="55">
        <f>E72</f>
        <v>243516</v>
      </c>
      <c r="AV160" s="55">
        <f>F72</f>
        <v>8599355</v>
      </c>
      <c r="AW160" s="55">
        <f>G72</f>
        <v>5957553</v>
      </c>
      <c r="AX160" s="55">
        <f>H72</f>
        <v>109512</v>
      </c>
      <c r="AY160" s="55">
        <f>I72</f>
        <v>114289</v>
      </c>
    </row>
    <row r="161" spans="1:51" x14ac:dyDescent="0.25">
      <c r="A161" s="22"/>
      <c r="B161" s="13" t="s">
        <v>75</v>
      </c>
      <c r="C161" s="80">
        <f>+C140/SUM(C72:I72)*1000</f>
        <v>38.202794922578946</v>
      </c>
    </row>
    <row r="162" spans="1:51" x14ac:dyDescent="0.25">
      <c r="A162" s="22"/>
      <c r="Q162" s="26" t="str">
        <f>+$E150</f>
        <v>RT{1}</v>
      </c>
      <c r="R162" s="26"/>
      <c r="S162" s="26"/>
      <c r="T162" s="26" t="str">
        <f>+$E150</f>
        <v>RT{1}</v>
      </c>
      <c r="U162" s="26"/>
      <c r="V162" s="26"/>
      <c r="W162" s="26" t="str">
        <f>+$E150</f>
        <v>RT{1}</v>
      </c>
      <c r="X162" s="26"/>
      <c r="Z162" s="26" t="str">
        <f>+$E150</f>
        <v>RT{1}</v>
      </c>
      <c r="AA162" s="26"/>
      <c r="AC162" s="26" t="str">
        <f>+$E150</f>
        <v>RT{1}</v>
      </c>
    </row>
    <row r="163" spans="1:51" x14ac:dyDescent="0.25">
      <c r="A163" s="22"/>
    </row>
    <row r="164" spans="1:51" x14ac:dyDescent="0.25">
      <c r="A164" s="18" t="s">
        <v>76</v>
      </c>
      <c r="B164" s="16" t="s">
        <v>139</v>
      </c>
      <c r="P164" s="133" t="s">
        <v>25</v>
      </c>
      <c r="Q164" s="38" t="s">
        <v>196</v>
      </c>
      <c r="R164" s="38" t="s">
        <v>192</v>
      </c>
      <c r="T164" s="38" t="s">
        <v>196</v>
      </c>
      <c r="U164" s="38" t="s">
        <v>192</v>
      </c>
      <c r="W164" s="38" t="s">
        <v>196</v>
      </c>
      <c r="X164" s="38" t="s">
        <v>192</v>
      </c>
      <c r="Z164" s="38" t="s">
        <v>197</v>
      </c>
      <c r="AC164" s="38" t="s">
        <v>197</v>
      </c>
    </row>
    <row r="165" spans="1:51" x14ac:dyDescent="0.25">
      <c r="A165" s="22"/>
      <c r="B165" s="17" t="s">
        <v>388</v>
      </c>
      <c r="J165" s="26" t="s">
        <v>313</v>
      </c>
      <c r="K165" s="26"/>
      <c r="P165" s="13" t="s">
        <v>14</v>
      </c>
      <c r="Q165" s="55">
        <f>SUMPRODUCT(E38:E41,M65:M68)</f>
        <v>31192.8747</v>
      </c>
      <c r="R165" s="55">
        <f>SUMPRODUCT(E38:E41,E65:E68)</f>
        <v>31943.312599999997</v>
      </c>
      <c r="T165" s="55">
        <f>Q76</f>
        <v>40495.8802</v>
      </c>
      <c r="U165" s="55">
        <f>T165-($Q$167*$Q165/($Q$165+$Q$166))</f>
        <v>39743.861451396144</v>
      </c>
      <c r="W165" s="55">
        <f>+T165-Q165</f>
        <v>9303.0054999999993</v>
      </c>
      <c r="X165" s="55">
        <f>-Q165+U165</f>
        <v>8550.9867513961435</v>
      </c>
      <c r="Z165" s="144">
        <f>+E153*Q165/1000</f>
        <v>1412.0155517445492</v>
      </c>
      <c r="AA165" s="144"/>
      <c r="AU165" s="82">
        <f>AU152*E152/1000</f>
        <v>1435.0094950804476</v>
      </c>
      <c r="AV165" s="82">
        <f>AV152*F152/1000</f>
        <v>67268.252533374238</v>
      </c>
      <c r="AW165" s="82">
        <f>AW152*G152/1000</f>
        <v>39823.230618659589</v>
      </c>
      <c r="AX165" s="82">
        <f>AX152*H152/1000</f>
        <v>581.47043477579575</v>
      </c>
      <c r="AY165" s="82">
        <f>AY152*I152/1000</f>
        <v>568.10874326362205</v>
      </c>
    </row>
    <row r="166" spans="1:51" ht="15" x14ac:dyDescent="0.4">
      <c r="A166" s="22"/>
      <c r="B166" s="17" t="s">
        <v>77</v>
      </c>
      <c r="C166" s="26"/>
      <c r="D166" s="26"/>
      <c r="E166" s="26" t="str">
        <f>+E$13</f>
        <v>RT{1}</v>
      </c>
      <c r="F166" s="26" t="str">
        <f>+F$13</f>
        <v>RS{2}</v>
      </c>
      <c r="G166" s="26" t="str">
        <f>+G$13</f>
        <v>GS{3}</v>
      </c>
      <c r="H166" s="26" t="str">
        <f>+H$58</f>
        <v>GST {4}</v>
      </c>
      <c r="I166" s="26" t="str">
        <f>+I$13</f>
        <v>OL/SL</v>
      </c>
      <c r="J166" s="26" t="s">
        <v>165</v>
      </c>
      <c r="K166" s="26"/>
      <c r="L166" s="26"/>
      <c r="M166" s="26"/>
      <c r="P166" s="13" t="s">
        <v>15</v>
      </c>
      <c r="Q166" s="55">
        <f>SUMPRODUCT(Q38:Q41,M65:M68)</f>
        <v>45805.125300000007</v>
      </c>
      <c r="R166" s="202">
        <f>SUMPRODUCT(Q38:Q41,E65:E68)</f>
        <v>46910.687400000003</v>
      </c>
      <c r="T166" s="55">
        <f>Q77</f>
        <v>38358.1198</v>
      </c>
      <c r="U166" s="55">
        <f>T166-($Q$167*$Q166/($Q$165+$Q$166))</f>
        <v>37253.819111492157</v>
      </c>
      <c r="W166" s="55">
        <f>+T166-Q166</f>
        <v>-7447.0055000000066</v>
      </c>
      <c r="X166" s="55">
        <f>-Q166+U166</f>
        <v>-8551.3061885078496</v>
      </c>
      <c r="Z166" s="144">
        <f>+E154*Q166/1000</f>
        <v>1256.6723073303199</v>
      </c>
      <c r="AA166" s="85"/>
      <c r="AU166" s="82"/>
      <c r="AV166" s="82"/>
      <c r="AW166" s="82"/>
      <c r="AX166" s="82">
        <f>AX153*H153/1000</f>
        <v>740.34220855287731</v>
      </c>
      <c r="AY166" s="82"/>
    </row>
    <row r="167" spans="1:51" ht="15" x14ac:dyDescent="0.4">
      <c r="A167" s="22"/>
      <c r="P167" s="13" t="s">
        <v>191</v>
      </c>
      <c r="Q167" s="202">
        <f>SUM(W65:W68)/1000</f>
        <v>1856.3194371117004</v>
      </c>
      <c r="R167" s="55">
        <f>SUM(R165:R166)</f>
        <v>78854</v>
      </c>
      <c r="T167" s="55">
        <v>0</v>
      </c>
      <c r="U167" s="55">
        <v>0</v>
      </c>
      <c r="W167" s="55">
        <f>+T167-Q167</f>
        <v>-1856.3194371117004</v>
      </c>
      <c r="X167" s="55"/>
      <c r="Z167" s="85">
        <f>+E152*Q167/1000</f>
        <v>64.337648974922274</v>
      </c>
      <c r="AU167" s="82"/>
      <c r="AV167" s="82"/>
      <c r="AW167" s="82"/>
      <c r="AX167" s="82">
        <f>AX154*H154/1000</f>
        <v>-5.7039795311107033</v>
      </c>
      <c r="AY167" s="82"/>
    </row>
    <row r="168" spans="1:51" x14ac:dyDescent="0.25">
      <c r="A168" s="22"/>
      <c r="B168" s="13" t="s">
        <v>78</v>
      </c>
      <c r="C168" s="87"/>
      <c r="D168" s="87"/>
      <c r="E168" s="87">
        <v>88.17</v>
      </c>
      <c r="F168" s="87">
        <v>2898.66</v>
      </c>
      <c r="G168" s="87">
        <v>1628.02</v>
      </c>
      <c r="H168" s="87">
        <v>32.1</v>
      </c>
      <c r="I168" s="87">
        <v>0.24</v>
      </c>
      <c r="J168" s="87">
        <f>SUM(E168:I168)</f>
        <v>4647.1900000000005</v>
      </c>
      <c r="K168" s="87"/>
      <c r="L168" s="87"/>
      <c r="M168" s="87"/>
      <c r="Q168" s="55">
        <f>SUM(Q165:Q167)</f>
        <v>78854.319437111699</v>
      </c>
      <c r="Z168" s="144">
        <f>SUM(Z165:Z167)</f>
        <v>2733.0255080497914</v>
      </c>
      <c r="AA168" s="144"/>
      <c r="AC168" s="81">
        <f>+E130</f>
        <v>2732.9784253954599</v>
      </c>
      <c r="AU168" s="82">
        <f>AU156*E156/1000</f>
        <v>8145.7633146422058</v>
      </c>
      <c r="AV168" s="82">
        <f>AV156*F156/1000</f>
        <v>265958.30679627298</v>
      </c>
      <c r="AW168" s="82">
        <f>AW156*G156/1000</f>
        <v>196895.69731528006</v>
      </c>
      <c r="AX168" s="82">
        <f>AX156*H156/1000</f>
        <v>3818.4166401021139</v>
      </c>
      <c r="AY168" s="82">
        <f>AY156*I156/1000</f>
        <v>3450.6001673294691</v>
      </c>
    </row>
    <row r="169" spans="1:51" x14ac:dyDescent="0.25">
      <c r="A169" s="22"/>
      <c r="P169" s="133" t="s">
        <v>26</v>
      </c>
      <c r="Q169" s="55"/>
      <c r="R169" s="55"/>
      <c r="T169" s="55"/>
      <c r="U169" s="55"/>
      <c r="W169" s="55"/>
      <c r="X169" s="55"/>
      <c r="AU169" s="82"/>
      <c r="AV169" s="82"/>
      <c r="AW169" s="82"/>
      <c r="AX169" s="82">
        <f>AX157*H157/1000</f>
        <v>1604.3590282909497</v>
      </c>
      <c r="AY169" s="82"/>
    </row>
    <row r="170" spans="1:51" x14ac:dyDescent="0.25">
      <c r="A170" s="22"/>
      <c r="K170" s="86"/>
      <c r="L170" s="86"/>
      <c r="M170" s="86"/>
      <c r="P170" s="13" t="s">
        <v>14</v>
      </c>
      <c r="Q170" s="55">
        <f>SUMPRODUCT(E33:E37,M60:M64)+SUMPRODUCT(E42:E44,M69:M71)</f>
        <v>56845.5003</v>
      </c>
      <c r="R170" s="55">
        <f>SUMPRODUCT(E33:E37,E60:E64)+SUMPRODUCT(E42:E44,E69:E71)</f>
        <v>58194.747799999997</v>
      </c>
      <c r="T170" s="55">
        <f>Q72</f>
        <v>79760.139599999995</v>
      </c>
      <c r="U170" s="55">
        <f>T170-($Q$172*$Q170/($Q$170+$Q$171))</f>
        <v>78414.951988005327</v>
      </c>
      <c r="W170" s="55">
        <f>+T170-Q170</f>
        <v>22914.639299999995</v>
      </c>
      <c r="X170" s="55">
        <f>-Q170+U170</f>
        <v>21569.451688005327</v>
      </c>
      <c r="Z170" s="144">
        <f>+E157*Q170/1000</f>
        <v>3003.2694393514857</v>
      </c>
      <c r="AA170" s="144"/>
      <c r="AC170" s="81"/>
      <c r="AU170" s="82"/>
      <c r="AV170" s="82"/>
      <c r="AW170" s="82"/>
      <c r="AX170" s="82">
        <f>AX158*H158/1000</f>
        <v>2093.3751611978628</v>
      </c>
      <c r="AY170" s="82"/>
    </row>
    <row r="171" spans="1:51" ht="15" x14ac:dyDescent="0.4">
      <c r="A171" s="22"/>
      <c r="B171" s="13" t="s">
        <v>79</v>
      </c>
      <c r="C171" s="88" t="s">
        <v>80</v>
      </c>
      <c r="D171" s="86"/>
      <c r="E171" s="67"/>
      <c r="F171" s="67"/>
      <c r="G171" s="67"/>
      <c r="H171" s="67"/>
      <c r="I171" s="86"/>
      <c r="J171" s="86"/>
      <c r="K171" s="86"/>
      <c r="L171" s="86"/>
      <c r="M171" s="86"/>
      <c r="P171" s="13" t="s">
        <v>15</v>
      </c>
      <c r="Q171" s="55">
        <f>SUMPRODUCT(Q33:Q37,M60:M64)+SUMPRODUCT(Q42:Q44,M69:M71)</f>
        <v>104010.4997</v>
      </c>
      <c r="R171" s="202">
        <f>SUMPRODUCT(Q33:Q37,E60:E64)+SUMPRODUCT(Q42:Q44,E69:E71)</f>
        <v>106467.25220000002</v>
      </c>
      <c r="T171" s="55">
        <f>Q73</f>
        <v>84901.860400000005</v>
      </c>
      <c r="U171" s="55">
        <f>T171-($Q$172*$Q171/($Q$170+$Q$171))</f>
        <v>82440.563815830174</v>
      </c>
      <c r="W171" s="55">
        <f>+T171-Q171</f>
        <v>-19108.639299999995</v>
      </c>
      <c r="X171" s="55">
        <f>-Q171+U171</f>
        <v>-21569.935884169827</v>
      </c>
      <c r="Z171" s="144">
        <f>+E158*Q171/1000</f>
        <v>3479.6806474329283</v>
      </c>
      <c r="AA171" s="85"/>
      <c r="AC171" s="81"/>
      <c r="AU171" s="82"/>
      <c r="AV171" s="82"/>
      <c r="AW171" s="82"/>
      <c r="AX171" s="82"/>
      <c r="AY171" s="82"/>
    </row>
    <row r="172" spans="1:51" ht="15" x14ac:dyDescent="0.4">
      <c r="A172" s="22"/>
      <c r="B172" s="13" t="s">
        <v>81</v>
      </c>
      <c r="I172" s="86"/>
      <c r="J172" s="86"/>
      <c r="K172" s="86"/>
      <c r="L172" s="86"/>
      <c r="M172" s="86"/>
      <c r="P172" s="13" t="s">
        <v>191</v>
      </c>
      <c r="Q172" s="202">
        <f>SUM(W60:W64,W69:W71)/1000</f>
        <v>3806.4841961645006</v>
      </c>
      <c r="R172" s="55">
        <f>SUM(R170:R171)</f>
        <v>164662</v>
      </c>
      <c r="T172" s="13">
        <v>0</v>
      </c>
      <c r="U172" s="55">
        <v>0</v>
      </c>
      <c r="W172" s="55">
        <f>+T172-Q172</f>
        <v>-3806.4841961645006</v>
      </c>
      <c r="X172" s="55"/>
      <c r="Z172" s="85">
        <f>+E156*Q172/1000</f>
        <v>153.41354953135939</v>
      </c>
      <c r="AU172" s="82">
        <f>AU160*E160/1000</f>
        <v>9369.386352265783</v>
      </c>
      <c r="AV172" s="82">
        <f>AV160*F160/1000</f>
        <v>324789.15908980189</v>
      </c>
      <c r="AW172" s="82">
        <f>AW160*G160/1000</f>
        <v>231599.00485453347</v>
      </c>
      <c r="AX172" s="82">
        <f>AX160*H160/1000</f>
        <v>4312.3522323306861</v>
      </c>
      <c r="AY172" s="82">
        <f>AY160*I160/1000</f>
        <v>3897.4840167518646</v>
      </c>
    </row>
    <row r="173" spans="1:51" x14ac:dyDescent="0.25">
      <c r="A173" s="22"/>
      <c r="D173" s="89" t="s">
        <v>82</v>
      </c>
      <c r="E173" s="136">
        <v>122</v>
      </c>
      <c r="G173" s="89" t="s">
        <v>83</v>
      </c>
      <c r="H173" s="90">
        <v>4</v>
      </c>
      <c r="I173" s="86"/>
      <c r="J173" s="86"/>
      <c r="K173" s="86"/>
      <c r="L173" s="86"/>
      <c r="M173" s="277"/>
      <c r="N173" s="278"/>
      <c r="Q173" s="161">
        <f>SUM(Q170:Q172)</f>
        <v>164662.4841961645</v>
      </c>
      <c r="R173" s="26"/>
      <c r="S173" s="26"/>
      <c r="T173" s="26"/>
      <c r="U173" s="26"/>
      <c r="V173" s="26"/>
      <c r="W173" s="26"/>
      <c r="X173" s="26"/>
      <c r="Z173" s="144">
        <f>SUM(Z170:Z172)</f>
        <v>6636.3636363157739</v>
      </c>
      <c r="AA173" s="144"/>
      <c r="AC173" s="81">
        <f>+E134</f>
        <v>6636.4079268703235</v>
      </c>
      <c r="AU173" s="81">
        <f>AU172-AU165-AU168</f>
        <v>-211.38645745687063</v>
      </c>
      <c r="AV173" s="81">
        <f>AV172-AV165-AV168</f>
        <v>-8437.4002398453304</v>
      </c>
      <c r="AW173" s="81">
        <f>AW172-AW165-AW168</f>
        <v>-5119.9230794061732</v>
      </c>
      <c r="AX173" s="81">
        <f>AX172-AX165-AX168</f>
        <v>-87.534842547223434</v>
      </c>
      <c r="AY173" s="81">
        <f>AY172-AY165-AY168</f>
        <v>-121.22489384122628</v>
      </c>
    </row>
    <row r="174" spans="1:51" ht="15" x14ac:dyDescent="0.4">
      <c r="A174" s="22"/>
      <c r="D174" s="91" t="s">
        <v>84</v>
      </c>
      <c r="E174" s="90">
        <f>31+30+31+31+28+31+30+31</f>
        <v>243</v>
      </c>
      <c r="G174" s="91" t="s">
        <v>85</v>
      </c>
      <c r="H174" s="90">
        <v>8</v>
      </c>
      <c r="I174" s="86"/>
      <c r="J174" s="86"/>
      <c r="K174" s="86"/>
      <c r="L174" s="86"/>
      <c r="M174" s="277"/>
      <c r="N174" s="278"/>
      <c r="Q174" s="55"/>
      <c r="R174" s="55"/>
      <c r="T174" s="55"/>
      <c r="U174" s="55"/>
      <c r="W174" s="55"/>
      <c r="X174" s="55"/>
      <c r="Z174" s="85"/>
      <c r="AA174" s="85"/>
      <c r="AX174" s="81">
        <f>SUM(AX166:AX167)+SUM(AX169:AX170)</f>
        <v>4432.3724185105784</v>
      </c>
    </row>
    <row r="175" spans="1:51" x14ac:dyDescent="0.25">
      <c r="A175" s="22"/>
      <c r="D175" s="287"/>
      <c r="E175" s="287"/>
      <c r="F175" s="288"/>
      <c r="G175" s="89" t="s">
        <v>86</v>
      </c>
      <c r="H175" s="13">
        <f>+H173+H174</f>
        <v>12</v>
      </c>
      <c r="I175" s="86"/>
      <c r="J175" s="86"/>
      <c r="K175" s="86"/>
      <c r="L175" s="86"/>
      <c r="M175" s="86"/>
      <c r="N175" s="86"/>
      <c r="O175" s="87" t="s">
        <v>255</v>
      </c>
      <c r="Q175" s="55"/>
      <c r="R175" s="55"/>
      <c r="T175" s="55"/>
      <c r="U175" s="55"/>
      <c r="W175" s="55"/>
      <c r="X175" s="55"/>
      <c r="Z175" s="144"/>
      <c r="AA175" s="144"/>
      <c r="AC175" s="81">
        <f>SUM(AC168:AC173)</f>
        <v>9369.386352265783</v>
      </c>
    </row>
    <row r="176" spans="1:51" x14ac:dyDescent="0.25">
      <c r="A176" s="22"/>
      <c r="B176" s="21" t="s">
        <v>158</v>
      </c>
      <c r="C176" s="92"/>
      <c r="D176" s="93"/>
      <c r="L176" s="94"/>
      <c r="N176" s="279" t="s">
        <v>255</v>
      </c>
      <c r="Q176" s="55"/>
      <c r="R176" s="55"/>
      <c r="T176" s="55"/>
      <c r="U176" s="55"/>
      <c r="W176" s="55"/>
      <c r="X176" s="55"/>
      <c r="Z176" s="144"/>
      <c r="AA176" s="144"/>
      <c r="AC176" s="81"/>
    </row>
    <row r="177" spans="1:50" x14ac:dyDescent="0.25">
      <c r="A177" s="22"/>
      <c r="B177" s="336"/>
      <c r="C177" s="92"/>
      <c r="D177" s="443"/>
      <c r="E177" s="93"/>
      <c r="G177" s="387"/>
      <c r="H177" s="84"/>
      <c r="L177" s="94"/>
      <c r="Q177" s="55"/>
      <c r="R177" s="55"/>
      <c r="T177" s="55"/>
      <c r="U177" s="55"/>
      <c r="W177" s="55"/>
      <c r="X177" s="55"/>
      <c r="Z177" s="144"/>
      <c r="AA177" s="144"/>
      <c r="AC177" s="81"/>
    </row>
    <row r="178" spans="1:50" x14ac:dyDescent="0.25">
      <c r="A178" s="22"/>
      <c r="Q178" s="55"/>
      <c r="R178" s="55"/>
      <c r="T178" s="55"/>
      <c r="U178" s="55"/>
      <c r="W178" s="55"/>
      <c r="X178" s="55"/>
      <c r="Z178" s="144"/>
      <c r="AA178" s="144"/>
      <c r="AC178" s="81"/>
    </row>
    <row r="179" spans="1:50" ht="15" x14ac:dyDescent="0.4">
      <c r="A179" s="22"/>
      <c r="B179" s="21" t="s">
        <v>87</v>
      </c>
      <c r="C179" s="13" t="s">
        <v>25</v>
      </c>
      <c r="D179" s="11">
        <v>151.38</v>
      </c>
      <c r="E179" s="93" t="s">
        <v>88</v>
      </c>
      <c r="G179" s="89" t="s">
        <v>162</v>
      </c>
      <c r="H179" s="81">
        <f>ROUND(D179*E173*J$168,0)</f>
        <v>85825978</v>
      </c>
      <c r="I179" s="89"/>
      <c r="J179" s="89"/>
      <c r="K179" s="89"/>
      <c r="L179" s="142"/>
      <c r="Q179" s="55"/>
      <c r="R179" s="55"/>
      <c r="T179" s="55"/>
      <c r="U179" s="55"/>
      <c r="W179" s="55"/>
      <c r="X179" s="55"/>
      <c r="Z179" s="85"/>
      <c r="AA179" s="85"/>
      <c r="AC179" s="81"/>
    </row>
    <row r="180" spans="1:50" ht="15" x14ac:dyDescent="0.4">
      <c r="A180" s="22"/>
      <c r="B180" s="21"/>
      <c r="C180" s="13" t="s">
        <v>26</v>
      </c>
      <c r="D180" s="341">
        <f>D179</f>
        <v>151.38</v>
      </c>
      <c r="E180" s="93" t="s">
        <v>88</v>
      </c>
      <c r="G180" s="121" t="s">
        <v>163</v>
      </c>
      <c r="H180" s="122">
        <f>ROUND(D180*E174*J$168,0)</f>
        <v>170948464</v>
      </c>
      <c r="I180" s="89"/>
      <c r="J180" s="89"/>
      <c r="K180" s="89"/>
      <c r="L180" s="142"/>
      <c r="P180" s="336"/>
      <c r="Z180" s="144"/>
      <c r="AA180" s="144"/>
      <c r="AC180" s="81"/>
    </row>
    <row r="181" spans="1:50" ht="13.2" customHeight="1" x14ac:dyDescent="0.25">
      <c r="A181" s="22"/>
      <c r="B181" s="511"/>
      <c r="C181" s="511"/>
      <c r="D181" s="511"/>
      <c r="E181" s="511"/>
      <c r="F181" s="511"/>
      <c r="G181" s="89" t="s">
        <v>164</v>
      </c>
      <c r="H181" s="81">
        <f>SUM(H179:H180)</f>
        <v>256774442</v>
      </c>
      <c r="I181" s="89"/>
      <c r="J181" s="89"/>
      <c r="K181" s="89"/>
      <c r="L181" s="142"/>
      <c r="P181" s="403"/>
      <c r="Q181" s="403"/>
      <c r="R181" s="403"/>
      <c r="S181" s="403"/>
      <c r="T181" s="403"/>
      <c r="U181" s="403"/>
    </row>
    <row r="182" spans="1:50" x14ac:dyDescent="0.25">
      <c r="A182" s="22"/>
      <c r="B182" s="511"/>
      <c r="C182" s="511"/>
      <c r="D182" s="511"/>
      <c r="E182" s="511"/>
      <c r="F182" s="511"/>
      <c r="G182" s="89"/>
      <c r="H182" s="81"/>
      <c r="I182" s="89"/>
      <c r="J182" s="89"/>
      <c r="K182" s="89"/>
      <c r="L182" s="142"/>
      <c r="P182" s="403"/>
      <c r="Q182" s="403"/>
      <c r="R182" s="403"/>
      <c r="S182" s="403"/>
      <c r="T182" s="403"/>
      <c r="U182" s="403"/>
    </row>
    <row r="183" spans="1:50" x14ac:dyDescent="0.25">
      <c r="A183" s="22"/>
      <c r="B183" s="511"/>
      <c r="C183" s="511"/>
      <c r="D183" s="511"/>
      <c r="E183" s="511"/>
      <c r="F183" s="511"/>
      <c r="G183" s="89"/>
      <c r="H183" s="81"/>
      <c r="I183" s="89"/>
      <c r="J183" s="89"/>
      <c r="K183" s="89"/>
      <c r="L183" s="142"/>
      <c r="P183" s="403"/>
      <c r="Q183" s="403"/>
      <c r="R183" s="403"/>
      <c r="S183" s="403"/>
      <c r="T183" s="403"/>
      <c r="U183" s="403"/>
    </row>
    <row r="184" spans="1:50" x14ac:dyDescent="0.25">
      <c r="A184" s="22"/>
      <c r="B184" s="21"/>
      <c r="D184" s="11"/>
      <c r="E184" s="93"/>
      <c r="G184" s="89"/>
      <c r="H184" s="81"/>
      <c r="I184" s="89"/>
      <c r="J184" s="89"/>
      <c r="K184" s="89"/>
      <c r="L184" s="142"/>
      <c r="P184" s="403"/>
      <c r="Q184" s="403"/>
      <c r="R184" s="403"/>
      <c r="S184" s="403"/>
      <c r="T184" s="403"/>
      <c r="U184" s="403"/>
    </row>
    <row r="185" spans="1:50" x14ac:dyDescent="0.25">
      <c r="A185" s="22"/>
      <c r="B185" s="13" t="s">
        <v>153</v>
      </c>
      <c r="I185" s="89"/>
      <c r="J185" s="89"/>
      <c r="K185" s="89"/>
      <c r="L185" s="142"/>
      <c r="P185" s="403"/>
      <c r="Q185" s="403"/>
      <c r="R185" s="403"/>
      <c r="S185" s="403"/>
      <c r="T185" s="403"/>
      <c r="U185" s="403"/>
    </row>
    <row r="186" spans="1:50" x14ac:dyDescent="0.25">
      <c r="A186" s="22"/>
      <c r="B186" s="17" t="s">
        <v>154</v>
      </c>
      <c r="I186" s="89"/>
      <c r="J186" s="89"/>
      <c r="K186" s="89"/>
      <c r="L186" s="142"/>
      <c r="P186" s="403"/>
      <c r="Q186" s="403"/>
      <c r="R186" s="403"/>
      <c r="S186" s="403"/>
      <c r="T186" s="403"/>
      <c r="U186" s="403"/>
    </row>
    <row r="187" spans="1:50" x14ac:dyDescent="0.25">
      <c r="A187" s="22"/>
      <c r="B187" s="17"/>
      <c r="C187" s="105" t="str">
        <f>" ---------- Rate "&amp;C30&amp;" ----------"</f>
        <v xml:space="preserve"> ---------- Rate  ----------</v>
      </c>
      <c r="D187" s="106"/>
      <c r="E187" s="106"/>
      <c r="I187" s="89"/>
      <c r="J187" s="89"/>
      <c r="K187" s="89"/>
      <c r="L187" s="142"/>
      <c r="P187" s="286"/>
      <c r="Q187" s="286"/>
      <c r="R187" s="286"/>
      <c r="S187" s="286"/>
      <c r="T187" s="286"/>
      <c r="U187" s="286"/>
    </row>
    <row r="188" spans="1:50" x14ac:dyDescent="0.25">
      <c r="A188" s="22"/>
      <c r="C188" s="38" t="s">
        <v>140</v>
      </c>
      <c r="E188" s="38" t="s">
        <v>141</v>
      </c>
      <c r="I188" s="89"/>
      <c r="J188" s="89"/>
      <c r="K188" s="89"/>
      <c r="L188" s="142"/>
      <c r="P188" s="286"/>
      <c r="Q188" s="286"/>
      <c r="R188" s="286"/>
      <c r="S188" s="286"/>
      <c r="T188" s="286"/>
      <c r="U188" s="286"/>
    </row>
    <row r="189" spans="1:50" x14ac:dyDescent="0.25">
      <c r="A189" s="22"/>
      <c r="B189" s="89" t="s">
        <v>142</v>
      </c>
      <c r="C189" s="107"/>
      <c r="E189" s="118">
        <f>SUM(R65/(R65+R66))</f>
        <v>0.53644158770316963</v>
      </c>
      <c r="F189" s="112"/>
      <c r="I189" s="89"/>
      <c r="J189" s="89"/>
      <c r="K189" s="89"/>
      <c r="L189" s="142"/>
      <c r="AX189" s="118">
        <f>(37892894+37550803+37185127+37530967+385012043+415293692+408537249+370243592)/(37892894+37550803+37185127+37530967+385012043+415293692+408537249+370243592+28757462+38416028+35549073+25251802+243248593+403536675+352244990+172217638)</f>
        <v>0.5709969556930804</v>
      </c>
    </row>
    <row r="190" spans="1:50" x14ac:dyDescent="0.25">
      <c r="A190" s="22"/>
      <c r="B190" s="89" t="s">
        <v>144</v>
      </c>
      <c r="C190" s="108"/>
      <c r="E190" s="109">
        <f>1-E189</f>
        <v>0.46355841229683037</v>
      </c>
      <c r="G190" s="53"/>
      <c r="I190" s="89"/>
      <c r="J190" s="89"/>
      <c r="K190" s="89"/>
      <c r="L190" s="142"/>
    </row>
    <row r="191" spans="1:50" x14ac:dyDescent="0.25">
      <c r="A191" s="22"/>
      <c r="B191" s="110" t="s">
        <v>155</v>
      </c>
      <c r="C191" s="111">
        <v>0.86519999999999997</v>
      </c>
      <c r="D191" s="13" t="s">
        <v>143</v>
      </c>
      <c r="J191" s="89"/>
      <c r="K191" s="89"/>
      <c r="L191" s="142"/>
      <c r="P191" s="336"/>
    </row>
    <row r="192" spans="1:50" x14ac:dyDescent="0.25">
      <c r="A192" s="13"/>
      <c r="J192" s="89"/>
      <c r="K192" s="89"/>
      <c r="L192" s="142"/>
      <c r="P192" s="87"/>
      <c r="Q192" s="87"/>
      <c r="R192" s="87"/>
      <c r="S192" s="87"/>
      <c r="T192" s="87"/>
      <c r="U192" s="402"/>
    </row>
    <row r="193" spans="1:21" x14ac:dyDescent="0.25">
      <c r="A193" s="18" t="s">
        <v>89</v>
      </c>
      <c r="B193" s="16" t="s">
        <v>90</v>
      </c>
      <c r="Q193" s="402"/>
      <c r="R193" s="402"/>
      <c r="S193" s="402"/>
      <c r="T193" s="402"/>
      <c r="U193" s="402"/>
    </row>
    <row r="194" spans="1:21" x14ac:dyDescent="0.25">
      <c r="A194" s="18"/>
      <c r="B194" s="17" t="s">
        <v>357</v>
      </c>
      <c r="F194" s="451">
        <v>2</v>
      </c>
      <c r="G194" s="13" t="s">
        <v>92</v>
      </c>
      <c r="Q194" s="402"/>
      <c r="R194" s="402"/>
      <c r="S194" s="402"/>
      <c r="T194" s="402"/>
      <c r="U194" s="402"/>
    </row>
    <row r="195" spans="1:21" x14ac:dyDescent="0.25">
      <c r="A195" s="18"/>
      <c r="B195" s="17" t="s">
        <v>371</v>
      </c>
      <c r="F195" s="452">
        <v>8.57</v>
      </c>
      <c r="G195" s="13" t="s">
        <v>92</v>
      </c>
      <c r="Q195" s="402"/>
      <c r="R195" s="402"/>
      <c r="S195" s="402"/>
      <c r="T195" s="402"/>
      <c r="U195" s="402"/>
    </row>
    <row r="196" spans="1:21" x14ac:dyDescent="0.25">
      <c r="A196" s="22"/>
      <c r="B196" s="17" t="s">
        <v>356</v>
      </c>
      <c r="F196" s="449">
        <f>F194+F195</f>
        <v>10.57</v>
      </c>
      <c r="G196" s="13" t="s">
        <v>92</v>
      </c>
      <c r="P196" s="391"/>
      <c r="Q196" s="391"/>
      <c r="R196" s="391"/>
      <c r="S196" s="391"/>
      <c r="T196" s="391"/>
      <c r="U196" s="391"/>
    </row>
    <row r="197" spans="1:21" x14ac:dyDescent="0.25">
      <c r="A197" s="22"/>
      <c r="B197" s="17"/>
      <c r="F197" s="93"/>
    </row>
    <row r="198" spans="1:21" x14ac:dyDescent="0.25">
      <c r="A198" s="22"/>
      <c r="B198" s="16"/>
      <c r="E198" s="92"/>
      <c r="F198" s="93"/>
    </row>
    <row r="199" spans="1:21" x14ac:dyDescent="0.25">
      <c r="A199" s="18" t="s">
        <v>93</v>
      </c>
      <c r="B199" s="16" t="s">
        <v>167</v>
      </c>
    </row>
    <row r="200" spans="1:21" x14ac:dyDescent="0.25">
      <c r="A200" s="18"/>
      <c r="B200" s="16"/>
    </row>
    <row r="201" spans="1:21" x14ac:dyDescent="0.25">
      <c r="A201" s="18"/>
      <c r="B201" s="16"/>
      <c r="C201" s="26"/>
      <c r="D201" s="26"/>
      <c r="E201" s="26" t="str">
        <f>+E$13</f>
        <v>RT{1}</v>
      </c>
      <c r="F201" s="26" t="str">
        <f>+F$13</f>
        <v>RS{2}</v>
      </c>
      <c r="G201" s="26" t="str">
        <f>+G$13</f>
        <v>GS{3}</v>
      </c>
      <c r="H201" s="155" t="str">
        <f>+H$58</f>
        <v>GST {4}</v>
      </c>
      <c r="I201" s="26" t="str">
        <f>+I$13</f>
        <v>OL/SL</v>
      </c>
      <c r="J201" s="26"/>
      <c r="K201" s="26"/>
    </row>
    <row r="202" spans="1:21" x14ac:dyDescent="0.25">
      <c r="A202" s="18"/>
      <c r="B202" s="16"/>
    </row>
    <row r="203" spans="1:21" x14ac:dyDescent="0.25">
      <c r="A203" s="22"/>
      <c r="B203" s="89" t="s">
        <v>94</v>
      </c>
      <c r="C203" s="145"/>
      <c r="D203" s="145"/>
      <c r="E203" s="146">
        <v>3.8420000000000001</v>
      </c>
      <c r="F203" s="146">
        <v>4.6269999999999998</v>
      </c>
      <c r="G203" s="146">
        <v>4.6150000000000002</v>
      </c>
      <c r="H203" s="146">
        <v>3.69</v>
      </c>
      <c r="I203" s="146">
        <v>3.508</v>
      </c>
      <c r="J203" s="145"/>
      <c r="K203" s="145"/>
      <c r="L203" s="145"/>
      <c r="M203" s="145"/>
    </row>
    <row r="204" spans="1:21" x14ac:dyDescent="0.25">
      <c r="A204" s="22"/>
      <c r="B204" s="89"/>
      <c r="C204" s="145"/>
      <c r="D204" s="145"/>
      <c r="E204" s="145"/>
      <c r="F204" s="145"/>
      <c r="G204" s="145"/>
      <c r="H204" s="145"/>
      <c r="I204" s="145"/>
      <c r="J204" s="145"/>
      <c r="K204" s="145"/>
      <c r="L204" s="145"/>
      <c r="M204" s="145"/>
    </row>
    <row r="205" spans="1:21" x14ac:dyDescent="0.25">
      <c r="A205" s="22"/>
      <c r="B205" s="89" t="s">
        <v>131</v>
      </c>
      <c r="C205" s="145"/>
      <c r="D205" s="145"/>
      <c r="E205" s="146">
        <f>$H$181*(E$168/$J$168)/E$72</f>
        <v>20.005743881493643</v>
      </c>
      <c r="F205" s="146">
        <f>$H$181*(F$168/$J$168)/F$72</f>
        <v>18.624849186683683</v>
      </c>
      <c r="G205" s="146">
        <f>$H$181*(G$168/$J$168)/G$72</f>
        <v>15.099173878590198</v>
      </c>
      <c r="H205" s="146">
        <f>$H$181*(H$168/$J$168)/H$72</f>
        <v>16.195885101984601</v>
      </c>
      <c r="I205" s="146">
        <f>$H$181*(I$168/$J$168)/I$72</f>
        <v>0.11602943410722513</v>
      </c>
      <c r="J205" s="145"/>
      <c r="K205" s="145"/>
      <c r="L205" s="145"/>
      <c r="M205" s="145"/>
    </row>
    <row r="206" spans="1:21" x14ac:dyDescent="0.25">
      <c r="A206" s="22"/>
      <c r="B206" s="89" t="s">
        <v>198</v>
      </c>
      <c r="C206" s="145"/>
      <c r="D206" s="145"/>
      <c r="E206" s="146">
        <f>$H$179*(E$168/$J$168)/SUM(E65:E68)</f>
        <v>20.650256206887466</v>
      </c>
      <c r="F206" s="146">
        <f>$H$179*(F$168/$J$168)/SUM(F65:F68)</f>
        <v>14.965078114879734</v>
      </c>
      <c r="G206" s="146">
        <f>$H$179*(G$168/$J$168)/SUM(G65:G68)</f>
        <v>13.817935080305723</v>
      </c>
      <c r="H206" s="146"/>
      <c r="I206" s="146">
        <f>$H$179*(I$168/$J$168)/SUM(I65:I68)</f>
        <v>0.11641251227132239</v>
      </c>
      <c r="J206" s="145"/>
      <c r="K206" s="145"/>
      <c r="L206" s="145"/>
      <c r="M206" s="145"/>
    </row>
    <row r="207" spans="1:21" x14ac:dyDescent="0.25">
      <c r="A207" s="22"/>
      <c r="B207" s="89" t="s">
        <v>199</v>
      </c>
      <c r="C207" s="145"/>
      <c r="D207" s="145"/>
      <c r="E207" s="146">
        <f>$H$179*(E$168/$J$168)/R165</f>
        <v>50.976406965942047</v>
      </c>
      <c r="F207" s="146"/>
      <c r="G207" s="146"/>
      <c r="H207" s="146">
        <f>$H$179*(H$168/$J$168)/Q153</f>
        <v>36.464570420200531</v>
      </c>
      <c r="I207" s="146"/>
      <c r="J207" s="145"/>
      <c r="K207" s="145"/>
      <c r="L207" s="145"/>
      <c r="M207" s="240"/>
    </row>
    <row r="208" spans="1:21" x14ac:dyDescent="0.25">
      <c r="A208" s="22"/>
      <c r="B208" s="89" t="s">
        <v>201</v>
      </c>
      <c r="C208" s="145"/>
      <c r="D208" s="145"/>
      <c r="E208" s="146">
        <f>$H$180*(E$168/$J$168)/(E72-SUM(E65:E68))</f>
        <v>19.69709723013143</v>
      </c>
      <c r="F208" s="146">
        <f>$H$180*(F$168/$J$168)/(F72-SUM(F65:F68))</f>
        <v>21.231680027808789</v>
      </c>
      <c r="G208" s="146">
        <f>$H$180*(G$168/$J$168)/(G72-SUM(G65:G68))</f>
        <v>15.836393304839492</v>
      </c>
      <c r="H208" s="146"/>
      <c r="I208" s="146">
        <f>$H$180*(I$168/$J$168)/(I72-SUM(I65:I68))</f>
        <v>0.1158380558683451</v>
      </c>
      <c r="J208" s="145"/>
      <c r="K208" s="145"/>
      <c r="L208" s="145"/>
      <c r="M208" s="145"/>
    </row>
    <row r="209" spans="1:18" x14ac:dyDescent="0.25">
      <c r="A209" s="22"/>
      <c r="B209" s="89" t="s">
        <v>200</v>
      </c>
      <c r="C209" s="145"/>
      <c r="D209" s="145"/>
      <c r="E209" s="146">
        <f>$H$180*(E$168/$J$168)/R170</f>
        <v>55.732923446192878</v>
      </c>
      <c r="F209" s="147"/>
      <c r="G209" s="147"/>
      <c r="H209" s="146">
        <f>$H$180*(H$168/$J$168)/Q157</f>
        <v>36.098993395352934</v>
      </c>
      <c r="I209" s="146"/>
      <c r="J209" s="145"/>
      <c r="K209" s="145"/>
      <c r="L209" s="145"/>
      <c r="M209" s="240" t="s">
        <v>255</v>
      </c>
    </row>
    <row r="210" spans="1:18" x14ac:dyDescent="0.25">
      <c r="A210" s="22"/>
      <c r="B210" s="89"/>
      <c r="C210" s="145"/>
      <c r="D210" s="145"/>
      <c r="E210" s="146"/>
      <c r="F210" s="146"/>
      <c r="G210" s="146"/>
      <c r="H210" s="146"/>
      <c r="I210" s="146"/>
      <c r="J210" s="145"/>
      <c r="K210" s="145"/>
      <c r="L210" s="145"/>
      <c r="M210" s="145"/>
    </row>
    <row r="211" spans="1:18" ht="15.6" x14ac:dyDescent="0.3">
      <c r="A211" s="22"/>
      <c r="B211" s="519" t="str">
        <f>$B$1</f>
        <v xml:space="preserve">Jersey Central Power &amp; Light </v>
      </c>
      <c r="C211" s="519"/>
      <c r="D211" s="519"/>
      <c r="E211" s="519"/>
      <c r="F211" s="519"/>
      <c r="G211" s="519"/>
      <c r="H211" s="519"/>
      <c r="I211" s="519"/>
      <c r="J211" s="519"/>
      <c r="K211" s="519"/>
      <c r="L211" s="519"/>
      <c r="M211" s="145"/>
    </row>
    <row r="212" spans="1:18" ht="15.6" x14ac:dyDescent="0.3">
      <c r="A212" s="22"/>
      <c r="B212" s="519" t="str">
        <f>$B$2</f>
        <v>Attachment 2</v>
      </c>
      <c r="C212" s="519"/>
      <c r="D212" s="519"/>
      <c r="E212" s="519"/>
      <c r="F212" s="519"/>
      <c r="G212" s="519"/>
      <c r="H212" s="519"/>
      <c r="I212" s="519"/>
      <c r="J212" s="519"/>
      <c r="K212" s="519"/>
      <c r="L212" s="519"/>
      <c r="M212" s="145"/>
      <c r="N212" s="145"/>
      <c r="O212" s="145"/>
      <c r="P212" s="145"/>
      <c r="Q212" s="145"/>
      <c r="R212" s="145"/>
    </row>
    <row r="213" spans="1:18" x14ac:dyDescent="0.25">
      <c r="A213" s="22"/>
      <c r="E213" s="145"/>
      <c r="F213" s="145"/>
      <c r="G213" s="145"/>
      <c r="H213" s="145"/>
      <c r="L213" s="145"/>
      <c r="M213" s="145"/>
      <c r="N213" s="145"/>
      <c r="O213" s="145"/>
      <c r="P213" s="145"/>
      <c r="Q213" s="145"/>
      <c r="R213" s="145"/>
    </row>
    <row r="214" spans="1:18" x14ac:dyDescent="0.25">
      <c r="A214" s="22"/>
      <c r="M214" s="145"/>
      <c r="N214" s="145"/>
      <c r="O214" s="145"/>
      <c r="P214" s="145"/>
      <c r="Q214" s="145"/>
      <c r="R214" s="145"/>
    </row>
    <row r="215" spans="1:18" x14ac:dyDescent="0.25">
      <c r="A215" s="18" t="s">
        <v>95</v>
      </c>
      <c r="B215" s="16" t="s">
        <v>96</v>
      </c>
      <c r="M215" s="145"/>
      <c r="N215" s="145"/>
      <c r="O215" s="145"/>
      <c r="P215" s="145"/>
      <c r="Q215" s="145"/>
      <c r="R215" s="145"/>
    </row>
    <row r="216" spans="1:18" x14ac:dyDescent="0.25">
      <c r="A216" s="22"/>
      <c r="B216" s="16"/>
      <c r="M216" s="145"/>
      <c r="N216" s="145"/>
      <c r="O216" s="145"/>
      <c r="P216" s="145"/>
      <c r="Q216" s="145"/>
      <c r="R216" s="145"/>
    </row>
    <row r="217" spans="1:18" x14ac:dyDescent="0.25">
      <c r="A217" s="22"/>
      <c r="B217" s="16" t="s">
        <v>97</v>
      </c>
      <c r="M217" s="145"/>
      <c r="N217" s="145"/>
      <c r="O217" s="145"/>
      <c r="P217" s="145"/>
      <c r="Q217" s="145"/>
      <c r="R217" s="145"/>
    </row>
    <row r="218" spans="1:18" x14ac:dyDescent="0.25">
      <c r="A218" s="22"/>
      <c r="B218" s="17" t="s">
        <v>219</v>
      </c>
      <c r="M218" s="145"/>
      <c r="N218" s="145"/>
      <c r="O218" s="145"/>
      <c r="P218" s="145"/>
      <c r="Q218" s="145"/>
      <c r="R218" s="145"/>
    </row>
    <row r="219" spans="1:18" x14ac:dyDescent="0.25">
      <c r="A219" s="22"/>
      <c r="B219" s="17" t="s">
        <v>21</v>
      </c>
      <c r="M219" s="145"/>
      <c r="N219" s="145"/>
      <c r="O219" s="145"/>
      <c r="P219" s="145"/>
      <c r="Q219" s="145"/>
      <c r="R219" s="145"/>
    </row>
    <row r="220" spans="1:18" x14ac:dyDescent="0.25">
      <c r="A220" s="22"/>
      <c r="C220" s="26"/>
      <c r="D220" s="26"/>
      <c r="E220" s="26" t="str">
        <f>+E$13</f>
        <v>RT{1}</v>
      </c>
      <c r="F220" s="26" t="str">
        <f>+F$13</f>
        <v>RS{2}</v>
      </c>
      <c r="G220" s="26" t="str">
        <f>+G$13</f>
        <v>GS{3}</v>
      </c>
      <c r="H220" s="155" t="str">
        <f>+H$58</f>
        <v>GST {4}</v>
      </c>
      <c r="I220" s="26" t="str">
        <f>+I$13</f>
        <v>OL/SL</v>
      </c>
      <c r="J220" s="26"/>
      <c r="K220" s="26"/>
      <c r="M220" s="145"/>
      <c r="N220" s="145"/>
      <c r="O220" s="145"/>
      <c r="P220" s="145"/>
      <c r="Q220" s="145"/>
      <c r="R220" s="145"/>
    </row>
    <row r="221" spans="1:18" x14ac:dyDescent="0.25">
      <c r="A221" s="22"/>
      <c r="C221" s="26"/>
      <c r="D221" s="26"/>
      <c r="E221" s="74"/>
      <c r="F221" s="26"/>
      <c r="G221" s="26"/>
      <c r="M221" s="145"/>
      <c r="N221" s="145"/>
      <c r="O221" s="145"/>
      <c r="P221" s="145"/>
      <c r="Q221" s="145"/>
      <c r="R221" s="145"/>
    </row>
    <row r="222" spans="1:18" x14ac:dyDescent="0.25">
      <c r="A222" s="22"/>
      <c r="B222" s="28" t="s">
        <v>17</v>
      </c>
      <c r="C222" s="74"/>
      <c r="D222" s="74"/>
      <c r="E222" s="74">
        <f>+E152+(E$95*$F$196)+E$203+E206</f>
        <v>70.968224483291095</v>
      </c>
      <c r="F222" s="74">
        <f>+F152+(F$95*$F$196)+F$203+F206</f>
        <v>66.178333900759583</v>
      </c>
      <c r="G222" s="74">
        <f>+G152+(G$95*$F$196)+G$203+G206</f>
        <v>66.071174432043691</v>
      </c>
      <c r="H222" s="74"/>
      <c r="I222" s="74">
        <f>+I152+(I$95*$F$196)+I$203+I206</f>
        <v>45.299694697549874</v>
      </c>
      <c r="J222" s="74"/>
      <c r="K222" s="74"/>
      <c r="L222" s="74"/>
      <c r="M222" s="145"/>
      <c r="N222" s="145"/>
      <c r="O222" s="145"/>
      <c r="P222" s="145"/>
      <c r="Q222" s="145"/>
      <c r="R222" s="145"/>
    </row>
    <row r="223" spans="1:18" x14ac:dyDescent="0.25">
      <c r="A223" s="22"/>
      <c r="B223" s="77" t="s">
        <v>72</v>
      </c>
      <c r="C223" s="74"/>
      <c r="D223" s="74"/>
      <c r="E223" s="74">
        <f>+E153+(E$95*$F$196)+E$203+E$207</f>
        <v>111.90290542924566</v>
      </c>
      <c r="F223" s="74"/>
      <c r="G223" s="74"/>
      <c r="H223" s="74">
        <f>+H153+(H$95*$F$196)+H$203+H$207</f>
        <v>97.508924526899364</v>
      </c>
      <c r="I223" s="74"/>
      <c r="J223" s="74"/>
      <c r="K223" s="74"/>
      <c r="M223" s="145"/>
      <c r="N223" s="145"/>
      <c r="O223" s="145"/>
      <c r="P223" s="145"/>
      <c r="Q223" s="145"/>
      <c r="R223" s="145"/>
    </row>
    <row r="224" spans="1:18" x14ac:dyDescent="0.25">
      <c r="A224" s="22"/>
      <c r="B224" s="77" t="s">
        <v>73</v>
      </c>
      <c r="C224" s="74"/>
      <c r="D224" s="74"/>
      <c r="E224" s="74">
        <f>+E154+(E$95*$F$196)+E$203</f>
        <v>43.094441666007484</v>
      </c>
      <c r="F224" s="74"/>
      <c r="G224" s="74"/>
      <c r="H224" s="74">
        <f>+H154+(H$95*$F$196)+H$203</f>
        <v>43.605673181616936</v>
      </c>
      <c r="I224" s="74"/>
      <c r="J224" s="74"/>
      <c r="K224" s="74"/>
      <c r="M224" s="145"/>
      <c r="N224" s="145"/>
      <c r="O224" s="145"/>
      <c r="P224" s="145"/>
      <c r="Q224" s="145"/>
      <c r="R224" s="145"/>
    </row>
    <row r="225" spans="1:18" x14ac:dyDescent="0.25">
      <c r="A225" s="22"/>
      <c r="B225" s="89" t="s">
        <v>142</v>
      </c>
      <c r="C225" s="74"/>
      <c r="D225" s="74"/>
      <c r="E225" s="74"/>
      <c r="F225" s="74">
        <f>(F222*SUM(F65:F68)-C191*10*E190*SUM(F65:F68))/SUM(F65:F68)</f>
        <v>62.167626517567406</v>
      </c>
      <c r="G225" s="74"/>
      <c r="H225" s="74"/>
      <c r="I225" s="74"/>
      <c r="J225" s="74"/>
      <c r="K225" s="74"/>
      <c r="M225" s="145"/>
      <c r="N225" s="145"/>
      <c r="O225" s="145"/>
      <c r="P225" s="145"/>
      <c r="Q225" s="145"/>
      <c r="R225" s="145"/>
    </row>
    <row r="226" spans="1:18" x14ac:dyDescent="0.25">
      <c r="A226" s="22"/>
      <c r="B226" s="89" t="s">
        <v>144</v>
      </c>
      <c r="C226" s="74"/>
      <c r="D226" s="74"/>
      <c r="E226" s="74"/>
      <c r="F226" s="74">
        <f>+F225+C191*10</f>
        <v>70.8196265175674</v>
      </c>
      <c r="G226" s="119"/>
      <c r="H226" s="74"/>
      <c r="I226" s="74"/>
      <c r="J226" s="74"/>
      <c r="K226" s="74"/>
      <c r="M226" s="145"/>
      <c r="N226" s="145"/>
      <c r="O226" s="145"/>
      <c r="P226" s="145"/>
      <c r="Q226" s="145"/>
      <c r="R226" s="145"/>
    </row>
    <row r="227" spans="1:18" x14ac:dyDescent="0.25">
      <c r="A227" s="22"/>
      <c r="C227" s="74"/>
      <c r="D227" s="74"/>
      <c r="E227" s="74"/>
      <c r="F227" s="74"/>
      <c r="G227" s="74"/>
      <c r="H227" s="74"/>
      <c r="I227" s="74"/>
      <c r="J227" s="74"/>
      <c r="K227" s="74"/>
      <c r="M227" s="145"/>
      <c r="N227" s="145"/>
      <c r="O227" s="145"/>
      <c r="P227" s="145"/>
      <c r="Q227" s="145"/>
      <c r="R227" s="145"/>
    </row>
    <row r="228" spans="1:18" x14ac:dyDescent="0.25">
      <c r="A228" s="22"/>
      <c r="B228" s="28" t="s">
        <v>18</v>
      </c>
      <c r="C228" s="74"/>
      <c r="D228" s="74"/>
      <c r="E228" s="74">
        <f>+E156+(E$95*$F$196)+E$203+E208</f>
        <v>75.659563702980179</v>
      </c>
      <c r="F228" s="74">
        <f>+F156+(F$95*$F$196)+F$203+F208</f>
        <v>77.581833230899306</v>
      </c>
      <c r="G228" s="74">
        <f>+G156+(G$95*$F$196)+G$203+G208</f>
        <v>72.900681583806588</v>
      </c>
      <c r="H228" s="74"/>
      <c r="I228" s="74">
        <f>+I156+(I$95*$F$196)+I$203+I208</f>
        <v>51.663299884218453</v>
      </c>
      <c r="J228" s="74"/>
      <c r="K228" s="74"/>
      <c r="L228" s="74"/>
      <c r="M228" s="145"/>
      <c r="N228" s="145"/>
      <c r="O228" s="145"/>
      <c r="P228" s="145"/>
      <c r="Q228" s="145"/>
      <c r="R228" s="145"/>
    </row>
    <row r="229" spans="1:18" x14ac:dyDescent="0.25">
      <c r="A229" s="22"/>
      <c r="B229" s="77" t="s">
        <v>72</v>
      </c>
      <c r="C229" s="74"/>
      <c r="D229" s="74"/>
      <c r="E229" s="74">
        <f>+E157+(E$95*$F$196)+E$203+E$209</f>
        <v>124.2243154529323</v>
      </c>
      <c r="F229" s="74"/>
      <c r="G229" s="74"/>
      <c r="H229" s="74">
        <f>+H157+(H$95*$F$196)+H$203+H$209</f>
        <v>100.65421308892546</v>
      </c>
      <c r="I229" s="74"/>
      <c r="J229" s="74"/>
      <c r="K229" s="74"/>
      <c r="M229" s="145"/>
      <c r="N229" s="145"/>
      <c r="O229" s="145"/>
      <c r="P229" s="145"/>
      <c r="Q229" s="145"/>
      <c r="R229" s="145"/>
    </row>
    <row r="230" spans="1:18" x14ac:dyDescent="0.25">
      <c r="A230" s="22"/>
      <c r="B230" s="77" t="s">
        <v>73</v>
      </c>
      <c r="C230" s="74"/>
      <c r="D230" s="74"/>
      <c r="E230" s="74">
        <f>+E158+(E$95*$F$196)+E$203</f>
        <v>49.114342029005215</v>
      </c>
      <c r="F230" s="74"/>
      <c r="G230" s="74"/>
      <c r="H230" s="74">
        <f>+H158+(H$95*$F$196)+H$203</f>
        <v>49.967803991846019</v>
      </c>
      <c r="I230" s="74"/>
      <c r="J230" s="74"/>
      <c r="K230" s="74"/>
      <c r="M230" s="145"/>
      <c r="N230" s="145"/>
      <c r="O230" s="145"/>
      <c r="P230" s="145"/>
      <c r="Q230" s="145"/>
      <c r="R230" s="145"/>
    </row>
    <row r="231" spans="1:18" x14ac:dyDescent="0.25">
      <c r="A231" s="22"/>
      <c r="C231" s="74"/>
      <c r="D231" s="74"/>
      <c r="E231" s="74"/>
      <c r="F231" s="74"/>
      <c r="G231" s="74"/>
      <c r="H231" s="74"/>
      <c r="I231" s="74"/>
      <c r="J231" s="74"/>
      <c r="K231" s="74"/>
      <c r="M231" s="145"/>
      <c r="N231" s="145"/>
      <c r="O231" s="145"/>
      <c r="P231" s="145"/>
      <c r="Q231" s="145"/>
      <c r="R231" s="145"/>
    </row>
    <row r="232" spans="1:18" x14ac:dyDescent="0.25">
      <c r="A232" s="22"/>
      <c r="B232" s="13" t="s">
        <v>98</v>
      </c>
      <c r="C232" s="74"/>
      <c r="D232" s="74"/>
      <c r="E232" s="74">
        <f>+E160+(E$95*$F$196)+E$203+E205</f>
        <v>74.140440266206554</v>
      </c>
      <c r="F232" s="74">
        <f>+F160+(F$95*$F$196)+F$203+F205</f>
        <v>72.838114998339179</v>
      </c>
      <c r="G232" s="74">
        <f>+G160+(G$95*$F$196)+G$203+G205</f>
        <v>70.406280023848083</v>
      </c>
      <c r="H232" s="74">
        <f>((H223*SUMPRODUCT(H38:H41,H65:H68)+H224*SUMPRODUCT(T38:T41,H65:H68))+(H229*(SUMPRODUCT(H33:H37,H60:H64)+SUMPRODUCT(H42:H44,H69:H71))+H230*(SUMPRODUCT(T33:T37,H60:H64)+SUMPRODUCT(T42:T44,H69:H71))))/H72</f>
        <v>71.081033729535704</v>
      </c>
      <c r="I232" s="74">
        <f>+I160+(I$95*$F$196)+I$203+I205</f>
        <v>49.543285994146743</v>
      </c>
      <c r="J232" s="74"/>
      <c r="K232" s="74"/>
      <c r="L232" s="74"/>
      <c r="M232" s="145"/>
      <c r="N232" s="145"/>
      <c r="O232" s="145"/>
      <c r="P232" s="145"/>
      <c r="Q232" s="145"/>
      <c r="R232" s="145"/>
    </row>
    <row r="233" spans="1:18" x14ac:dyDescent="0.25">
      <c r="A233" s="22"/>
      <c r="C233" s="74"/>
      <c r="D233" s="74"/>
      <c r="E233" s="74"/>
      <c r="F233" s="74"/>
      <c r="G233" s="74"/>
      <c r="H233" s="74"/>
      <c r="I233" s="74"/>
      <c r="J233" s="74"/>
      <c r="K233" s="74"/>
      <c r="L233" s="74"/>
      <c r="M233" s="145"/>
      <c r="N233" s="145"/>
      <c r="O233" s="145"/>
      <c r="P233" s="145"/>
      <c r="Q233" s="145"/>
      <c r="R233" s="145"/>
    </row>
    <row r="234" spans="1:18" x14ac:dyDescent="0.25">
      <c r="A234" s="22"/>
      <c r="B234" s="16" t="s">
        <v>99</v>
      </c>
      <c r="M234" s="145"/>
      <c r="N234" s="145"/>
      <c r="O234" s="145"/>
      <c r="P234" s="145"/>
      <c r="Q234" s="145"/>
      <c r="R234" s="145"/>
    </row>
    <row r="235" spans="1:18" x14ac:dyDescent="0.25">
      <c r="A235" s="22"/>
      <c r="B235" s="17" t="s">
        <v>100</v>
      </c>
      <c r="M235" s="145"/>
      <c r="N235" s="145"/>
      <c r="O235" s="145"/>
      <c r="P235" s="145"/>
      <c r="Q235" s="145"/>
      <c r="R235" s="145"/>
    </row>
    <row r="236" spans="1:18" x14ac:dyDescent="0.25">
      <c r="A236" s="22"/>
      <c r="B236" s="17" t="s">
        <v>21</v>
      </c>
      <c r="M236" s="145"/>
      <c r="N236" s="145"/>
      <c r="O236" s="145"/>
      <c r="P236" s="145"/>
      <c r="Q236" s="145"/>
      <c r="R236" s="145"/>
    </row>
    <row r="237" spans="1:18" x14ac:dyDescent="0.25">
      <c r="A237" s="22"/>
      <c r="B237" s="77"/>
      <c r="C237" s="74"/>
      <c r="D237" s="74"/>
      <c r="I237" s="89"/>
      <c r="J237" s="80"/>
      <c r="K237" s="80"/>
      <c r="L237" s="93"/>
    </row>
    <row r="238" spans="1:18" x14ac:dyDescent="0.25">
      <c r="A238" s="22"/>
      <c r="C238" s="74"/>
      <c r="D238" s="74"/>
    </row>
    <row r="239" spans="1:18" x14ac:dyDescent="0.25">
      <c r="A239" s="22"/>
      <c r="B239" s="37" t="s">
        <v>101</v>
      </c>
      <c r="C239" s="74"/>
      <c r="D239" s="74"/>
      <c r="I239" s="96"/>
      <c r="L239" s="93"/>
    </row>
    <row r="240" spans="1:18" x14ac:dyDescent="0.25">
      <c r="A240" s="22"/>
      <c r="B240" s="77"/>
      <c r="C240" s="74"/>
      <c r="D240" s="74"/>
      <c r="I240" s="89"/>
      <c r="J240" s="97"/>
      <c r="K240" s="97"/>
      <c r="L240" s="93"/>
    </row>
    <row r="241" spans="1:12" ht="15.6" x14ac:dyDescent="0.3">
      <c r="A241" s="22"/>
      <c r="B241" s="519" t="str">
        <f>$B$1</f>
        <v xml:space="preserve">Jersey Central Power &amp; Light </v>
      </c>
      <c r="C241" s="519"/>
      <c r="D241" s="519"/>
      <c r="E241" s="519"/>
      <c r="F241" s="519"/>
      <c r="G241" s="519"/>
      <c r="H241" s="519"/>
      <c r="I241" s="519"/>
      <c r="J241" s="519"/>
      <c r="K241" s="519"/>
      <c r="L241" s="519"/>
    </row>
    <row r="242" spans="1:12" ht="15.6" x14ac:dyDescent="0.3">
      <c r="A242" s="22"/>
      <c r="B242" s="519" t="str">
        <f>$B$2</f>
        <v>Attachment 2</v>
      </c>
      <c r="C242" s="519"/>
      <c r="D242" s="519"/>
      <c r="E242" s="519"/>
      <c r="F242" s="519"/>
      <c r="G242" s="519"/>
      <c r="H242" s="519"/>
      <c r="I242" s="519"/>
      <c r="J242" s="519"/>
      <c r="K242" s="519"/>
      <c r="L242" s="519"/>
    </row>
    <row r="243" spans="1:12" ht="15.6" x14ac:dyDescent="0.3">
      <c r="A243" s="22"/>
      <c r="B243" s="166"/>
      <c r="C243" s="166"/>
      <c r="D243" s="166"/>
      <c r="E243" s="166"/>
      <c r="F243" s="166"/>
      <c r="G243" s="166"/>
      <c r="H243" s="166"/>
      <c r="I243" s="166"/>
      <c r="J243" s="166"/>
      <c r="K243" s="166"/>
      <c r="L243" s="166"/>
    </row>
    <row r="244" spans="1:12" ht="15.6" x14ac:dyDescent="0.3">
      <c r="A244" s="18" t="s">
        <v>106</v>
      </c>
      <c r="B244" s="163" t="s">
        <v>240</v>
      </c>
      <c r="C244" s="20"/>
      <c r="E244" s="165"/>
      <c r="F244" s="38"/>
      <c r="L244" s="166"/>
    </row>
    <row r="245" spans="1:12" ht="15.6" x14ac:dyDescent="0.3">
      <c r="B245" s="13" t="s">
        <v>241</v>
      </c>
      <c r="L245" s="166"/>
    </row>
    <row r="246" spans="1:12" ht="15.6" x14ac:dyDescent="0.3">
      <c r="E246" s="26" t="s">
        <v>61</v>
      </c>
      <c r="F246" s="26" t="s">
        <v>62</v>
      </c>
      <c r="G246" s="26" t="s">
        <v>65</v>
      </c>
      <c r="H246" s="26" t="s">
        <v>203</v>
      </c>
      <c r="I246" s="26" t="s">
        <v>55</v>
      </c>
      <c r="L246" s="166"/>
    </row>
    <row r="247" spans="1:12" ht="15.6" x14ac:dyDescent="0.3">
      <c r="L247" s="166"/>
    </row>
    <row r="248" spans="1:12" ht="15.6" x14ac:dyDescent="0.3">
      <c r="B248" s="28" t="s">
        <v>17</v>
      </c>
      <c r="E248" s="55">
        <f>'Composite Cost Allocation'!E110</f>
        <v>1856319.4371117004</v>
      </c>
      <c r="G248" s="55">
        <f>'Composite Cost Allocation'!G110</f>
        <v>2175930000</v>
      </c>
      <c r="I248" s="55">
        <f>'Composite Cost Allocation'!I110</f>
        <v>38075000</v>
      </c>
      <c r="L248" s="166"/>
    </row>
    <row r="249" spans="1:12" ht="15.6" x14ac:dyDescent="0.3">
      <c r="B249" s="77" t="s">
        <v>72</v>
      </c>
      <c r="E249" s="55">
        <f>'Composite Cost Allocation'!E111</f>
        <v>31192710</v>
      </c>
      <c r="H249" s="55">
        <f>'Composite Cost Allocation'!H111</f>
        <v>16257818.199999999</v>
      </c>
      <c r="L249" s="166"/>
    </row>
    <row r="250" spans="1:12" ht="15.6" x14ac:dyDescent="0.3">
      <c r="B250" s="77" t="s">
        <v>73</v>
      </c>
      <c r="E250" s="55">
        <f>'Composite Cost Allocation'!E112</f>
        <v>45804970.562888294</v>
      </c>
      <c r="H250" s="55">
        <f>'Composite Cost Allocation'!H112</f>
        <v>18662181.800000001</v>
      </c>
      <c r="L250" s="166"/>
    </row>
    <row r="251" spans="1:12" ht="15.6" x14ac:dyDescent="0.3">
      <c r="B251" s="89" t="s">
        <v>142</v>
      </c>
      <c r="F251" s="55">
        <f>'Composite Cost Allocation'!F113</f>
        <v>1918974000</v>
      </c>
      <c r="L251" s="166"/>
    </row>
    <row r="252" spans="1:12" ht="15.6" x14ac:dyDescent="0.3">
      <c r="B252" s="89" t="s">
        <v>144</v>
      </c>
      <c r="F252" s="55">
        <f>'Composite Cost Allocation'!F114</f>
        <v>1658254000</v>
      </c>
      <c r="L252" s="166"/>
    </row>
    <row r="253" spans="1:12" ht="15.6" x14ac:dyDescent="0.3">
      <c r="L253" s="166"/>
    </row>
    <row r="254" spans="1:12" ht="15.6" x14ac:dyDescent="0.3">
      <c r="B254" s="28" t="s">
        <v>18</v>
      </c>
      <c r="E254" s="55">
        <f>'Composite Cost Allocation'!E116</f>
        <v>3806484.1961644995</v>
      </c>
      <c r="F254" s="55">
        <f>'Composite Cost Allocation'!F116</f>
        <v>5022127000</v>
      </c>
      <c r="G254" s="55">
        <f>'Composite Cost Allocation'!G116</f>
        <v>3781623000</v>
      </c>
      <c r="I254" s="55">
        <f>'Composite Cost Allocation'!I116</f>
        <v>76214000</v>
      </c>
      <c r="L254" s="166"/>
    </row>
    <row r="255" spans="1:12" ht="15.6" x14ac:dyDescent="0.3">
      <c r="B255" s="77" t="s">
        <v>72</v>
      </c>
      <c r="E255" s="55">
        <f>'Composite Cost Allocation'!E117</f>
        <v>56845366.462860338</v>
      </c>
      <c r="H255" s="55">
        <f>'Composite Cost Allocation'!H117</f>
        <v>32710314.099999998</v>
      </c>
      <c r="L255" s="166"/>
    </row>
    <row r="256" spans="1:12" ht="15.6" x14ac:dyDescent="0.3">
      <c r="B256" s="77" t="s">
        <v>73</v>
      </c>
      <c r="E256" s="55">
        <f>'Composite Cost Allocation'!E118</f>
        <v>104010149.34097517</v>
      </c>
      <c r="H256" s="55">
        <f>'Composite Cost Allocation'!H118</f>
        <v>41881685.900000006</v>
      </c>
      <c r="L256" s="166"/>
    </row>
    <row r="257" spans="1:15" ht="15.6" x14ac:dyDescent="0.3">
      <c r="J257" s="26" t="s">
        <v>13</v>
      </c>
      <c r="K257" s="26"/>
      <c r="M257" s="266" t="s">
        <v>276</v>
      </c>
      <c r="N257" s="266" t="s">
        <v>277</v>
      </c>
    </row>
    <row r="258" spans="1:15" x14ac:dyDescent="0.25">
      <c r="B258" s="89" t="s">
        <v>162</v>
      </c>
      <c r="E258" s="55">
        <f>SUM(E248:E252)</f>
        <v>78854000</v>
      </c>
      <c r="F258" s="55">
        <f>SUM(F248:F252)</f>
        <v>3577228000</v>
      </c>
      <c r="G258" s="55">
        <f>SUM(G248:G252)</f>
        <v>2175930000</v>
      </c>
      <c r="H258" s="55">
        <f>SUM(H248:H252)</f>
        <v>34920000</v>
      </c>
      <c r="I258" s="55">
        <f>SUM(I248:I252)</f>
        <v>38075000</v>
      </c>
      <c r="J258" s="55">
        <f>SUM(E258:I258)</f>
        <v>5905007000</v>
      </c>
      <c r="K258" s="55"/>
      <c r="M258" s="281">
        <f>ROUND(J258*$E$95/1000,0)</f>
        <v>6601793</v>
      </c>
      <c r="N258" s="281">
        <f>ROUND(J258*$E$98/1000,0)</f>
        <v>6552902</v>
      </c>
    </row>
    <row r="259" spans="1:15" x14ac:dyDescent="0.25">
      <c r="B259" s="89" t="s">
        <v>163</v>
      </c>
      <c r="E259" s="138">
        <f>SUM(E254:E256)</f>
        <v>164662000</v>
      </c>
      <c r="F259" s="138">
        <f>SUM(F254:F256)</f>
        <v>5022127000</v>
      </c>
      <c r="G259" s="133">
        <f>SUM(G254:G256)</f>
        <v>3781623000</v>
      </c>
      <c r="H259" s="133">
        <f>SUM(H254:H256)</f>
        <v>74592000</v>
      </c>
      <c r="I259" s="133">
        <f>SUM(I254:I256)</f>
        <v>76214000</v>
      </c>
      <c r="J259" s="138">
        <f>SUM(E259:I259)</f>
        <v>9119218000</v>
      </c>
      <c r="K259" s="138"/>
      <c r="M259" s="281">
        <f>ROUND(J259*$E$95/1000,0)</f>
        <v>10195279</v>
      </c>
      <c r="N259" s="281">
        <f>ROUND(J259*$E$98/1000,0)</f>
        <v>10119775</v>
      </c>
    </row>
    <row r="260" spans="1:15" x14ac:dyDescent="0.25">
      <c r="B260" s="89" t="s">
        <v>164</v>
      </c>
      <c r="E260" s="55">
        <f>SUM(E258:E259)</f>
        <v>243516000</v>
      </c>
      <c r="F260" s="55">
        <f>SUM(F258:F259)</f>
        <v>8599355000</v>
      </c>
      <c r="G260" s="55">
        <f>SUM(G258:G259)</f>
        <v>5957553000</v>
      </c>
      <c r="H260" s="55">
        <f>SUM(H258:H259)</f>
        <v>109512000</v>
      </c>
      <c r="I260" s="55">
        <f>SUM(I258:I259)</f>
        <v>114289000</v>
      </c>
      <c r="J260" s="55">
        <f>SUM(E260:I260)</f>
        <v>15024225000</v>
      </c>
      <c r="K260" s="55"/>
      <c r="M260" s="282">
        <f>SUM(M258:M259)</f>
        <v>16797072</v>
      </c>
      <c r="N260" s="282">
        <f>SUM(N258:N259)</f>
        <v>16672677</v>
      </c>
    </row>
    <row r="261" spans="1:15" ht="15.6" x14ac:dyDescent="0.3">
      <c r="A261" s="22"/>
      <c r="B261" s="166"/>
      <c r="C261" s="166"/>
      <c r="D261" s="166"/>
      <c r="E261" s="166"/>
      <c r="F261" s="166"/>
      <c r="G261" s="166"/>
      <c r="H261" s="166"/>
      <c r="I261" s="166"/>
      <c r="J261" s="280" t="s">
        <v>255</v>
      </c>
      <c r="K261" s="280"/>
      <c r="L261" s="166"/>
    </row>
    <row r="262" spans="1:15" ht="15.6" x14ac:dyDescent="0.3">
      <c r="A262" s="22"/>
      <c r="B262" s="166"/>
      <c r="C262" s="166"/>
      <c r="D262" s="166"/>
      <c r="E262" s="166"/>
      <c r="F262" s="166"/>
      <c r="G262" s="166"/>
      <c r="H262" s="166"/>
      <c r="I262" s="166"/>
      <c r="J262" s="166"/>
      <c r="K262" s="166"/>
      <c r="L262" s="166"/>
    </row>
    <row r="264" spans="1:15" x14ac:dyDescent="0.25">
      <c r="A264" s="6" t="s">
        <v>133</v>
      </c>
      <c r="B264" s="1" t="s">
        <v>168</v>
      </c>
      <c r="C264"/>
      <c r="D264"/>
      <c r="E264"/>
      <c r="F264"/>
      <c r="G264"/>
      <c r="H264"/>
      <c r="I264"/>
      <c r="J264"/>
      <c r="K264"/>
      <c r="L264"/>
    </row>
    <row r="265" spans="1:15" x14ac:dyDescent="0.25">
      <c r="A265" s="7"/>
      <c r="B265" s="1"/>
      <c r="C265"/>
      <c r="D265"/>
      <c r="E265"/>
      <c r="F265"/>
      <c r="G265"/>
      <c r="H265"/>
      <c r="I265"/>
      <c r="J265"/>
      <c r="K265"/>
      <c r="L265"/>
    </row>
    <row r="266" spans="1:15" x14ac:dyDescent="0.25">
      <c r="A266" s="7"/>
      <c r="B266"/>
      <c r="C266" s="2"/>
      <c r="D266" s="2"/>
      <c r="E266" s="26" t="str">
        <f>+E$13</f>
        <v>RT{1}</v>
      </c>
      <c r="F266" s="26" t="str">
        <f>+F$13</f>
        <v>RS{2}</v>
      </c>
      <c r="G266" s="26" t="str">
        <f>+G$13</f>
        <v>GS{3}</v>
      </c>
      <c r="H266" s="155" t="str">
        <f>+H$58</f>
        <v>GST {4}</v>
      </c>
      <c r="I266" s="26" t="str">
        <f>+I$13</f>
        <v>OL/SL</v>
      </c>
      <c r="J266" s="2" t="s">
        <v>13</v>
      </c>
      <c r="K266" s="2"/>
      <c r="L266" s="2"/>
    </row>
    <row r="267" spans="1:15" x14ac:dyDescent="0.25">
      <c r="A267" s="7"/>
      <c r="B267" t="s">
        <v>134</v>
      </c>
      <c r="C267"/>
      <c r="D267"/>
      <c r="E267"/>
      <c r="F267"/>
      <c r="G267"/>
      <c r="H267"/>
      <c r="I267"/>
      <c r="J267"/>
      <c r="K267"/>
      <c r="L267"/>
    </row>
    <row r="268" spans="1:15" x14ac:dyDescent="0.25">
      <c r="A268" s="7"/>
      <c r="B268" s="28" t="s">
        <v>17</v>
      </c>
      <c r="C268" s="149"/>
      <c r="D268" s="149"/>
      <c r="E268" s="149">
        <f>+E222*E248/1000000</f>
        <v>131.73969452563972</v>
      </c>
      <c r="F268" s="149"/>
      <c r="G268" s="149">
        <f>+G222*G248/1000000</f>
        <v>143766.25058191683</v>
      </c>
      <c r="H268" s="144"/>
      <c r="I268" s="149">
        <f>+I222*I248/1000000</f>
        <v>1724.7858756092114</v>
      </c>
      <c r="J268" s="149"/>
      <c r="K268" s="149"/>
      <c r="L268" s="149"/>
    </row>
    <row r="269" spans="1:15" x14ac:dyDescent="0.25">
      <c r="A269" s="7"/>
      <c r="B269" s="77" t="s">
        <v>72</v>
      </c>
      <c r="C269" s="149"/>
      <c r="D269" s="149"/>
      <c r="E269" s="149">
        <f>+E223*E249/1000000</f>
        <v>3490.5548772118855</v>
      </c>
      <c r="F269" s="149"/>
      <c r="G269" s="149"/>
      <c r="H269" s="149">
        <f>+H223*H249/1000000</f>
        <v>1585.2823678358507</v>
      </c>
      <c r="I269" s="149"/>
      <c r="J269" s="149"/>
      <c r="K269" s="149"/>
      <c r="L269" s="149"/>
    </row>
    <row r="270" spans="1:15" x14ac:dyDescent="0.25">
      <c r="A270" s="7"/>
      <c r="B270" s="77" t="s">
        <v>73</v>
      </c>
      <c r="C270" s="149"/>
      <c r="D270" s="149"/>
      <c r="E270" s="149">
        <f>+E224*E250/1000000</f>
        <v>1973.9396319355794</v>
      </c>
      <c r="F270" s="149"/>
      <c r="G270" s="149"/>
      <c r="H270" s="149">
        <f>+H224*H250/1000000</f>
        <v>813.77700042671961</v>
      </c>
      <c r="I270" s="149"/>
      <c r="J270" s="149"/>
      <c r="K270" s="149"/>
      <c r="L270" s="81"/>
      <c r="M270" s="81"/>
      <c r="N270" s="81"/>
      <c r="O270" s="81"/>
    </row>
    <row r="271" spans="1:15" x14ac:dyDescent="0.25">
      <c r="A271" s="7"/>
      <c r="B271" s="89" t="s">
        <v>142</v>
      </c>
      <c r="C271" s="149"/>
      <c r="D271" s="149"/>
      <c r="E271" s="149"/>
      <c r="F271" s="149">
        <f>+F225*F251/1000000</f>
        <v>119298.0589289224</v>
      </c>
      <c r="G271" s="149"/>
      <c r="H271" s="144"/>
      <c r="I271" s="149"/>
      <c r="J271" s="149"/>
      <c r="K271" s="149"/>
      <c r="L271" s="149"/>
    </row>
    <row r="272" spans="1:15" x14ac:dyDescent="0.25">
      <c r="A272" s="7"/>
      <c r="B272" s="89" t="s">
        <v>144</v>
      </c>
      <c r="C272" s="149"/>
      <c r="D272" s="149"/>
      <c r="E272" s="149"/>
      <c r="F272" s="149">
        <f>+F226*F252/1000000</f>
        <v>117436.92895126221</v>
      </c>
      <c r="G272" s="149"/>
      <c r="H272" s="144"/>
      <c r="I272" s="149"/>
      <c r="J272" s="149"/>
      <c r="K272" s="149"/>
      <c r="L272" s="149"/>
    </row>
    <row r="273" spans="1:12" x14ac:dyDescent="0.25">
      <c r="A273" s="7"/>
      <c r="C273" s="149"/>
      <c r="D273" s="149"/>
      <c r="E273" s="149"/>
      <c r="F273" s="149"/>
      <c r="G273" s="149"/>
      <c r="H273" s="144"/>
      <c r="I273" s="149"/>
      <c r="J273" s="149"/>
      <c r="K273" s="149"/>
      <c r="L273" s="149"/>
    </row>
    <row r="274" spans="1:12" x14ac:dyDescent="0.25">
      <c r="A274" s="7"/>
      <c r="B274" s="28" t="s">
        <v>18</v>
      </c>
      <c r="C274" s="149"/>
      <c r="D274" s="149"/>
      <c r="E274" s="149">
        <f>+E228*E254/1000000</f>
        <v>287.99693352409525</v>
      </c>
      <c r="F274" s="149">
        <f>+F228*F254/1000000</f>
        <v>389625.81937839667</v>
      </c>
      <c r="G274" s="149">
        <f>+G228*G254/1000000</f>
        <v>275682.8941929994</v>
      </c>
      <c r="I274" s="149">
        <f>+I228*I254/1000000</f>
        <v>3937.4667373758252</v>
      </c>
      <c r="J274" s="149"/>
      <c r="K274" s="149"/>
      <c r="L274" s="149"/>
    </row>
    <row r="275" spans="1:12" x14ac:dyDescent="0.25">
      <c r="A275" s="7"/>
      <c r="B275" s="77" t="s">
        <v>72</v>
      </c>
      <c r="C275" s="149"/>
      <c r="D275" s="149"/>
      <c r="E275" s="149">
        <f>+E229*E255/1000000</f>
        <v>7061.5767355199014</v>
      </c>
      <c r="F275" s="3"/>
      <c r="G275" s="3"/>
      <c r="H275" s="149">
        <f>+H229*H255/1000000</f>
        <v>3292.4309256270826</v>
      </c>
      <c r="I275" s="3"/>
      <c r="J275" s="149"/>
      <c r="K275" s="149"/>
      <c r="L275" s="149"/>
    </row>
    <row r="276" spans="1:12" x14ac:dyDescent="0.25">
      <c r="A276" s="7"/>
      <c r="B276" s="77" t="s">
        <v>73</v>
      </c>
      <c r="C276" s="3"/>
      <c r="D276" s="3"/>
      <c r="E276" s="149">
        <f>+E230*E256/1000000</f>
        <v>5108.3900492205657</v>
      </c>
      <c r="H276" s="149">
        <f>+H230*H256/1000000</f>
        <v>2092.7358718992614</v>
      </c>
      <c r="J276" s="149"/>
      <c r="K276" s="149"/>
      <c r="L276" s="149"/>
    </row>
    <row r="277" spans="1:12" x14ac:dyDescent="0.25">
      <c r="A277" s="7"/>
      <c r="B277" s="5"/>
      <c r="C277"/>
      <c r="D277"/>
      <c r="E277"/>
      <c r="F277"/>
      <c r="G277"/>
      <c r="H277"/>
      <c r="I277"/>
      <c r="J277"/>
      <c r="K277"/>
      <c r="L277"/>
    </row>
    <row r="278" spans="1:12" x14ac:dyDescent="0.25">
      <c r="A278" s="7"/>
      <c r="B278" t="s">
        <v>135</v>
      </c>
      <c r="C278"/>
      <c r="D278"/>
      <c r="E278"/>
      <c r="F278"/>
      <c r="G278"/>
      <c r="H278"/>
      <c r="I278"/>
      <c r="J278"/>
      <c r="K278"/>
      <c r="L278"/>
    </row>
    <row r="279" spans="1:12" x14ac:dyDescent="0.25">
      <c r="A279" s="7"/>
      <c r="B279" s="5" t="s">
        <v>25</v>
      </c>
      <c r="D279"/>
      <c r="E279" s="3">
        <f>SUM(E268:E272)</f>
        <v>5596.2342036731043</v>
      </c>
      <c r="F279" s="3">
        <f>SUM(F268:F272)</f>
        <v>236734.98788018461</v>
      </c>
      <c r="G279" s="3">
        <f>SUM(G268:G272)</f>
        <v>143766.25058191683</v>
      </c>
      <c r="H279" s="3">
        <f>SUM(H268:H272)</f>
        <v>2399.0593682625704</v>
      </c>
      <c r="I279" s="3">
        <f>SUM(I268:I272)</f>
        <v>1724.7858756092114</v>
      </c>
      <c r="J279" s="151">
        <f>SUM(E279:I279)</f>
        <v>390221.31790964631</v>
      </c>
      <c r="K279" s="151"/>
      <c r="L279"/>
    </row>
    <row r="280" spans="1:12" x14ac:dyDescent="0.25">
      <c r="A280" s="7"/>
      <c r="B280" s="5" t="s">
        <v>26</v>
      </c>
      <c r="D280"/>
      <c r="E280" s="3">
        <f>SUM(E274:E276)</f>
        <v>12457.963718264562</v>
      </c>
      <c r="F280" s="3">
        <f>SUM(F274:F276)</f>
        <v>389625.81937839667</v>
      </c>
      <c r="G280" s="3">
        <f>SUM(G274:G276)</f>
        <v>275682.8941929994</v>
      </c>
      <c r="H280" s="3">
        <f>SUM(H274:H276)</f>
        <v>5385.1667975263445</v>
      </c>
      <c r="I280" s="3">
        <f>SUM(I274:I276)</f>
        <v>3937.4667373758252</v>
      </c>
      <c r="J280" s="151">
        <f>SUM(E280:I280)</f>
        <v>687089.31082456268</v>
      </c>
      <c r="K280" s="151"/>
      <c r="L280"/>
    </row>
    <row r="281" spans="1:12" x14ac:dyDescent="0.25">
      <c r="A281" s="7"/>
      <c r="B281" s="5" t="s">
        <v>13</v>
      </c>
      <c r="D281"/>
      <c r="E281" s="3">
        <f>SUM(E279:E280)</f>
        <v>18054.197921937666</v>
      </c>
      <c r="F281" s="3">
        <f>SUM(F279:F280)</f>
        <v>626360.80725858128</v>
      </c>
      <c r="G281" s="3">
        <f>SUM(G279:G280)</f>
        <v>419449.14477491623</v>
      </c>
      <c r="H281" s="3">
        <f>SUM(H279:H280)</f>
        <v>7784.2261657889148</v>
      </c>
      <c r="I281" s="3">
        <f>SUM(I279:I280)</f>
        <v>5662.2526129850366</v>
      </c>
      <c r="J281" s="3">
        <f>SUM(E281:I281)</f>
        <v>1077310.6287342091</v>
      </c>
      <c r="K281" s="3"/>
    </row>
    <row r="282" spans="1:12" x14ac:dyDescent="0.25">
      <c r="A282" s="7"/>
      <c r="B282"/>
      <c r="C282"/>
      <c r="D282"/>
      <c r="E282"/>
      <c r="F282"/>
      <c r="G282"/>
      <c r="H282"/>
      <c r="J282"/>
      <c r="K282"/>
    </row>
    <row r="283" spans="1:12" x14ac:dyDescent="0.25">
      <c r="A283" s="7"/>
      <c r="B283" t="s">
        <v>136</v>
      </c>
      <c r="C283"/>
      <c r="D283"/>
      <c r="E283"/>
      <c r="F283"/>
      <c r="G283"/>
      <c r="H283"/>
      <c r="J283"/>
      <c r="K283"/>
    </row>
    <row r="284" spans="1:12" x14ac:dyDescent="0.25">
      <c r="A284" s="7"/>
      <c r="B284" s="5" t="s">
        <v>25</v>
      </c>
      <c r="C284"/>
      <c r="D284"/>
      <c r="E284" s="150">
        <f t="shared" ref="E284:J284" si="20">+E279/E281</f>
        <v>0.30996858613547806</v>
      </c>
      <c r="F284" s="150">
        <f t="shared" si="20"/>
        <v>0.37795306656607752</v>
      </c>
      <c r="G284" s="150">
        <f t="shared" si="20"/>
        <v>0.34275013400984361</v>
      </c>
      <c r="H284" s="150">
        <f t="shared" si="20"/>
        <v>0.3081949723925359</v>
      </c>
      <c r="I284" s="150">
        <f t="shared" si="20"/>
        <v>0.30461125518381554</v>
      </c>
      <c r="J284" s="150">
        <f t="shared" si="20"/>
        <v>0.36221801540019943</v>
      </c>
      <c r="K284" s="150"/>
    </row>
    <row r="285" spans="1:12" x14ac:dyDescent="0.25">
      <c r="A285" s="7"/>
      <c r="B285" s="5" t="s">
        <v>26</v>
      </c>
      <c r="C285"/>
      <c r="D285"/>
      <c r="E285" s="150">
        <f t="shared" ref="E285:J285" si="21">+E280/E281</f>
        <v>0.69003141386452194</v>
      </c>
      <c r="F285" s="150">
        <f t="shared" si="21"/>
        <v>0.62204693343392248</v>
      </c>
      <c r="G285" s="150">
        <f t="shared" si="21"/>
        <v>0.65724986599015645</v>
      </c>
      <c r="H285" s="150">
        <f t="shared" si="21"/>
        <v>0.6918050276074641</v>
      </c>
      <c r="I285" s="150">
        <f t="shared" si="21"/>
        <v>0.6953887448161844</v>
      </c>
      <c r="J285" s="150">
        <f t="shared" si="21"/>
        <v>0.6377819845998004</v>
      </c>
      <c r="K285" s="150"/>
    </row>
    <row r="286" spans="1:12" x14ac:dyDescent="0.25">
      <c r="A286" s="7"/>
      <c r="B286" s="5"/>
      <c r="C286"/>
      <c r="D286"/>
      <c r="E286" s="150"/>
      <c r="F286" s="150"/>
      <c r="G286" s="150"/>
      <c r="H286" s="150"/>
      <c r="I286" s="150"/>
      <c r="J286" s="150"/>
      <c r="K286" s="150"/>
    </row>
    <row r="287" spans="1:12" ht="15.6" x14ac:dyDescent="0.3">
      <c r="A287" s="22"/>
      <c r="B287" s="519" t="str">
        <f>$B$1</f>
        <v xml:space="preserve">Jersey Central Power &amp; Light </v>
      </c>
      <c r="C287" s="519"/>
      <c r="D287" s="519"/>
      <c r="E287" s="519"/>
      <c r="F287" s="519"/>
      <c r="G287" s="519"/>
      <c r="H287" s="519"/>
      <c r="I287" s="519"/>
      <c r="J287" s="519"/>
      <c r="K287" s="519"/>
      <c r="L287" s="519"/>
    </row>
    <row r="288" spans="1:12" ht="15.6" x14ac:dyDescent="0.3">
      <c r="A288" s="22"/>
      <c r="B288" s="519" t="str">
        <f>$B$2</f>
        <v>Attachment 2</v>
      </c>
      <c r="C288" s="519"/>
      <c r="D288" s="519"/>
      <c r="E288" s="519"/>
      <c r="F288" s="519"/>
      <c r="G288" s="519"/>
      <c r="H288" s="519"/>
      <c r="I288" s="519"/>
      <c r="J288" s="519"/>
      <c r="K288" s="519"/>
      <c r="L288" s="519"/>
    </row>
    <row r="289" spans="1:21" x14ac:dyDescent="0.25">
      <c r="F289"/>
      <c r="G289"/>
      <c r="H289"/>
      <c r="J289"/>
      <c r="K289"/>
    </row>
    <row r="290" spans="1:21" x14ac:dyDescent="0.25">
      <c r="F290"/>
      <c r="G290"/>
      <c r="H290"/>
      <c r="J290"/>
      <c r="K290"/>
    </row>
    <row r="291" spans="1:21" x14ac:dyDescent="0.25">
      <c r="A291" s="6" t="s">
        <v>245</v>
      </c>
      <c r="C291" s="283" t="s">
        <v>358</v>
      </c>
      <c r="D291" s="239"/>
      <c r="E291" s="239"/>
      <c r="F291"/>
      <c r="G291"/>
      <c r="H291"/>
      <c r="J291"/>
      <c r="K291"/>
    </row>
    <row r="292" spans="1:21" x14ac:dyDescent="0.25">
      <c r="F292"/>
      <c r="G292"/>
      <c r="H292"/>
      <c r="J292"/>
      <c r="K292"/>
    </row>
    <row r="293" spans="1:21" x14ac:dyDescent="0.25">
      <c r="A293" s="13"/>
      <c r="J293"/>
      <c r="K293"/>
    </row>
    <row r="294" spans="1:21" x14ac:dyDescent="0.25">
      <c r="A294" s="13"/>
      <c r="J294"/>
      <c r="K294"/>
    </row>
    <row r="295" spans="1:21" x14ac:dyDescent="0.25">
      <c r="A295" s="6" t="s">
        <v>243</v>
      </c>
      <c r="B295" s="1" t="s">
        <v>246</v>
      </c>
      <c r="C295"/>
      <c r="D295"/>
      <c r="E295"/>
      <c r="G295" s="81"/>
      <c r="J295"/>
      <c r="K295"/>
    </row>
    <row r="296" spans="1:21" x14ac:dyDescent="0.25">
      <c r="A296" s="7"/>
      <c r="C296" s="74"/>
      <c r="D296" s="74"/>
      <c r="J296"/>
      <c r="K296"/>
    </row>
    <row r="297" spans="1:21" x14ac:dyDescent="0.25">
      <c r="A297" s="7"/>
      <c r="B297" s="16" t="s">
        <v>102</v>
      </c>
      <c r="C297" s="74"/>
      <c r="D297" s="74"/>
      <c r="J297"/>
      <c r="K297"/>
    </row>
    <row r="298" spans="1:21" x14ac:dyDescent="0.25">
      <c r="A298" s="7"/>
      <c r="B298" s="89" t="s">
        <v>103</v>
      </c>
      <c r="C298" s="144">
        <f>(+SUMPRODUCT(C232:I232,C72:I72))/1000</f>
        <v>1077310.8154070987</v>
      </c>
      <c r="J298"/>
      <c r="K298"/>
    </row>
    <row r="299" spans="1:21" x14ac:dyDescent="0.25">
      <c r="A299" s="7"/>
      <c r="C299" s="89" t="s">
        <v>104</v>
      </c>
      <c r="D299" s="300">
        <f>+C298/SUMPRODUCT(E72:I72,E95:I95)*1000</f>
        <v>64.136822058705619</v>
      </c>
      <c r="E299" s="13" t="s">
        <v>105</v>
      </c>
      <c r="J299"/>
      <c r="K299"/>
      <c r="M299" s="275"/>
      <c r="N299" s="276"/>
      <c r="O299" s="275"/>
      <c r="P299" s="275"/>
      <c r="Q299" s="275"/>
      <c r="R299" s="275"/>
    </row>
    <row r="300" spans="1:21" x14ac:dyDescent="0.25">
      <c r="A300" s="7"/>
      <c r="J300"/>
      <c r="K300"/>
    </row>
    <row r="301" spans="1:21" x14ac:dyDescent="0.25">
      <c r="A301" s="7"/>
      <c r="C301" s="89"/>
      <c r="D301" s="267"/>
      <c r="I301" s="13" t="s">
        <v>255</v>
      </c>
      <c r="J301"/>
      <c r="K301"/>
    </row>
    <row r="302" spans="1:21" x14ac:dyDescent="0.25">
      <c r="A302" s="6" t="s">
        <v>244</v>
      </c>
      <c r="B302" s="1" t="s">
        <v>220</v>
      </c>
      <c r="C302" s="89"/>
      <c r="D302" s="254"/>
      <c r="J302"/>
      <c r="K302"/>
    </row>
    <row r="303" spans="1:21" x14ac:dyDescent="0.25">
      <c r="A303" s="7"/>
      <c r="B303"/>
      <c r="C303"/>
      <c r="D303"/>
      <c r="E303"/>
      <c r="F303"/>
      <c r="G303"/>
      <c r="H303"/>
      <c r="J303"/>
      <c r="K303"/>
    </row>
    <row r="304" spans="1:21" x14ac:dyDescent="0.25">
      <c r="A304" s="7"/>
      <c r="B304" s="13" t="s">
        <v>275</v>
      </c>
      <c r="G304" s="252" t="s">
        <v>176</v>
      </c>
      <c r="H304" s="133"/>
      <c r="I304" s="133"/>
      <c r="J304" s="10"/>
      <c r="K304" s="10"/>
      <c r="R304" s="252"/>
      <c r="S304" s="133"/>
      <c r="T304" s="133"/>
      <c r="U304" s="10"/>
    </row>
    <row r="305" spans="1:20" x14ac:dyDescent="0.25">
      <c r="A305" s="7"/>
      <c r="B305" s="71" t="s">
        <v>25</v>
      </c>
      <c r="C305" s="301">
        <f>+J279/SUMPRODUCT(Q64:U64,E$95:I$95)*1000</f>
        <v>59.108381905537563</v>
      </c>
      <c r="D305" s="13" t="s">
        <v>137</v>
      </c>
      <c r="H305" s="26" t="s">
        <v>25</v>
      </c>
      <c r="I305" s="253">
        <f>ROUND(C305/$D$299,4)</f>
        <v>0.92159999999999997</v>
      </c>
      <c r="M305" s="242"/>
      <c r="N305" s="243"/>
      <c r="O305" s="241"/>
      <c r="P305" s="241"/>
      <c r="Q305" s="251"/>
      <c r="S305" s="244"/>
      <c r="T305" s="245"/>
    </row>
    <row r="306" spans="1:20" x14ac:dyDescent="0.25">
      <c r="A306" s="7"/>
      <c r="B306" s="71" t="s">
        <v>26</v>
      </c>
      <c r="C306" s="142">
        <f>+J280/SUMPRODUCT(Q60:U60,E$95:I$95)*1000</f>
        <v>67.392891530127287</v>
      </c>
      <c r="D306" s="13" t="s">
        <v>137</v>
      </c>
      <c r="H306" s="26" t="s">
        <v>26</v>
      </c>
      <c r="I306" s="253">
        <f>ROUND(C306/$D$299,4)</f>
        <v>1.0508</v>
      </c>
      <c r="M306" s="242"/>
      <c r="N306" s="243"/>
      <c r="O306" s="241"/>
      <c r="P306" s="241"/>
      <c r="Q306" s="251"/>
      <c r="S306" s="244"/>
      <c r="T306" s="245"/>
    </row>
    <row r="307" spans="1:20" x14ac:dyDescent="0.25">
      <c r="A307" s="7"/>
    </row>
    <row r="308" spans="1:20" x14ac:dyDescent="0.25">
      <c r="A308" s="7"/>
      <c r="G308" s="252" t="s">
        <v>318</v>
      </c>
    </row>
    <row r="309" spans="1:20" x14ac:dyDescent="0.25">
      <c r="A309" s="7"/>
      <c r="B309"/>
      <c r="C309"/>
      <c r="D309"/>
      <c r="E309" s="137"/>
      <c r="F309" s="4"/>
      <c r="G309"/>
      <c r="H309" s="26" t="s">
        <v>25</v>
      </c>
      <c r="I309" s="418">
        <f>IF(I306&gt;I305,1,I305)</f>
        <v>1</v>
      </c>
      <c r="J309"/>
      <c r="K309"/>
      <c r="L309"/>
    </row>
    <row r="310" spans="1:20" x14ac:dyDescent="0.25">
      <c r="A310" s="16" t="s">
        <v>108</v>
      </c>
      <c r="E310" s="98"/>
      <c r="F310" s="101"/>
      <c r="H310" s="26" t="s">
        <v>26</v>
      </c>
      <c r="I310" s="418">
        <f>IF(I306&gt;I305,1,I306)</f>
        <v>1</v>
      </c>
      <c r="J310"/>
      <c r="K310"/>
      <c r="L310"/>
    </row>
    <row r="311" spans="1:20" x14ac:dyDescent="0.25">
      <c r="A311" s="22"/>
      <c r="B311" s="89" t="s">
        <v>132</v>
      </c>
      <c r="C311" s="102">
        <f>D179</f>
        <v>151.38</v>
      </c>
      <c r="D311" s="93" t="s">
        <v>160</v>
      </c>
      <c r="E311" s="98"/>
      <c r="F311" s="101"/>
      <c r="I311"/>
      <c r="J311"/>
      <c r="K311"/>
      <c r="L311"/>
    </row>
    <row r="312" spans="1:20" x14ac:dyDescent="0.25">
      <c r="A312" s="22"/>
      <c r="B312" s="89"/>
      <c r="C312" s="102">
        <f>D180</f>
        <v>151.38</v>
      </c>
      <c r="D312" s="93" t="s">
        <v>161</v>
      </c>
      <c r="E312" s="98"/>
      <c r="F312" s="101"/>
      <c r="I312"/>
      <c r="J312"/>
      <c r="K312"/>
      <c r="L312"/>
    </row>
    <row r="313" spans="1:20" x14ac:dyDescent="0.25">
      <c r="A313" s="22"/>
      <c r="B313" s="89" t="s">
        <v>159</v>
      </c>
      <c r="C313" s="81" t="s">
        <v>158</v>
      </c>
      <c r="D313" s="93"/>
      <c r="E313" s="98"/>
      <c r="F313" s="101"/>
      <c r="I313"/>
      <c r="J313"/>
      <c r="K313"/>
      <c r="L313"/>
    </row>
    <row r="314" spans="1:20" x14ac:dyDescent="0.25">
      <c r="A314" s="22"/>
      <c r="B314" s="89" t="s">
        <v>109</v>
      </c>
      <c r="C314" s="148">
        <f>+H173</f>
        <v>4</v>
      </c>
      <c r="D314" s="13" t="s">
        <v>110</v>
      </c>
      <c r="E314" s="98"/>
      <c r="F314" s="101"/>
      <c r="I314"/>
      <c r="J314"/>
      <c r="K314"/>
      <c r="L314"/>
    </row>
    <row r="315" spans="1:20" x14ac:dyDescent="0.25">
      <c r="A315" s="22"/>
      <c r="B315" s="89"/>
      <c r="C315" s="148">
        <f>+H174</f>
        <v>8</v>
      </c>
      <c r="D315" s="13" t="s">
        <v>111</v>
      </c>
      <c r="E315" s="98"/>
      <c r="F315" s="101"/>
      <c r="I315"/>
      <c r="J315"/>
      <c r="K315"/>
      <c r="L315"/>
    </row>
    <row r="316" spans="1:20" x14ac:dyDescent="0.25">
      <c r="A316" s="22"/>
      <c r="B316" s="387" t="s">
        <v>360</v>
      </c>
      <c r="C316" s="102">
        <f>+F196</f>
        <v>10.57</v>
      </c>
      <c r="D316" s="13" t="s">
        <v>113</v>
      </c>
      <c r="E316" s="98"/>
      <c r="F316" s="101"/>
      <c r="I316"/>
      <c r="J316"/>
      <c r="K316"/>
      <c r="L316"/>
    </row>
    <row r="317" spans="1:20" x14ac:dyDescent="0.25">
      <c r="A317" s="22"/>
      <c r="B317" s="89" t="s">
        <v>114</v>
      </c>
      <c r="C317" s="336" t="s">
        <v>350</v>
      </c>
      <c r="E317" s="98"/>
      <c r="F317" s="101"/>
      <c r="I317"/>
      <c r="J317"/>
      <c r="K317"/>
      <c r="L317"/>
    </row>
    <row r="318" spans="1:20" x14ac:dyDescent="0.25">
      <c r="A318" s="22"/>
      <c r="B318" s="89" t="s">
        <v>115</v>
      </c>
      <c r="C318" s="342" t="s">
        <v>359</v>
      </c>
      <c r="E318" s="98"/>
      <c r="F318" s="101"/>
      <c r="I318"/>
      <c r="J318"/>
      <c r="K318"/>
      <c r="L318"/>
    </row>
    <row r="319" spans="1:20" x14ac:dyDescent="0.25">
      <c r="A319" s="22"/>
      <c r="B319" s="89"/>
      <c r="C319" s="342" t="s">
        <v>351</v>
      </c>
      <c r="E319" s="98"/>
      <c r="F319" s="101"/>
      <c r="I319"/>
      <c r="J319"/>
      <c r="K319"/>
      <c r="L319"/>
    </row>
    <row r="320" spans="1:20" x14ac:dyDescent="0.25">
      <c r="A320" s="22"/>
      <c r="B320" s="89" t="s">
        <v>116</v>
      </c>
      <c r="C320" s="336" t="s">
        <v>352</v>
      </c>
      <c r="E320" s="98"/>
      <c r="F320" s="101"/>
      <c r="I320"/>
      <c r="J320"/>
      <c r="K320"/>
      <c r="L320"/>
    </row>
    <row r="321" spans="1:12" x14ac:dyDescent="0.25">
      <c r="A321" s="22"/>
      <c r="B321" s="89" t="s">
        <v>273</v>
      </c>
      <c r="C321" s="13" t="s">
        <v>274</v>
      </c>
      <c r="E321" s="98"/>
      <c r="F321" s="101"/>
      <c r="I321"/>
      <c r="J321"/>
      <c r="K321"/>
      <c r="L321"/>
    </row>
    <row r="322" spans="1:12" x14ac:dyDescent="0.25">
      <c r="A322" s="22"/>
      <c r="B322" s="89" t="s">
        <v>270</v>
      </c>
      <c r="C322" s="13" t="s">
        <v>271</v>
      </c>
      <c r="E322" s="98"/>
      <c r="F322" s="101"/>
      <c r="I322"/>
      <c r="J322"/>
      <c r="K322"/>
      <c r="L322"/>
    </row>
    <row r="323" spans="1:12" x14ac:dyDescent="0.25">
      <c r="A323" s="22"/>
      <c r="B323" s="89" t="s">
        <v>118</v>
      </c>
      <c r="C323" s="13" t="s">
        <v>214</v>
      </c>
      <c r="E323" s="100"/>
      <c r="F323" s="101"/>
      <c r="I323"/>
      <c r="J323"/>
      <c r="K323"/>
      <c r="L323"/>
    </row>
    <row r="324" spans="1:12" x14ac:dyDescent="0.25">
      <c r="C324" s="13" t="s">
        <v>119</v>
      </c>
      <c r="E324" s="98"/>
      <c r="F324" s="101"/>
      <c r="I324"/>
      <c r="J324"/>
      <c r="K324"/>
      <c r="L324"/>
    </row>
    <row r="325" spans="1:12" x14ac:dyDescent="0.25">
      <c r="B325" s="89" t="s">
        <v>120</v>
      </c>
      <c r="C325" s="103" t="s">
        <v>189</v>
      </c>
      <c r="E325" s="98"/>
      <c r="F325" s="101"/>
      <c r="I325"/>
      <c r="J325"/>
      <c r="K325"/>
      <c r="L325"/>
    </row>
    <row r="326" spans="1:12" x14ac:dyDescent="0.25">
      <c r="A326" s="22"/>
      <c r="C326" s="103" t="s">
        <v>121</v>
      </c>
      <c r="E326" s="99"/>
      <c r="I326"/>
      <c r="J326"/>
      <c r="K326"/>
      <c r="L326"/>
    </row>
    <row r="327" spans="1:12" x14ac:dyDescent="0.25">
      <c r="C327" s="103" t="s">
        <v>188</v>
      </c>
      <c r="I327"/>
      <c r="J327"/>
      <c r="K327"/>
      <c r="L327"/>
    </row>
    <row r="328" spans="1:12" x14ac:dyDescent="0.25">
      <c r="A328" s="7"/>
      <c r="B328" s="516" t="s">
        <v>383</v>
      </c>
      <c r="C328" s="517" t="s">
        <v>384</v>
      </c>
      <c r="D328"/>
      <c r="E328" s="137"/>
      <c r="F328" s="4"/>
      <c r="G328"/>
      <c r="H328"/>
      <c r="I328"/>
      <c r="J328"/>
      <c r="K328"/>
      <c r="L328"/>
    </row>
    <row r="329" spans="1:12" x14ac:dyDescent="0.25">
      <c r="A329" s="7"/>
      <c r="B329" s="515"/>
      <c r="C329" s="518" t="s">
        <v>255</v>
      </c>
      <c r="D329"/>
      <c r="E329" s="137"/>
      <c r="F329" s="137"/>
      <c r="G329"/>
      <c r="H329"/>
      <c r="I329"/>
      <c r="J329"/>
      <c r="K329"/>
      <c r="L329"/>
    </row>
  </sheetData>
  <sheetProtection password="D6B5" sheet="1" objects="1" scenarios="1"/>
  <mergeCells count="16">
    <mergeCell ref="B287:L287"/>
    <mergeCell ref="B288:L288"/>
    <mergeCell ref="B3:L3"/>
    <mergeCell ref="B241:L241"/>
    <mergeCell ref="B242:L242"/>
    <mergeCell ref="B103:L103"/>
    <mergeCell ref="B104:L104"/>
    <mergeCell ref="B143:L143"/>
    <mergeCell ref="B144:L144"/>
    <mergeCell ref="B211:L211"/>
    <mergeCell ref="B212:L212"/>
    <mergeCell ref="B1:L1"/>
    <mergeCell ref="B2:L2"/>
    <mergeCell ref="B52:L52"/>
    <mergeCell ref="B53:L53"/>
    <mergeCell ref="B5:L5"/>
  </mergeCells>
  <phoneticPr fontId="33" type="noConversion"/>
  <pageMargins left="0.97" right="0.79" top="0.69" bottom="0.69" header="0.33" footer="0.5"/>
  <pageSetup scale="60" orientation="landscape" r:id="rId1"/>
  <headerFooter alignWithMargins="0">
    <oddFooter>&amp;L&amp;F    &amp;A&amp;CPage &amp;P of &amp;N&amp;R&amp;D</oddFooter>
  </headerFooter>
  <rowBreaks count="6" manualBreakCount="6">
    <brk id="51" max="11" man="1"/>
    <brk id="102" max="11" man="1"/>
    <brk id="142" max="11" man="1"/>
    <brk id="209" max="11" man="1"/>
    <brk id="240" max="11" man="1"/>
    <brk id="286"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0"/>
  <sheetViews>
    <sheetView view="pageBreakPreview" topLeftCell="A52" zoomScale="60" zoomScaleNormal="100" workbookViewId="0">
      <selection activeCell="X63" sqref="X63"/>
    </sheetView>
  </sheetViews>
  <sheetFormatPr defaultColWidth="9.109375" defaultRowHeight="13.2" x14ac:dyDescent="0.25"/>
  <cols>
    <col min="1" max="1" width="16.109375" style="12" customWidth="1"/>
    <col min="2" max="2" width="27.88671875" style="13" customWidth="1"/>
    <col min="3" max="3" width="11.88671875" style="13" customWidth="1"/>
    <col min="4" max="4" width="9.5546875" style="13" customWidth="1"/>
    <col min="5" max="5" width="14.44140625" style="13" customWidth="1"/>
    <col min="6" max="6" width="15" style="13" customWidth="1"/>
    <col min="7" max="7" width="16.88671875" style="13" bestFit="1" customWidth="1"/>
    <col min="8" max="9" width="14.109375" style="13" customWidth="1"/>
    <col min="10" max="10" width="15.88671875" style="13" customWidth="1"/>
    <col min="11" max="11" width="3.33203125" style="13" customWidth="1"/>
    <col min="12" max="12" width="5.5546875" style="13" customWidth="1"/>
    <col min="13" max="13" width="7.88671875" style="13" customWidth="1"/>
    <col min="14" max="14" width="8.77734375" style="13" customWidth="1"/>
    <col min="15" max="15" width="7.44140625" style="13" customWidth="1"/>
    <col min="16" max="16" width="10.6640625" style="13" customWidth="1"/>
    <col min="17" max="17" width="14.77734375" style="13" hidden="1" customWidth="1"/>
    <col min="18" max="19" width="13.6640625" style="13" hidden="1" customWidth="1"/>
    <col min="20" max="20" width="14.21875" style="13" hidden="1" customWidth="1"/>
    <col min="21" max="21" width="14.109375" style="13" customWidth="1"/>
    <col min="22" max="22" width="13.6640625" style="13" customWidth="1"/>
    <col min="23" max="23" width="14.88671875" style="13" bestFit="1" customWidth="1"/>
    <col min="24" max="24" width="14.33203125" style="13" bestFit="1" customWidth="1"/>
    <col min="25" max="25" width="18" style="13" customWidth="1"/>
    <col min="26" max="26" width="14.109375" style="13" customWidth="1"/>
    <col min="27" max="27" width="13.6640625" style="13" customWidth="1"/>
    <col min="28" max="28" width="13.5546875" style="13" customWidth="1"/>
    <col min="29" max="29" width="13.6640625" style="13" customWidth="1"/>
    <col min="30" max="30" width="17.5546875" style="13" customWidth="1"/>
    <col min="31" max="31" width="16.6640625" style="13" customWidth="1"/>
    <col min="32" max="32" width="14.44140625" style="13" customWidth="1"/>
    <col min="33" max="16384" width="9.109375" style="13"/>
  </cols>
  <sheetData>
    <row r="1" spans="1:16" ht="15.6" x14ac:dyDescent="0.3">
      <c r="B1" s="519" t="s">
        <v>69</v>
      </c>
      <c r="C1" s="519"/>
      <c r="D1" s="519"/>
      <c r="E1" s="519"/>
      <c r="F1" s="519"/>
      <c r="G1" s="519"/>
      <c r="H1" s="519"/>
      <c r="I1" s="519"/>
      <c r="J1" s="519"/>
      <c r="K1" s="519"/>
      <c r="L1" s="519"/>
      <c r="M1" s="519"/>
      <c r="N1" s="519"/>
    </row>
    <row r="2" spans="1:16" ht="15.6" x14ac:dyDescent="0.3">
      <c r="B2" s="519" t="s">
        <v>187</v>
      </c>
      <c r="C2" s="519"/>
      <c r="D2" s="519"/>
      <c r="E2" s="519"/>
      <c r="F2" s="519"/>
      <c r="G2" s="519"/>
      <c r="H2" s="519"/>
      <c r="I2" s="519"/>
      <c r="J2" s="519"/>
      <c r="K2" s="519"/>
      <c r="L2" s="519"/>
      <c r="M2" s="519"/>
      <c r="N2" s="519"/>
    </row>
    <row r="3" spans="1:16" ht="15.6" x14ac:dyDescent="0.3">
      <c r="B3" s="519" t="str">
        <f>'BGS PTY15 Cost Alloc'!$B$3</f>
        <v>2017 BGS Auction Cost and Bid Factor Tables</v>
      </c>
      <c r="C3" s="519"/>
      <c r="D3" s="519"/>
      <c r="E3" s="519"/>
      <c r="F3" s="519"/>
      <c r="G3" s="519"/>
      <c r="H3" s="519"/>
      <c r="I3" s="519"/>
      <c r="J3" s="519"/>
      <c r="K3" s="519"/>
      <c r="L3" s="519"/>
      <c r="M3" s="519"/>
      <c r="N3" s="519"/>
    </row>
    <row r="4" spans="1:16" ht="15.6" x14ac:dyDescent="0.3">
      <c r="B4" s="166"/>
      <c r="C4" s="166"/>
      <c r="D4" s="166"/>
      <c r="E4" s="166"/>
      <c r="F4" s="166"/>
      <c r="G4" s="166"/>
      <c r="H4" s="166"/>
      <c r="I4" s="166"/>
      <c r="J4" s="166"/>
      <c r="K4" s="166"/>
      <c r="L4" s="166"/>
      <c r="M4" s="166"/>
      <c r="N4" s="166"/>
    </row>
    <row r="5" spans="1:16" ht="15.6" x14ac:dyDescent="0.3">
      <c r="B5" s="519" t="s">
        <v>317</v>
      </c>
      <c r="C5" s="519"/>
      <c r="D5" s="519"/>
      <c r="E5" s="519"/>
      <c r="F5" s="519"/>
      <c r="G5" s="519"/>
      <c r="H5" s="519"/>
      <c r="I5" s="519"/>
      <c r="J5" s="519"/>
      <c r="K5" s="519"/>
      <c r="L5" s="519"/>
      <c r="M5" s="519"/>
      <c r="N5" s="519"/>
    </row>
    <row r="6" spans="1:16" x14ac:dyDescent="0.25">
      <c r="N6" s="120" t="s">
        <v>255</v>
      </c>
    </row>
    <row r="7" spans="1:16" x14ac:dyDescent="0.25">
      <c r="A7" s="18" t="s">
        <v>256</v>
      </c>
      <c r="B7" s="172" t="s">
        <v>290</v>
      </c>
      <c r="C7" s="20"/>
      <c r="E7" s="165" t="s">
        <v>284</v>
      </c>
      <c r="F7" s="306">
        <v>20</v>
      </c>
      <c r="G7" s="16"/>
      <c r="P7" s="289" t="s">
        <v>255</v>
      </c>
    </row>
    <row r="8" spans="1:16" ht="14.25" customHeight="1" x14ac:dyDescent="0.25">
      <c r="A8" s="22"/>
      <c r="B8" s="13" t="s">
        <v>238</v>
      </c>
      <c r="C8" s="23"/>
      <c r="D8" s="23"/>
      <c r="M8" s="23"/>
      <c r="N8" s="23"/>
    </row>
    <row r="9" spans="1:16" x14ac:dyDescent="0.25">
      <c r="A9" s="22"/>
    </row>
    <row r="10" spans="1:16" x14ac:dyDescent="0.25">
      <c r="A10" s="22"/>
      <c r="B10" t="s">
        <v>134</v>
      </c>
      <c r="C10"/>
      <c r="D10"/>
      <c r="E10" s="26" t="s">
        <v>61</v>
      </c>
      <c r="F10" s="26" t="s">
        <v>62</v>
      </c>
      <c r="G10" s="26" t="s">
        <v>65</v>
      </c>
      <c r="H10" s="26" t="s">
        <v>203</v>
      </c>
      <c r="I10" s="26" t="s">
        <v>55</v>
      </c>
      <c r="J10"/>
      <c r="K10"/>
      <c r="L10"/>
      <c r="M10" s="30"/>
      <c r="N10" s="30"/>
    </row>
    <row r="11" spans="1:16" x14ac:dyDescent="0.25">
      <c r="A11" s="22"/>
      <c r="B11" s="28" t="s">
        <v>17</v>
      </c>
      <c r="C11" s="149"/>
      <c r="D11" s="149"/>
      <c r="E11" s="149">
        <f>'BGS PTY13 Cost Alloc'!E263</f>
        <v>178.96685660771496</v>
      </c>
      <c r="F11" s="149"/>
      <c r="G11" s="149">
        <f>'BGS PTY13 Cost Alloc'!G263</f>
        <v>196033.32013468866</v>
      </c>
      <c r="H11" s="144"/>
      <c r="I11" s="149">
        <f>'BGS PTY13 Cost Alloc'!I263</f>
        <v>2307.9956321551399</v>
      </c>
      <c r="J11" s="149"/>
      <c r="K11" s="149"/>
      <c r="L11" s="149"/>
      <c r="M11" s="30"/>
      <c r="N11" s="30"/>
    </row>
    <row r="12" spans="1:16" x14ac:dyDescent="0.25">
      <c r="A12" s="22"/>
      <c r="B12" s="77" t="s">
        <v>72</v>
      </c>
      <c r="C12" s="149"/>
      <c r="D12" s="149"/>
      <c r="E12" s="149">
        <f>'BGS PTY13 Cost Alloc'!E264</f>
        <v>4825.5789093757685</v>
      </c>
      <c r="F12" s="149"/>
      <c r="G12" s="149"/>
      <c r="H12" s="149">
        <f>'BGS PTY13 Cost Alloc'!H264</f>
        <v>2217.5322115761205</v>
      </c>
      <c r="I12" s="149"/>
      <c r="J12" s="149"/>
      <c r="K12" s="149"/>
      <c r="L12" s="149"/>
      <c r="M12" s="30"/>
      <c r="N12" s="30"/>
    </row>
    <row r="13" spans="1:16" x14ac:dyDescent="0.25">
      <c r="A13" s="22"/>
      <c r="B13" s="77" t="s">
        <v>73</v>
      </c>
      <c r="C13" s="149"/>
      <c r="D13" s="149"/>
      <c r="E13" s="149">
        <f>'BGS PTY13 Cost Alloc'!E265</f>
        <v>2597.8845497431444</v>
      </c>
      <c r="F13" s="149"/>
      <c r="G13" s="149"/>
      <c r="H13" s="149">
        <f>'BGS PTY13 Cost Alloc'!H265</f>
        <v>1084.7934030061956</v>
      </c>
      <c r="I13" s="149"/>
      <c r="J13" s="149"/>
      <c r="K13" s="149"/>
      <c r="L13" s="149"/>
      <c r="M13" s="30"/>
      <c r="N13" s="30"/>
    </row>
    <row r="14" spans="1:16" x14ac:dyDescent="0.25">
      <c r="A14" s="22"/>
      <c r="B14" s="89" t="s">
        <v>142</v>
      </c>
      <c r="C14" s="149"/>
      <c r="D14" s="149"/>
      <c r="E14" s="149"/>
      <c r="F14" s="149">
        <f>'BGS PTY13 Cost Alloc'!F266</f>
        <v>164860.49269357699</v>
      </c>
      <c r="G14" s="149"/>
      <c r="H14" s="144"/>
      <c r="I14" s="149"/>
      <c r="J14" s="149"/>
      <c r="K14" s="149"/>
      <c r="L14" s="149"/>
      <c r="M14" s="30"/>
      <c r="N14" s="30"/>
    </row>
    <row r="15" spans="1:16" x14ac:dyDescent="0.25">
      <c r="A15" s="22"/>
      <c r="B15" s="89" t="s">
        <v>144</v>
      </c>
      <c r="C15" s="149"/>
      <c r="D15" s="149"/>
      <c r="E15" s="149"/>
      <c r="F15" s="149">
        <f>'BGS PTY13 Cost Alloc'!F267</f>
        <v>156809.05595244802</v>
      </c>
      <c r="G15" s="149"/>
      <c r="H15" s="144"/>
      <c r="I15" s="149"/>
      <c r="J15" s="149"/>
      <c r="K15" s="149"/>
      <c r="L15" s="149"/>
      <c r="M15" s="30"/>
      <c r="N15" s="30"/>
    </row>
    <row r="16" spans="1:16" x14ac:dyDescent="0.25">
      <c r="A16" s="22"/>
      <c r="C16" s="149"/>
      <c r="D16" s="149"/>
      <c r="E16" s="149"/>
      <c r="F16" s="149"/>
      <c r="G16" s="149"/>
      <c r="H16" s="144"/>
      <c r="I16" s="149"/>
      <c r="J16" s="149"/>
      <c r="K16" s="149"/>
      <c r="L16" s="149"/>
      <c r="M16" s="30"/>
      <c r="N16" s="30"/>
    </row>
    <row r="17" spans="1:16" x14ac:dyDescent="0.25">
      <c r="A17" s="22"/>
      <c r="B17" s="28" t="s">
        <v>18</v>
      </c>
      <c r="C17" s="149"/>
      <c r="D17" s="149"/>
      <c r="E17" s="149">
        <f>'BGS PTY13 Cost Alloc'!E269</f>
        <v>344.81604761904038</v>
      </c>
      <c r="F17" s="149">
        <f>'BGS PTY13 Cost Alloc'!F269</f>
        <v>466168.80564503086</v>
      </c>
      <c r="G17" s="149">
        <f>'BGS PTY13 Cost Alloc'!G269</f>
        <v>327898.28232823615</v>
      </c>
      <c r="I17" s="149">
        <f>'BGS PTY13 Cost Alloc'!I269</f>
        <v>4501.3554859173892</v>
      </c>
      <c r="J17" s="149"/>
      <c r="K17" s="149"/>
      <c r="L17" s="149"/>
      <c r="M17" s="30"/>
      <c r="N17" s="30"/>
    </row>
    <row r="18" spans="1:16" x14ac:dyDescent="0.25">
      <c r="A18" s="22"/>
      <c r="B18" s="77" t="s">
        <v>72</v>
      </c>
      <c r="C18" s="149"/>
      <c r="D18" s="149"/>
      <c r="E18" s="149">
        <f>'BGS PTY13 Cost Alloc'!E270</f>
        <v>8531.5586889703063</v>
      </c>
      <c r="F18" s="3"/>
      <c r="G18" s="3"/>
      <c r="H18" s="149">
        <f>'BGS PTY13 Cost Alloc'!H270</f>
        <v>4040.0356031230308</v>
      </c>
      <c r="I18" s="3"/>
      <c r="J18" s="149"/>
      <c r="K18" s="149"/>
      <c r="L18" s="149"/>
      <c r="M18" s="30"/>
      <c r="N18" s="30"/>
    </row>
    <row r="19" spans="1:16" x14ac:dyDescent="0.25">
      <c r="A19" s="22"/>
      <c r="B19" s="77" t="s">
        <v>73</v>
      </c>
      <c r="C19" s="3"/>
      <c r="D19" s="3"/>
      <c r="E19" s="149">
        <f>'BGS PTY13 Cost Alloc'!E271</f>
        <v>6039.4300216724068</v>
      </c>
      <c r="H19" s="149">
        <f>'BGS PTY13 Cost Alloc'!H271</f>
        <v>2379.8750672656365</v>
      </c>
      <c r="J19" s="149"/>
      <c r="K19" s="149"/>
      <c r="L19" s="149"/>
      <c r="M19" s="30"/>
      <c r="N19" s="30"/>
    </row>
    <row r="20" spans="1:16" x14ac:dyDescent="0.25">
      <c r="A20" s="22"/>
      <c r="B20" s="5"/>
      <c r="C20"/>
      <c r="D20"/>
      <c r="E20"/>
      <c r="F20"/>
      <c r="G20"/>
      <c r="H20"/>
      <c r="I20"/>
      <c r="J20"/>
      <c r="K20"/>
      <c r="L20"/>
      <c r="M20" s="30"/>
      <c r="N20" s="30"/>
    </row>
    <row r="21" spans="1:16" x14ac:dyDescent="0.25">
      <c r="A21" s="22"/>
      <c r="B21" t="s">
        <v>135</v>
      </c>
      <c r="C21"/>
      <c r="D21"/>
      <c r="E21"/>
      <c r="F21"/>
      <c r="G21"/>
      <c r="H21"/>
      <c r="I21"/>
      <c r="J21"/>
      <c r="K21"/>
      <c r="L21"/>
      <c r="M21" s="30"/>
      <c r="N21" s="30"/>
    </row>
    <row r="22" spans="1:16" x14ac:dyDescent="0.25">
      <c r="A22" s="22"/>
      <c r="B22" s="5" t="s">
        <v>25</v>
      </c>
      <c r="D22"/>
      <c r="E22" s="3">
        <f>SUM(E11:E15)</f>
        <v>7602.4303157266277</v>
      </c>
      <c r="F22" s="3">
        <f>SUM(F11:F15)</f>
        <v>321669.54864602501</v>
      </c>
      <c r="G22" s="3">
        <f>SUM(G11:G15)</f>
        <v>196033.32013468866</v>
      </c>
      <c r="H22" s="3">
        <f>SUM(H11:H15)</f>
        <v>3302.3256145823161</v>
      </c>
      <c r="I22" s="3">
        <f>SUM(I11:I15)</f>
        <v>2307.9956321551399</v>
      </c>
      <c r="J22" s="151">
        <f>SUM(E22:I22)</f>
        <v>530915.6203431777</v>
      </c>
      <c r="K22" s="151"/>
      <c r="L22" s="151"/>
      <c r="M22" s="31"/>
      <c r="N22" s="31"/>
    </row>
    <row r="23" spans="1:16" x14ac:dyDescent="0.25">
      <c r="A23" s="22"/>
      <c r="B23" s="5" t="s">
        <v>26</v>
      </c>
      <c r="D23"/>
      <c r="E23" s="3">
        <f>SUM(E17:E19)</f>
        <v>14915.804758261755</v>
      </c>
      <c r="F23" s="3">
        <f>SUM(F17:F19)</f>
        <v>466168.80564503086</v>
      </c>
      <c r="G23" s="3">
        <f>SUM(G17:G19)</f>
        <v>327898.28232823615</v>
      </c>
      <c r="H23" s="3">
        <f>SUM(H17:H19)</f>
        <v>6419.9106703886673</v>
      </c>
      <c r="I23" s="3">
        <f>SUM(I17:I19)</f>
        <v>4501.3554859173892</v>
      </c>
      <c r="J23" s="151">
        <f>SUM(E23:I23)</f>
        <v>819904.15888783487</v>
      </c>
      <c r="K23" s="151"/>
      <c r="L23" s="151"/>
      <c r="M23" s="31"/>
      <c r="N23" s="31"/>
    </row>
    <row r="24" spans="1:16" x14ac:dyDescent="0.25">
      <c r="A24" s="18"/>
      <c r="B24" s="5" t="s">
        <v>13</v>
      </c>
      <c r="D24"/>
      <c r="E24" s="3">
        <f>SUM(E22:E23)</f>
        <v>22518.235073988384</v>
      </c>
      <c r="F24" s="3">
        <f>SUM(F22:F23)</f>
        <v>787838.35429105582</v>
      </c>
      <c r="G24" s="3">
        <f>SUM(G22:G23)</f>
        <v>523931.60246292478</v>
      </c>
      <c r="H24" s="3">
        <f>SUM(H22:H23)</f>
        <v>9722.2362849709825</v>
      </c>
      <c r="I24" s="3">
        <f>SUM(I22:I23)</f>
        <v>6809.3511180725291</v>
      </c>
      <c r="J24" s="3">
        <f>SUM(E24:I24)</f>
        <v>1350819.7792310126</v>
      </c>
      <c r="K24" s="3"/>
      <c r="L24" s="3"/>
      <c r="M24" s="31"/>
      <c r="N24" s="31"/>
    </row>
    <row r="25" spans="1:16" x14ac:dyDescent="0.25">
      <c r="A25" s="22"/>
      <c r="B25" s="24"/>
      <c r="C25" s="26"/>
      <c r="D25" s="26"/>
      <c r="E25" s="26"/>
      <c r="F25" s="26"/>
      <c r="G25" s="26"/>
      <c r="H25" s="26"/>
      <c r="I25" s="26"/>
      <c r="J25" s="26"/>
      <c r="K25" s="26"/>
      <c r="L25" s="26"/>
      <c r="M25" s="26"/>
      <c r="N25" s="26"/>
    </row>
    <row r="26" spans="1:16" x14ac:dyDescent="0.25">
      <c r="A26" s="22"/>
      <c r="B26" s="24"/>
      <c r="C26" s="26"/>
      <c r="D26" s="26"/>
      <c r="E26" s="26"/>
      <c r="F26" s="26"/>
      <c r="G26" s="26"/>
      <c r="H26" s="26"/>
      <c r="I26" s="26"/>
      <c r="J26" s="26"/>
      <c r="K26" s="26"/>
      <c r="L26" s="26"/>
      <c r="M26" s="26"/>
      <c r="N26" s="26"/>
    </row>
    <row r="27" spans="1:16" x14ac:dyDescent="0.25">
      <c r="A27" s="22"/>
    </row>
    <row r="28" spans="1:16" x14ac:dyDescent="0.25">
      <c r="A28" s="18" t="s">
        <v>257</v>
      </c>
      <c r="B28" s="172" t="s">
        <v>303</v>
      </c>
      <c r="C28" s="20"/>
      <c r="E28" s="165" t="s">
        <v>284</v>
      </c>
      <c r="F28" s="306">
        <v>18</v>
      </c>
      <c r="G28" s="16" t="s">
        <v>255</v>
      </c>
      <c r="P28" s="289" t="s">
        <v>255</v>
      </c>
    </row>
    <row r="29" spans="1:16" x14ac:dyDescent="0.25">
      <c r="A29" s="22"/>
      <c r="B29" s="13" t="s">
        <v>238</v>
      </c>
      <c r="C29" s="23"/>
      <c r="D29" s="23"/>
    </row>
    <row r="30" spans="1:16" x14ac:dyDescent="0.25">
      <c r="A30" s="22"/>
    </row>
    <row r="31" spans="1:16" x14ac:dyDescent="0.25">
      <c r="A31" s="22"/>
      <c r="B31" t="s">
        <v>134</v>
      </c>
      <c r="C31"/>
      <c r="D31"/>
      <c r="E31" s="26" t="s">
        <v>61</v>
      </c>
      <c r="F31" s="26" t="s">
        <v>62</v>
      </c>
      <c r="G31" s="26" t="s">
        <v>65</v>
      </c>
      <c r="H31" s="26" t="s">
        <v>203</v>
      </c>
      <c r="I31" s="26" t="s">
        <v>55</v>
      </c>
      <c r="J31"/>
      <c r="K31"/>
      <c r="L31"/>
    </row>
    <row r="32" spans="1:16" x14ac:dyDescent="0.25">
      <c r="A32" s="22"/>
      <c r="B32" s="28" t="s">
        <v>17</v>
      </c>
      <c r="C32" s="149"/>
      <c r="D32" s="149"/>
      <c r="E32" s="149">
        <f>'BGS PTY14 Cost Alloc'!E266</f>
        <v>163.72337768638101</v>
      </c>
      <c r="F32" s="149"/>
      <c r="G32" s="149">
        <f>'BGS PTY14 Cost Alloc'!G266</f>
        <v>182982.47310981635</v>
      </c>
      <c r="H32" s="144"/>
      <c r="I32" s="149">
        <f>'BGS PTY14 Cost Alloc'!I266</f>
        <v>2265.1163652829064</v>
      </c>
      <c r="J32" s="149"/>
      <c r="K32" s="149"/>
      <c r="L32" s="149"/>
    </row>
    <row r="33" spans="1:12" x14ac:dyDescent="0.25">
      <c r="A33" s="22"/>
      <c r="B33" s="77" t="s">
        <v>72</v>
      </c>
      <c r="C33" s="149"/>
      <c r="D33" s="149"/>
      <c r="E33" s="149">
        <f>'BGS PTY14 Cost Alloc'!E267</f>
        <v>4238.1557132049065</v>
      </c>
      <c r="F33" s="149"/>
      <c r="G33" s="149"/>
      <c r="H33" s="149">
        <f>'BGS PTY14 Cost Alloc'!H267</f>
        <v>1983.0457274511996</v>
      </c>
      <c r="I33" s="149"/>
      <c r="J33" s="149"/>
      <c r="K33" s="149"/>
      <c r="L33" s="149"/>
    </row>
    <row r="34" spans="1:12" x14ac:dyDescent="0.25">
      <c r="A34" s="22"/>
      <c r="B34" s="77" t="s">
        <v>73</v>
      </c>
      <c r="C34" s="149"/>
      <c r="D34" s="149"/>
      <c r="E34" s="149">
        <f>'BGS PTY14 Cost Alloc'!E268</f>
        <v>2553.0031750244084</v>
      </c>
      <c r="F34" s="149"/>
      <c r="G34" s="149"/>
      <c r="H34" s="149">
        <f>'BGS PTY14 Cost Alloc'!H268</f>
        <v>1060.8852939332278</v>
      </c>
      <c r="I34" s="149"/>
      <c r="J34" s="149"/>
      <c r="K34" s="149"/>
      <c r="L34" s="149"/>
    </row>
    <row r="35" spans="1:12" x14ac:dyDescent="0.25">
      <c r="A35" s="22"/>
      <c r="B35" s="89" t="s">
        <v>142</v>
      </c>
      <c r="C35" s="149"/>
      <c r="D35" s="149"/>
      <c r="E35" s="149"/>
      <c r="F35" s="149">
        <f>'BGS PTY14 Cost Alloc'!F269</f>
        <v>152644.69721784024</v>
      </c>
      <c r="G35" s="149"/>
      <c r="H35" s="144"/>
      <c r="I35" s="149"/>
      <c r="J35" s="149"/>
      <c r="K35" s="149"/>
      <c r="L35" s="149"/>
    </row>
    <row r="36" spans="1:12" x14ac:dyDescent="0.25">
      <c r="A36" s="22"/>
      <c r="B36" s="89" t="s">
        <v>144</v>
      </c>
      <c r="C36" s="149"/>
      <c r="D36" s="149"/>
      <c r="E36" s="149"/>
      <c r="F36" s="149">
        <f>'BGS PTY14 Cost Alloc'!F270</f>
        <v>146252.95060093084</v>
      </c>
      <c r="G36" s="149"/>
      <c r="H36" s="144"/>
      <c r="I36" s="149"/>
      <c r="J36" s="149"/>
      <c r="K36" s="149"/>
      <c r="L36" s="149"/>
    </row>
    <row r="37" spans="1:12" x14ac:dyDescent="0.25">
      <c r="A37" s="22"/>
      <c r="C37" s="149"/>
      <c r="D37" s="149"/>
      <c r="E37" s="149"/>
      <c r="F37" s="149"/>
      <c r="G37" s="149"/>
      <c r="H37" s="144"/>
      <c r="I37" s="149"/>
      <c r="J37" s="149"/>
      <c r="K37" s="149"/>
      <c r="L37" s="149"/>
    </row>
    <row r="38" spans="1:12" x14ac:dyDescent="0.25">
      <c r="A38" s="22"/>
      <c r="B38" s="28" t="s">
        <v>18</v>
      </c>
      <c r="C38" s="149"/>
      <c r="D38" s="149"/>
      <c r="E38" s="149">
        <f>'BGS PTY14 Cost Alloc'!E272</f>
        <v>319.16781866115195</v>
      </c>
      <c r="F38" s="149">
        <f>'BGS PTY14 Cost Alloc'!F272</f>
        <v>430588.13392762776</v>
      </c>
      <c r="G38" s="149">
        <f>'BGS PTY14 Cost Alloc'!G272</f>
        <v>308205.84252338012</v>
      </c>
      <c r="I38" s="149">
        <f>'BGS PTY14 Cost Alloc'!I272</f>
        <v>4490.1325826565344</v>
      </c>
      <c r="J38" s="149"/>
      <c r="K38" s="149"/>
      <c r="L38" s="149"/>
    </row>
    <row r="39" spans="1:12" x14ac:dyDescent="0.25">
      <c r="A39" s="22"/>
      <c r="B39" s="77" t="s">
        <v>72</v>
      </c>
      <c r="C39" s="149"/>
      <c r="D39" s="149"/>
      <c r="E39" s="149">
        <f>'BGS PTY14 Cost Alloc'!E273</f>
        <v>7522.9323541639842</v>
      </c>
      <c r="F39" s="3"/>
      <c r="G39" s="3"/>
      <c r="H39" s="149">
        <f>'BGS PTY14 Cost Alloc'!H273</f>
        <v>3662.4992758392091</v>
      </c>
      <c r="I39" s="3"/>
      <c r="J39" s="149"/>
      <c r="K39" s="149"/>
      <c r="L39" s="149"/>
    </row>
    <row r="40" spans="1:12" x14ac:dyDescent="0.25">
      <c r="A40" s="22"/>
      <c r="B40" s="77" t="s">
        <v>73</v>
      </c>
      <c r="C40" s="3"/>
      <c r="D40" s="3"/>
      <c r="E40" s="149">
        <f>'BGS PTY14 Cost Alloc'!E274</f>
        <v>5964.2749830692264</v>
      </c>
      <c r="H40" s="149">
        <f>'BGS PTY14 Cost Alloc'!H274</f>
        <v>2364.1878033150751</v>
      </c>
      <c r="J40" s="149"/>
      <c r="K40" s="149"/>
      <c r="L40" s="149"/>
    </row>
    <row r="41" spans="1:12" x14ac:dyDescent="0.25">
      <c r="A41" s="22"/>
      <c r="B41" s="5"/>
      <c r="C41"/>
      <c r="D41"/>
      <c r="E41"/>
      <c r="F41"/>
      <c r="G41"/>
      <c r="H41"/>
      <c r="I41"/>
      <c r="J41"/>
      <c r="K41"/>
      <c r="L41"/>
    </row>
    <row r="42" spans="1:12" x14ac:dyDescent="0.25">
      <c r="A42" s="22"/>
      <c r="B42" t="s">
        <v>135</v>
      </c>
      <c r="C42"/>
      <c r="D42"/>
      <c r="E42"/>
      <c r="F42"/>
      <c r="G42"/>
      <c r="H42"/>
      <c r="I42"/>
      <c r="J42"/>
      <c r="K42"/>
      <c r="L42"/>
    </row>
    <row r="43" spans="1:12" x14ac:dyDescent="0.25">
      <c r="A43" s="22"/>
      <c r="B43" s="5" t="s">
        <v>25</v>
      </c>
      <c r="D43"/>
      <c r="E43" s="3">
        <f>SUM(E32:E36)</f>
        <v>6954.8822659156958</v>
      </c>
      <c r="F43" s="3">
        <f>SUM(F32:F36)</f>
        <v>298897.64781877107</v>
      </c>
      <c r="G43" s="3">
        <f>SUM(G32:G36)</f>
        <v>182982.47310981635</v>
      </c>
      <c r="H43" s="3">
        <f>SUM(H32:H36)</f>
        <v>3043.9310213844274</v>
      </c>
      <c r="I43" s="3">
        <f>SUM(I32:I36)</f>
        <v>2265.1163652829064</v>
      </c>
      <c r="J43" s="151">
        <f>SUM(E43:I43)</f>
        <v>494144.05058117048</v>
      </c>
      <c r="K43" s="151"/>
      <c r="L43" s="151"/>
    </row>
    <row r="44" spans="1:12" x14ac:dyDescent="0.25">
      <c r="A44" s="22"/>
      <c r="B44" s="5" t="s">
        <v>26</v>
      </c>
      <c r="D44"/>
      <c r="E44" s="3">
        <f>SUM(E38:E40)</f>
        <v>13806.375155894362</v>
      </c>
      <c r="F44" s="3">
        <f>SUM(F38:F40)</f>
        <v>430588.13392762776</v>
      </c>
      <c r="G44" s="3">
        <f>SUM(G38:G40)</f>
        <v>308205.84252338012</v>
      </c>
      <c r="H44" s="3">
        <f>SUM(H38:H40)</f>
        <v>6026.6870791542842</v>
      </c>
      <c r="I44" s="3">
        <f>SUM(I38:I40)</f>
        <v>4490.1325826565344</v>
      </c>
      <c r="J44" s="151">
        <f>SUM(E44:I44)</f>
        <v>763117.17126871308</v>
      </c>
      <c r="K44" s="151"/>
      <c r="L44" s="151"/>
    </row>
    <row r="45" spans="1:12" x14ac:dyDescent="0.25">
      <c r="A45" s="18"/>
      <c r="B45" s="5" t="s">
        <v>13</v>
      </c>
      <c r="D45"/>
      <c r="E45" s="3">
        <f>SUM(E43:E44)</f>
        <v>20761.257421810056</v>
      </c>
      <c r="F45" s="3">
        <f>SUM(F43:F44)</f>
        <v>729485.78174639889</v>
      </c>
      <c r="G45" s="3">
        <f>SUM(G43:G44)</f>
        <v>491188.3156331965</v>
      </c>
      <c r="H45" s="3">
        <f>SUM(H43:H44)</f>
        <v>9070.6181005387116</v>
      </c>
      <c r="I45" s="3">
        <f>SUM(I43:I44)</f>
        <v>6755.2489479394408</v>
      </c>
      <c r="J45" s="3">
        <f>SUM(E45:I45)</f>
        <v>1257261.2218498834</v>
      </c>
      <c r="K45" s="3"/>
      <c r="L45" s="3"/>
    </row>
    <row r="46" spans="1:12" x14ac:dyDescent="0.25">
      <c r="A46" s="18"/>
      <c r="B46" s="5"/>
      <c r="D46"/>
      <c r="E46" s="3"/>
      <c r="F46" s="3"/>
      <c r="G46" s="3"/>
      <c r="H46" s="3"/>
      <c r="I46" s="3"/>
      <c r="J46" s="3"/>
      <c r="K46" s="3"/>
      <c r="L46" s="3"/>
    </row>
    <row r="47" spans="1:12" x14ac:dyDescent="0.25">
      <c r="A47" s="13"/>
      <c r="B47" s="36" t="str">
        <f>'BGS PTY15 Cost Alloc'!B46</f>
        <v>{1} For BGS purposes the RT rate class includes the RS and GS rate class Off-Peak (OPWH) and Controlled Water Heating (CTWH) provisions.  The RT rate class also includes the</v>
      </c>
      <c r="D47"/>
      <c r="E47" s="3"/>
      <c r="F47" s="3"/>
      <c r="G47" s="3"/>
      <c r="H47" s="3"/>
      <c r="I47" s="3"/>
      <c r="J47" s="3"/>
      <c r="K47" s="3"/>
      <c r="L47" s="3"/>
    </row>
    <row r="48" spans="1:12" x14ac:dyDescent="0.25">
      <c r="A48" s="13"/>
      <c r="B48" s="36" t="str">
        <f>'BGS PTY15 Cost Alloc'!B47</f>
        <v xml:space="preserve">  summer billing month RGT rate class usage.  OPWH and CTWH is billed on the average RT rates, while RT and Summer RGT use is billed at on-peak and off-peak rates.</v>
      </c>
      <c r="D48"/>
      <c r="E48" s="3"/>
      <c r="F48" s="3"/>
      <c r="G48" s="3"/>
      <c r="H48" s="3"/>
      <c r="I48" s="3"/>
      <c r="J48" s="3"/>
      <c r="K48" s="3"/>
      <c r="L48" s="3"/>
    </row>
    <row r="49" spans="1:16" x14ac:dyDescent="0.25">
      <c r="A49" s="13"/>
      <c r="B49" s="36" t="str">
        <f>'BGS PTY15 Cost Alloc'!B48</f>
        <v xml:space="preserve">{2} For BGS purposes the RS rate class excludes the Off-Peak and Controlled Water Heating provisions and includes  </v>
      </c>
      <c r="D49"/>
      <c r="E49" s="3"/>
      <c r="F49" s="3"/>
      <c r="G49" s="3"/>
      <c r="H49" s="3"/>
      <c r="I49" s="3"/>
      <c r="J49" s="3"/>
      <c r="K49" s="3"/>
      <c r="L49" s="3"/>
    </row>
    <row r="50" spans="1:16" x14ac:dyDescent="0.25">
      <c r="A50" s="13"/>
      <c r="B50" s="36" t="str">
        <f>'BGS PTY15 Cost Alloc'!B49</f>
        <v xml:space="preserve">     the winter billing month RGT rate class usage</v>
      </c>
      <c r="D50"/>
      <c r="E50" s="3"/>
      <c r="F50" s="3"/>
      <c r="G50" s="3"/>
      <c r="H50" s="3"/>
      <c r="I50" s="3"/>
      <c r="J50" s="3"/>
      <c r="K50" s="3"/>
      <c r="L50" s="3"/>
    </row>
    <row r="51" spans="1:16" x14ac:dyDescent="0.25">
      <c r="A51" s="13"/>
      <c r="B51" s="36" t="str">
        <f>'BGS PTY15 Cost Alloc'!B50</f>
        <v>{3} For BGS purposes the GS rate class excludes the Off-Peak and Controlled Water Heating provisions</v>
      </c>
      <c r="D51"/>
      <c r="E51" s="3"/>
      <c r="F51" s="3"/>
      <c r="G51" s="3"/>
      <c r="H51" s="3"/>
      <c r="I51" s="3"/>
      <c r="J51" s="3"/>
      <c r="K51" s="3"/>
      <c r="L51" s="3"/>
    </row>
    <row r="52" spans="1:16" x14ac:dyDescent="0.25">
      <c r="A52" s="36"/>
      <c r="B52" s="164" t="str">
        <f>'BGS PTY15 Cost Alloc'!B101</f>
        <v>{4} The GS and GST units exclude the units associated with the 500 kW and above PLS accounts that will be required to take service under BGS-CIEP</v>
      </c>
      <c r="D52"/>
      <c r="E52" s="3"/>
      <c r="F52" s="3"/>
      <c r="G52" s="3"/>
      <c r="H52" s="3"/>
      <c r="I52" s="3"/>
      <c r="J52" s="3"/>
      <c r="K52" s="3"/>
      <c r="L52" s="3"/>
    </row>
    <row r="53" spans="1:16" x14ac:dyDescent="0.25">
      <c r="A53" s="13"/>
      <c r="B53" s="164" t="str">
        <f>'BGS PTY15 Cost Alloc'!B102</f>
        <v xml:space="preserve"> </v>
      </c>
    </row>
    <row r="54" spans="1:16" ht="15.6" x14ac:dyDescent="0.3">
      <c r="B54" s="519" t="s">
        <v>69</v>
      </c>
      <c r="C54" s="519"/>
      <c r="D54" s="519"/>
      <c r="E54" s="519"/>
      <c r="F54" s="519"/>
      <c r="G54" s="519"/>
      <c r="H54" s="519"/>
      <c r="I54" s="519"/>
      <c r="J54" s="519"/>
      <c r="K54" s="519"/>
      <c r="L54" s="519"/>
      <c r="M54" s="519"/>
      <c r="N54" s="519"/>
    </row>
    <row r="55" spans="1:16" ht="15.6" x14ac:dyDescent="0.3">
      <c r="B55" s="519" t="s">
        <v>187</v>
      </c>
      <c r="C55" s="519"/>
      <c r="D55" s="519"/>
      <c r="E55" s="519"/>
      <c r="F55" s="519"/>
      <c r="G55" s="519"/>
      <c r="H55" s="519"/>
      <c r="I55" s="519"/>
      <c r="J55" s="519"/>
      <c r="K55" s="519"/>
      <c r="L55" s="519"/>
      <c r="M55" s="519"/>
      <c r="N55" s="519"/>
    </row>
    <row r="56" spans="1:16" ht="15.6" x14ac:dyDescent="0.3">
      <c r="B56" s="519"/>
      <c r="C56" s="519"/>
      <c r="D56" s="519"/>
      <c r="E56" s="519"/>
      <c r="F56" s="519"/>
      <c r="G56" s="519"/>
      <c r="H56" s="519"/>
      <c r="I56" s="519"/>
      <c r="J56" s="519"/>
      <c r="K56" s="519"/>
      <c r="L56" s="519"/>
      <c r="M56" s="519"/>
      <c r="N56" s="519"/>
    </row>
    <row r="57" spans="1:16" x14ac:dyDescent="0.25">
      <c r="N57" s="120" t="s">
        <v>255</v>
      </c>
    </row>
    <row r="59" spans="1:16" x14ac:dyDescent="0.25">
      <c r="E59" s="17"/>
    </row>
    <row r="60" spans="1:16" x14ac:dyDescent="0.25">
      <c r="A60" s="18" t="s">
        <v>258</v>
      </c>
      <c r="B60" s="172" t="s">
        <v>349</v>
      </c>
      <c r="C60" s="20"/>
      <c r="E60" s="165" t="s">
        <v>284</v>
      </c>
      <c r="F60" s="306">
        <v>15</v>
      </c>
      <c r="G60" s="13" t="s">
        <v>255</v>
      </c>
      <c r="P60" s="289" t="s">
        <v>255</v>
      </c>
    </row>
    <row r="61" spans="1:16" x14ac:dyDescent="0.25">
      <c r="A61" s="22"/>
      <c r="B61" s="13" t="s">
        <v>238</v>
      </c>
      <c r="C61" s="23"/>
      <c r="D61" s="23"/>
    </row>
    <row r="62" spans="1:16" x14ac:dyDescent="0.25">
      <c r="A62" s="22"/>
    </row>
    <row r="63" spans="1:16" x14ac:dyDescent="0.25">
      <c r="A63" s="22"/>
      <c r="B63" t="s">
        <v>134</v>
      </c>
      <c r="C63"/>
      <c r="D63"/>
      <c r="E63" s="26" t="s">
        <v>61</v>
      </c>
      <c r="F63" s="26" t="s">
        <v>62</v>
      </c>
      <c r="G63" s="26" t="s">
        <v>65</v>
      </c>
      <c r="H63" s="26" t="s">
        <v>203</v>
      </c>
      <c r="I63" s="26" t="s">
        <v>55</v>
      </c>
      <c r="J63"/>
      <c r="K63"/>
      <c r="L63"/>
    </row>
    <row r="64" spans="1:16" x14ac:dyDescent="0.25">
      <c r="A64" s="22"/>
      <c r="B64" s="28" t="s">
        <v>17</v>
      </c>
      <c r="C64" s="149"/>
      <c r="D64" s="149"/>
      <c r="E64" s="149">
        <f>'BGS PTY15 Cost Alloc'!E268</f>
        <v>131.73969452563972</v>
      </c>
      <c r="F64" s="149"/>
      <c r="G64" s="149">
        <f>'BGS PTY15 Cost Alloc'!G268</f>
        <v>143766.25058191683</v>
      </c>
      <c r="H64" s="144"/>
      <c r="I64" s="149">
        <f>'BGS PTY15 Cost Alloc'!I268</f>
        <v>1724.7858756092114</v>
      </c>
      <c r="J64" s="149"/>
      <c r="K64" s="149"/>
      <c r="L64" s="149"/>
    </row>
    <row r="65" spans="1:12" x14ac:dyDescent="0.25">
      <c r="A65" s="22"/>
      <c r="B65" s="77" t="s">
        <v>72</v>
      </c>
      <c r="C65" s="149"/>
      <c r="D65" s="149"/>
      <c r="E65" s="149">
        <f>'BGS PTY15 Cost Alloc'!E269</f>
        <v>3490.5548772118855</v>
      </c>
      <c r="F65" s="149"/>
      <c r="G65" s="149"/>
      <c r="H65" s="149">
        <f>'BGS PTY15 Cost Alloc'!H269</f>
        <v>1585.2823678358507</v>
      </c>
      <c r="I65" s="149"/>
      <c r="J65" s="149"/>
      <c r="K65" s="149"/>
      <c r="L65" s="149"/>
    </row>
    <row r="66" spans="1:12" x14ac:dyDescent="0.25">
      <c r="A66" s="22"/>
      <c r="B66" s="77" t="s">
        <v>73</v>
      </c>
      <c r="C66" s="149"/>
      <c r="D66" s="149"/>
      <c r="E66" s="149">
        <f>'BGS PTY15 Cost Alloc'!E270</f>
        <v>1973.9396319355794</v>
      </c>
      <c r="F66" s="149"/>
      <c r="G66" s="149"/>
      <c r="H66" s="149">
        <f>'BGS PTY15 Cost Alloc'!H270</f>
        <v>813.77700042671961</v>
      </c>
      <c r="I66" s="149"/>
      <c r="J66" s="149"/>
      <c r="K66" s="149"/>
      <c r="L66" s="149"/>
    </row>
    <row r="67" spans="1:12" x14ac:dyDescent="0.25">
      <c r="A67" s="22"/>
      <c r="B67" s="89" t="s">
        <v>142</v>
      </c>
      <c r="C67" s="149"/>
      <c r="D67" s="149"/>
      <c r="E67" s="149"/>
      <c r="F67" s="149">
        <f>'BGS PTY15 Cost Alloc'!F271</f>
        <v>119298.0589289224</v>
      </c>
      <c r="G67" s="149"/>
      <c r="H67" s="144"/>
      <c r="I67" s="149"/>
      <c r="J67" s="149"/>
      <c r="K67" s="149"/>
      <c r="L67" s="149"/>
    </row>
    <row r="68" spans="1:12" x14ac:dyDescent="0.25">
      <c r="A68" s="22"/>
      <c r="B68" s="89" t="s">
        <v>144</v>
      </c>
      <c r="C68" s="149"/>
      <c r="D68" s="149"/>
      <c r="E68" s="149"/>
      <c r="F68" s="149">
        <f>'BGS PTY15 Cost Alloc'!F272</f>
        <v>117436.92895126221</v>
      </c>
      <c r="G68" s="149"/>
      <c r="H68" s="144"/>
      <c r="I68" s="149"/>
      <c r="J68" s="149"/>
      <c r="K68" s="149"/>
      <c r="L68" s="149"/>
    </row>
    <row r="69" spans="1:12" x14ac:dyDescent="0.25">
      <c r="A69" s="22"/>
      <c r="C69" s="149"/>
      <c r="D69" s="149"/>
      <c r="E69" s="149"/>
      <c r="F69" s="149"/>
      <c r="G69" s="149"/>
      <c r="H69" s="144"/>
      <c r="I69" s="149"/>
      <c r="J69" s="149"/>
      <c r="K69" s="149"/>
      <c r="L69" s="149"/>
    </row>
    <row r="70" spans="1:12" x14ac:dyDescent="0.25">
      <c r="A70" s="22"/>
      <c r="B70" s="28" t="s">
        <v>18</v>
      </c>
      <c r="C70" s="149"/>
      <c r="D70" s="149"/>
      <c r="E70" s="149">
        <f>'BGS PTY15 Cost Alloc'!E274</f>
        <v>287.99693352409525</v>
      </c>
      <c r="F70" s="149">
        <f>'BGS PTY15 Cost Alloc'!F274</f>
        <v>389625.81937839667</v>
      </c>
      <c r="G70" s="149">
        <f>'BGS PTY15 Cost Alloc'!G274</f>
        <v>275682.8941929994</v>
      </c>
      <c r="I70" s="149">
        <f>'BGS PTY15 Cost Alloc'!I274</f>
        <v>3937.4667373758252</v>
      </c>
      <c r="J70" s="149"/>
      <c r="K70" s="149"/>
      <c r="L70" s="149"/>
    </row>
    <row r="71" spans="1:12" x14ac:dyDescent="0.25">
      <c r="A71" s="22"/>
      <c r="B71" s="77" t="s">
        <v>72</v>
      </c>
      <c r="C71" s="149"/>
      <c r="D71" s="149"/>
      <c r="E71" s="149">
        <f>'BGS PTY15 Cost Alloc'!E275</f>
        <v>7061.5767355199014</v>
      </c>
      <c r="F71" s="3"/>
      <c r="G71" s="3"/>
      <c r="H71" s="149">
        <f>'BGS PTY15 Cost Alloc'!H275</f>
        <v>3292.4309256270826</v>
      </c>
      <c r="I71" s="3"/>
      <c r="J71" s="149"/>
      <c r="K71" s="149"/>
      <c r="L71" s="149"/>
    </row>
    <row r="72" spans="1:12" x14ac:dyDescent="0.25">
      <c r="A72" s="22"/>
      <c r="B72" s="77" t="s">
        <v>73</v>
      </c>
      <c r="C72" s="3"/>
      <c r="D72" s="3"/>
      <c r="E72" s="149">
        <f>'BGS PTY15 Cost Alloc'!E276</f>
        <v>5108.3900492205657</v>
      </c>
      <c r="H72" s="149">
        <f>'BGS PTY15 Cost Alloc'!H276</f>
        <v>2092.7358718992614</v>
      </c>
      <c r="J72" s="149"/>
      <c r="K72" s="149"/>
      <c r="L72" s="149"/>
    </row>
    <row r="73" spans="1:12" x14ac:dyDescent="0.25">
      <c r="A73" s="22"/>
      <c r="B73" s="5"/>
      <c r="C73"/>
      <c r="D73"/>
      <c r="E73"/>
      <c r="F73"/>
      <c r="G73"/>
      <c r="H73"/>
      <c r="I73"/>
      <c r="J73"/>
      <c r="K73"/>
      <c r="L73"/>
    </row>
    <row r="74" spans="1:12" x14ac:dyDescent="0.25">
      <c r="A74" s="22"/>
      <c r="B74" t="s">
        <v>135</v>
      </c>
      <c r="C74"/>
      <c r="D74"/>
      <c r="E74"/>
      <c r="F74"/>
      <c r="G74"/>
      <c r="H74"/>
      <c r="I74"/>
      <c r="J74"/>
      <c r="K74"/>
      <c r="L74"/>
    </row>
    <row r="75" spans="1:12" x14ac:dyDescent="0.25">
      <c r="A75" s="22"/>
      <c r="B75" s="5" t="s">
        <v>25</v>
      </c>
      <c r="D75"/>
      <c r="E75" s="3">
        <f>SUM(E64:E68)</f>
        <v>5596.2342036731043</v>
      </c>
      <c r="F75" s="3">
        <f>SUM(F64:F68)</f>
        <v>236734.98788018461</v>
      </c>
      <c r="G75" s="3">
        <f>SUM(G64:G68)</f>
        <v>143766.25058191683</v>
      </c>
      <c r="H75" s="3">
        <f>SUM(H64:H68)</f>
        <v>2399.0593682625704</v>
      </c>
      <c r="I75" s="3">
        <f>SUM(I64:I68)</f>
        <v>1724.7858756092114</v>
      </c>
      <c r="J75" s="151">
        <f>SUM(E75:I75)</f>
        <v>390221.31790964631</v>
      </c>
      <c r="K75" s="151"/>
      <c r="L75" s="151"/>
    </row>
    <row r="76" spans="1:12" x14ac:dyDescent="0.25">
      <c r="A76" s="22"/>
      <c r="B76" s="5" t="s">
        <v>26</v>
      </c>
      <c r="D76"/>
      <c r="E76" s="3">
        <f>SUM(E70:E72)</f>
        <v>12457.963718264562</v>
      </c>
      <c r="F76" s="3">
        <f>SUM(F70:F72)</f>
        <v>389625.81937839667</v>
      </c>
      <c r="G76" s="3">
        <f>SUM(G70:G72)</f>
        <v>275682.8941929994</v>
      </c>
      <c r="H76" s="3">
        <f>SUM(H70:H72)</f>
        <v>5385.1667975263445</v>
      </c>
      <c r="I76" s="3">
        <f>SUM(I70:I72)</f>
        <v>3937.4667373758252</v>
      </c>
      <c r="J76" s="151">
        <f>SUM(E76:I76)</f>
        <v>687089.31082456268</v>
      </c>
      <c r="K76" s="151"/>
      <c r="L76" s="151"/>
    </row>
    <row r="77" spans="1:12" x14ac:dyDescent="0.25">
      <c r="A77" s="18"/>
      <c r="B77" s="5" t="s">
        <v>13</v>
      </c>
      <c r="D77"/>
      <c r="E77" s="3">
        <f>SUM(E75:E76)</f>
        <v>18054.197921937666</v>
      </c>
      <c r="F77" s="3">
        <f>SUM(F75:F76)</f>
        <v>626360.80725858128</v>
      </c>
      <c r="G77" s="3">
        <f>SUM(G75:G76)</f>
        <v>419449.14477491623</v>
      </c>
      <c r="H77" s="3">
        <f>SUM(H75:H76)</f>
        <v>7784.2261657889148</v>
      </c>
      <c r="I77" s="3">
        <f>SUM(I75:I76)</f>
        <v>5662.2526129850366</v>
      </c>
      <c r="J77" s="3">
        <f>SUM(E77:I77)</f>
        <v>1077310.6287342091</v>
      </c>
      <c r="K77" s="3"/>
      <c r="L77" s="3"/>
    </row>
    <row r="81" spans="1:31" x14ac:dyDescent="0.25">
      <c r="A81" s="18" t="s">
        <v>259</v>
      </c>
      <c r="B81" s="163" t="s">
        <v>239</v>
      </c>
      <c r="C81" s="20"/>
      <c r="E81" s="17"/>
    </row>
    <row r="82" spans="1:31" x14ac:dyDescent="0.25">
      <c r="A82" s="22"/>
      <c r="B82" s="13" t="s">
        <v>238</v>
      </c>
      <c r="C82" s="23"/>
      <c r="D82" s="23"/>
    </row>
    <row r="83" spans="1:31" x14ac:dyDescent="0.25">
      <c r="A83" s="22"/>
    </row>
    <row r="84" spans="1:31" x14ac:dyDescent="0.25">
      <c r="A84" s="22"/>
      <c r="B84" t="s">
        <v>134</v>
      </c>
      <c r="C84"/>
      <c r="D84"/>
      <c r="E84" s="26" t="s">
        <v>61</v>
      </c>
      <c r="F84" s="26" t="s">
        <v>62</v>
      </c>
      <c r="G84" s="26" t="s">
        <v>65</v>
      </c>
      <c r="H84" s="26" t="s">
        <v>203</v>
      </c>
      <c r="I84" s="26" t="s">
        <v>55</v>
      </c>
      <c r="J84"/>
      <c r="K84"/>
      <c r="L84"/>
    </row>
    <row r="85" spans="1:31" x14ac:dyDescent="0.25">
      <c r="A85" s="22"/>
      <c r="B85" s="28" t="s">
        <v>17</v>
      </c>
      <c r="C85" s="149"/>
      <c r="D85" s="149"/>
      <c r="E85" s="149">
        <f>(E11*$F$7+E32*$F$28+E64*$F$60)/($F$7+$F$28+$F$60)</f>
        <v>160.423648082901</v>
      </c>
      <c r="F85" s="149"/>
      <c r="G85" s="149">
        <f>(G11*$F$7+G32*$F$28+G64*$F$60)/($F$7+$F$28+$F$60)</f>
        <v>176808.39013960792</v>
      </c>
      <c r="H85" s="144"/>
      <c r="I85" s="149">
        <f>(I11*$F$7+I32*$F$28+I64*$F$60)/($F$7+$F$28+$F$60)</f>
        <v>2128.3734972138354</v>
      </c>
      <c r="J85" s="149"/>
      <c r="K85" s="149"/>
      <c r="L85" s="149"/>
    </row>
    <row r="86" spans="1:31" x14ac:dyDescent="0.25">
      <c r="A86" s="22"/>
      <c r="B86" s="77" t="s">
        <v>72</v>
      </c>
      <c r="C86" s="149"/>
      <c r="D86" s="149"/>
      <c r="E86" s="149">
        <f>(E12*$F$7+E33*$F$28+E65*$F$60)/($F$7+$F$28+$F$60)</f>
        <v>4248.239701573244</v>
      </c>
      <c r="F86" s="149"/>
      <c r="G86" s="149"/>
      <c r="H86" s="149">
        <f>(H12*$F$7+H33*$F$28+H65*$F$60)/($F$7+$F$28+$F$60)</f>
        <v>1958.9566574185239</v>
      </c>
      <c r="I86" s="149"/>
      <c r="J86" s="149"/>
      <c r="K86" s="149"/>
      <c r="L86" s="149"/>
    </row>
    <row r="87" spans="1:31" x14ac:dyDescent="0.25">
      <c r="A87" s="22"/>
      <c r="B87" s="77" t="s">
        <v>73</v>
      </c>
      <c r="C87" s="149"/>
      <c r="D87" s="149"/>
      <c r="E87" s="149">
        <f>(E13*$F$7+E34*$F$28+E66*$F$60)/($F$7+$F$28+$F$60)</f>
        <v>2406.0536344214324</v>
      </c>
      <c r="F87" s="149"/>
      <c r="G87" s="149"/>
      <c r="H87" s="149">
        <f>(H13*$F$7+H34*$F$28+H66*$F$60)/($F$7+$F$28+$F$60)</f>
        <v>999.97091240231703</v>
      </c>
      <c r="I87" s="149"/>
      <c r="J87" s="149"/>
      <c r="K87" s="149"/>
      <c r="L87" s="149"/>
      <c r="O87" s="47"/>
      <c r="P87" s="47"/>
      <c r="Q87" s="44"/>
      <c r="R87" s="44"/>
      <c r="S87" s="44"/>
      <c r="T87" s="47"/>
      <c r="U87" s="47"/>
      <c r="V87" s="44"/>
      <c r="W87" s="44"/>
      <c r="X87" s="44"/>
      <c r="Y87" s="47"/>
      <c r="Z87" s="47"/>
      <c r="AA87" s="44"/>
      <c r="AB87" s="44"/>
      <c r="AC87" s="44"/>
      <c r="AD87" s="47"/>
      <c r="AE87" s="47"/>
    </row>
    <row r="88" spans="1:31" x14ac:dyDescent="0.25">
      <c r="A88" s="22"/>
      <c r="B88" s="89" t="s">
        <v>142</v>
      </c>
      <c r="C88" s="149"/>
      <c r="D88" s="149"/>
      <c r="E88" s="149"/>
      <c r="F88" s="149">
        <f>(F14*$F$7+F35*$F$28+F67*$F$60)/($F$7+$F$28+$F$60)</f>
        <v>147816.70354200946</v>
      </c>
      <c r="G88" s="149"/>
      <c r="H88" s="144"/>
      <c r="I88" s="149"/>
      <c r="J88" s="149"/>
      <c r="K88" s="149"/>
      <c r="L88" s="149"/>
      <c r="O88" s="47"/>
      <c r="P88" s="47"/>
      <c r="Q88" s="47"/>
      <c r="R88" s="47"/>
      <c r="S88" s="47"/>
      <c r="T88" s="47"/>
      <c r="U88" s="47"/>
      <c r="V88" s="453"/>
      <c r="W88" s="453"/>
      <c r="X88" s="453"/>
      <c r="Y88" s="47"/>
      <c r="Z88" s="47"/>
      <c r="AA88" s="453"/>
      <c r="AB88" s="453"/>
      <c r="AC88" s="453"/>
      <c r="AD88" s="47"/>
      <c r="AE88" s="47"/>
    </row>
    <row r="89" spans="1:31" x14ac:dyDescent="0.25">
      <c r="A89" s="22"/>
      <c r="B89" s="89" t="s">
        <v>144</v>
      </c>
      <c r="C89" s="149"/>
      <c r="D89" s="149"/>
      <c r="E89" s="149"/>
      <c r="F89" s="149">
        <f>(F15*$F$7+F36*$F$28+F68*$F$60)/($F$7+$F$28+$F$60)</f>
        <v>142080.90875725751</v>
      </c>
      <c r="G89" s="149"/>
      <c r="H89" s="144"/>
      <c r="I89" s="149"/>
      <c r="J89" s="149"/>
      <c r="K89" s="149"/>
      <c r="L89" s="149"/>
      <c r="O89" s="163"/>
      <c r="P89" s="47"/>
      <c r="Q89" s="47"/>
      <c r="R89" s="47"/>
      <c r="S89" s="47"/>
      <c r="T89" s="47"/>
      <c r="U89" s="47"/>
      <c r="V89" s="47"/>
      <c r="W89" s="47"/>
      <c r="X89" s="47"/>
      <c r="Y89" s="47"/>
      <c r="Z89" s="47"/>
      <c r="AA89" s="47"/>
      <c r="AB89" s="47"/>
      <c r="AC89" s="47"/>
      <c r="AD89" s="47"/>
      <c r="AE89" s="47"/>
    </row>
    <row r="90" spans="1:31" x14ac:dyDescent="0.25">
      <c r="A90" s="22"/>
      <c r="C90" s="149"/>
      <c r="D90" s="149"/>
      <c r="E90" s="149"/>
      <c r="F90" s="149"/>
      <c r="G90" s="149"/>
      <c r="H90" s="144"/>
      <c r="I90" s="149"/>
      <c r="J90" s="149"/>
      <c r="K90" s="149"/>
      <c r="L90" s="149"/>
      <c r="O90" s="474"/>
      <c r="P90" s="47"/>
      <c r="Q90" s="458"/>
      <c r="R90" s="458"/>
      <c r="S90" s="458"/>
      <c r="T90" s="458"/>
      <c r="U90" s="47"/>
      <c r="V90" s="47"/>
      <c r="W90" s="47"/>
      <c r="X90" s="47"/>
      <c r="Y90" s="47"/>
      <c r="Z90" s="47"/>
      <c r="AA90" s="47"/>
      <c r="AB90" s="47"/>
      <c r="AC90" s="47"/>
      <c r="AD90" s="47"/>
      <c r="AE90" s="47"/>
    </row>
    <row r="91" spans="1:31" x14ac:dyDescent="0.25">
      <c r="A91" s="22"/>
      <c r="B91" s="28" t="s">
        <v>18</v>
      </c>
      <c r="C91" s="149"/>
      <c r="D91" s="149"/>
      <c r="E91" s="149">
        <f>(E17*$F$7+E38*$F$28+E70*$F$60)/($F$7+$F$28+$F$60)</f>
        <v>320.02444700269757</v>
      </c>
      <c r="F91" s="149">
        <f>(F17*$F$7+F38*$F$28+F70*$F$60)/($F$7+$F$28+$F$60)</f>
        <v>432421.69460894092</v>
      </c>
      <c r="G91" s="149">
        <f>(G17*$F$7+G38*$F$28+G70*$F$60)/($F$7+$F$28+$F$60)</f>
        <v>306432.3438656709</v>
      </c>
      <c r="I91" s="149">
        <f>(I17*$F$7+I38*$F$28+I70*$F$60)/($F$7+$F$28+$F$60)</f>
        <v>4337.952778618921</v>
      </c>
      <c r="J91" s="149"/>
      <c r="K91" s="149"/>
      <c r="L91" s="149"/>
      <c r="O91" s="474"/>
      <c r="P91" s="47"/>
      <c r="Q91" s="458"/>
      <c r="R91" s="458"/>
      <c r="S91" s="458"/>
      <c r="T91" s="458"/>
      <c r="U91" s="47"/>
      <c r="V91" s="163"/>
      <c r="W91" s="47"/>
      <c r="X91" s="47"/>
      <c r="Y91" s="47"/>
      <c r="Z91" s="47"/>
      <c r="AA91" s="163"/>
      <c r="AB91" s="47"/>
      <c r="AC91" s="47"/>
      <c r="AD91" s="47"/>
      <c r="AE91" s="47"/>
    </row>
    <row r="92" spans="1:31" x14ac:dyDescent="0.25">
      <c r="A92" s="22"/>
      <c r="B92" s="77" t="s">
        <v>72</v>
      </c>
      <c r="C92" s="149"/>
      <c r="D92" s="149"/>
      <c r="E92" s="149">
        <f>(E18*$F$7+E39*$F$28+E71*$F$60)/($F$7+$F$28+$F$60)</f>
        <v>7772.9737205123847</v>
      </c>
      <c r="F92" s="3"/>
      <c r="G92" s="3"/>
      <c r="H92" s="149">
        <f>(H18*$F$7+H39*$F$28+H71*$F$60)/($F$7+$F$28+$F$60)</f>
        <v>3700.2294889051436</v>
      </c>
      <c r="I92" s="3"/>
      <c r="J92" s="149"/>
      <c r="K92" s="149"/>
      <c r="L92" s="149"/>
      <c r="Q92" s="26"/>
      <c r="R92" s="26"/>
      <c r="S92" s="26"/>
      <c r="U92" s="47"/>
      <c r="V92" s="44"/>
      <c r="W92" s="44"/>
      <c r="X92" s="44"/>
      <c r="Y92" s="47"/>
      <c r="Z92" s="47"/>
      <c r="AA92" s="44"/>
      <c r="AB92" s="44"/>
      <c r="AC92" s="44"/>
      <c r="AD92" s="47"/>
      <c r="AE92" s="47"/>
    </row>
    <row r="93" spans="1:31" x14ac:dyDescent="0.25">
      <c r="A93" s="22"/>
      <c r="B93" s="77" t="s">
        <v>73</v>
      </c>
      <c r="C93" s="3"/>
      <c r="D93" s="3"/>
      <c r="E93" s="149">
        <f>(E19*$F$7+E40*$F$28+E72*$F$60)/($F$7+$F$28+$F$60)</f>
        <v>5750.4037899434461</v>
      </c>
      <c r="H93" s="149">
        <f>(H19*$F$7+H40*$F$28+H72*$F$60)/($F$7+$F$28+$F$60)</f>
        <v>2293.2815072353401</v>
      </c>
      <c r="J93" s="149"/>
      <c r="K93" s="149"/>
      <c r="L93" s="149"/>
      <c r="P93" s="387"/>
      <c r="Q93" s="55"/>
      <c r="R93" s="55"/>
      <c r="S93" s="55"/>
      <c r="U93" s="47"/>
      <c r="V93" s="454"/>
      <c r="W93" s="454"/>
      <c r="X93" s="454"/>
      <c r="Y93" s="455"/>
      <c r="Z93" s="47"/>
      <c r="AA93" s="456"/>
      <c r="AB93" s="456"/>
      <c r="AC93" s="456"/>
      <c r="AD93" s="455"/>
      <c r="AE93" s="47"/>
    </row>
    <row r="94" spans="1:31" x14ac:dyDescent="0.25">
      <c r="A94" s="22"/>
      <c r="B94" s="5"/>
      <c r="C94"/>
      <c r="D94"/>
      <c r="E94"/>
      <c r="F94"/>
      <c r="G94"/>
      <c r="H94"/>
      <c r="I94"/>
      <c r="J94"/>
      <c r="K94"/>
      <c r="L94"/>
      <c r="R94" s="47"/>
      <c r="S94" s="47"/>
      <c r="T94" s="53"/>
      <c r="U94" s="47"/>
      <c r="V94" s="47"/>
      <c r="W94" s="47"/>
      <c r="X94" s="457"/>
      <c r="Y94" s="457"/>
      <c r="Z94" s="47"/>
      <c r="AA94" s="47"/>
      <c r="AB94" s="47"/>
      <c r="AC94" s="47"/>
      <c r="AD94" s="457"/>
      <c r="AE94" s="47"/>
    </row>
    <row r="95" spans="1:31" x14ac:dyDescent="0.25">
      <c r="A95" s="22"/>
      <c r="B95" t="s">
        <v>135</v>
      </c>
      <c r="C95"/>
      <c r="D95"/>
      <c r="E95"/>
      <c r="F95"/>
      <c r="G95"/>
      <c r="H95"/>
      <c r="I95"/>
      <c r="J95"/>
      <c r="K95"/>
      <c r="L95"/>
      <c r="P95" s="408"/>
      <c r="R95" s="474"/>
      <c r="S95" s="47"/>
      <c r="T95" s="458"/>
      <c r="U95" s="47"/>
      <c r="V95" s="47"/>
      <c r="W95" s="47"/>
      <c r="X95" s="47"/>
      <c r="Y95" s="47"/>
      <c r="Z95" s="47"/>
      <c r="AA95" s="47"/>
      <c r="AB95" s="47"/>
      <c r="AC95" s="47"/>
      <c r="AD95" s="47"/>
      <c r="AE95" s="47"/>
    </row>
    <row r="96" spans="1:31" x14ac:dyDescent="0.25">
      <c r="A96" s="22"/>
      <c r="B96" s="5" t="s">
        <v>25</v>
      </c>
      <c r="D96"/>
      <c r="E96" s="3">
        <f>SUM(E85:E89)</f>
        <v>6814.7169840775778</v>
      </c>
      <c r="F96" s="3">
        <f>SUM(F85:F89)</f>
        <v>289897.61229926697</v>
      </c>
      <c r="G96" s="3">
        <f>SUM(G85:G89)</f>
        <v>176808.39013960792</v>
      </c>
      <c r="H96" s="3">
        <f>SUM(H85:H89)</f>
        <v>2958.9275698208412</v>
      </c>
      <c r="I96" s="3">
        <f>SUM(I85:I89)</f>
        <v>2128.3734972138354</v>
      </c>
      <c r="J96" s="151">
        <f>SUM(E96:I96)</f>
        <v>478608.02048998716</v>
      </c>
      <c r="K96" s="151"/>
      <c r="L96" s="151"/>
      <c r="P96" s="408"/>
      <c r="R96" s="474"/>
      <c r="S96" s="47"/>
      <c r="T96" s="458"/>
      <c r="U96" s="410"/>
      <c r="V96" s="47"/>
      <c r="W96" s="47"/>
      <c r="X96" s="47"/>
      <c r="Y96" s="47"/>
      <c r="Z96" s="410"/>
      <c r="AA96" s="47"/>
      <c r="AB96" s="47"/>
      <c r="AC96" s="47"/>
      <c r="AD96" s="47"/>
      <c r="AE96" s="47"/>
    </row>
    <row r="97" spans="1:31" x14ac:dyDescent="0.25">
      <c r="A97" s="22"/>
      <c r="B97" s="5" t="s">
        <v>26</v>
      </c>
      <c r="D97"/>
      <c r="E97" s="3">
        <f>SUM(E91:E93)</f>
        <v>13843.401957458529</v>
      </c>
      <c r="F97" s="3">
        <f>SUM(F91:F93)</f>
        <v>432421.69460894092</v>
      </c>
      <c r="G97" s="3">
        <f>SUM(G91:G93)</f>
        <v>306432.3438656709</v>
      </c>
      <c r="H97" s="3">
        <f>SUM(H91:H93)</f>
        <v>5993.5109961404833</v>
      </c>
      <c r="I97" s="3">
        <f>SUM(I91:I93)</f>
        <v>4337.952778618921</v>
      </c>
      <c r="J97" s="151">
        <f>SUM(E97:I97)</f>
        <v>763028.90420682973</v>
      </c>
      <c r="K97" s="151"/>
      <c r="L97" s="151"/>
      <c r="P97" s="336"/>
      <c r="Q97" s="286"/>
      <c r="R97" s="286"/>
      <c r="S97" s="286"/>
      <c r="U97" s="397"/>
      <c r="V97" s="458"/>
      <c r="W97" s="458"/>
      <c r="X97" s="458"/>
      <c r="Y97" s="47"/>
      <c r="Z97" s="397"/>
      <c r="AA97" s="458"/>
      <c r="AB97" s="458"/>
      <c r="AC97" s="458"/>
      <c r="AD97" s="47"/>
      <c r="AE97" s="47"/>
    </row>
    <row r="98" spans="1:31" x14ac:dyDescent="0.25">
      <c r="A98" s="18"/>
      <c r="B98" s="5" t="s">
        <v>13</v>
      </c>
      <c r="D98"/>
      <c r="E98" s="3">
        <f>SUM(E96:E97)</f>
        <v>20658.118941536108</v>
      </c>
      <c r="F98" s="3">
        <f>SUM(F96:F97)</f>
        <v>722319.30690820795</v>
      </c>
      <c r="G98" s="3">
        <f>SUM(G96:G97)</f>
        <v>483240.73400527879</v>
      </c>
      <c r="H98" s="3">
        <f>SUM(H96:H97)</f>
        <v>8952.4385659613254</v>
      </c>
      <c r="I98" s="3">
        <f>SUM(I96:I97)</f>
        <v>6466.3262758327564</v>
      </c>
      <c r="J98" s="3">
        <f>SUM(E98:I98)</f>
        <v>1241636.9246968168</v>
      </c>
      <c r="K98" s="3"/>
      <c r="L98" s="3"/>
      <c r="P98" s="336"/>
      <c r="Q98" s="286"/>
      <c r="R98" s="286"/>
      <c r="S98" s="286"/>
      <c r="U98" s="397"/>
      <c r="V98" s="458"/>
      <c r="W98" s="458"/>
      <c r="X98" s="458"/>
      <c r="Y98" s="47"/>
      <c r="Z98" s="397"/>
      <c r="AA98" s="458"/>
      <c r="AB98" s="458"/>
      <c r="AC98" s="458"/>
      <c r="AD98" s="47"/>
      <c r="AE98" s="47"/>
    </row>
    <row r="99" spans="1:31" x14ac:dyDescent="0.25">
      <c r="B99" s="299"/>
      <c r="U99" s="19"/>
      <c r="V99" s="47"/>
      <c r="W99" s="47"/>
      <c r="X99" s="47"/>
      <c r="Y99" s="47"/>
      <c r="Z99" s="19"/>
      <c r="AA99" s="47"/>
      <c r="AB99" s="47"/>
      <c r="AC99" s="47"/>
      <c r="AD99" s="47"/>
      <c r="AE99" s="47"/>
    </row>
    <row r="100" spans="1:31" ht="15.6" x14ac:dyDescent="0.3">
      <c r="B100" s="519" t="s">
        <v>69</v>
      </c>
      <c r="C100" s="519"/>
      <c r="D100" s="519"/>
      <c r="E100" s="519"/>
      <c r="F100" s="519"/>
      <c r="G100" s="519"/>
      <c r="H100" s="519"/>
      <c r="I100" s="519"/>
      <c r="J100" s="519"/>
      <c r="K100" s="519"/>
      <c r="L100" s="519"/>
      <c r="M100" s="519"/>
      <c r="N100" s="519"/>
      <c r="P100" s="336"/>
      <c r="Q100" s="26"/>
      <c r="R100" s="26"/>
      <c r="S100" s="26"/>
      <c r="U100" s="44"/>
      <c r="V100" s="44"/>
      <c r="W100" s="44"/>
      <c r="X100" s="44"/>
      <c r="Y100" s="47"/>
      <c r="Z100" s="44"/>
      <c r="AA100" s="44"/>
      <c r="AB100" s="44"/>
      <c r="AC100" s="44"/>
      <c r="AD100" s="47"/>
      <c r="AE100" s="47"/>
    </row>
    <row r="101" spans="1:31" ht="15.6" x14ac:dyDescent="0.3">
      <c r="B101" s="519" t="s">
        <v>187</v>
      </c>
      <c r="C101" s="519"/>
      <c r="D101" s="519"/>
      <c r="E101" s="519"/>
      <c r="F101" s="519"/>
      <c r="G101" s="519"/>
      <c r="H101" s="519"/>
      <c r="I101" s="519"/>
      <c r="J101" s="519"/>
      <c r="K101" s="519"/>
      <c r="L101" s="519"/>
      <c r="M101" s="519"/>
      <c r="N101" s="519"/>
      <c r="P101" s="387"/>
      <c r="Q101" s="390"/>
      <c r="R101" s="390"/>
      <c r="S101" s="390"/>
      <c r="T101" s="388"/>
      <c r="U101" s="472"/>
      <c r="V101" s="459"/>
      <c r="W101" s="459"/>
      <c r="X101" s="459"/>
      <c r="Y101" s="460"/>
      <c r="Z101" s="472"/>
      <c r="AA101" s="459"/>
      <c r="AB101" s="459"/>
      <c r="AC101" s="459"/>
      <c r="AD101" s="460"/>
      <c r="AE101" s="47"/>
    </row>
    <row r="102" spans="1:31" ht="15.6" x14ac:dyDescent="0.3">
      <c r="B102" s="519"/>
      <c r="C102" s="519"/>
      <c r="D102" s="519"/>
      <c r="E102" s="519"/>
      <c r="F102" s="519"/>
      <c r="G102" s="519"/>
      <c r="H102" s="519"/>
      <c r="I102" s="519"/>
      <c r="J102" s="519"/>
      <c r="K102" s="519"/>
      <c r="L102" s="519"/>
      <c r="M102" s="519"/>
      <c r="N102" s="519"/>
      <c r="P102" s="387"/>
      <c r="Q102" s="390"/>
      <c r="R102" s="390"/>
      <c r="S102" s="390"/>
      <c r="T102" s="388"/>
      <c r="U102" s="472"/>
      <c r="V102" s="459"/>
      <c r="W102" s="459"/>
      <c r="X102" s="459"/>
      <c r="Y102" s="460"/>
      <c r="Z102" s="472"/>
      <c r="AA102" s="459"/>
      <c r="AB102" s="459"/>
      <c r="AC102" s="459"/>
      <c r="AD102" s="460"/>
      <c r="AE102" s="47"/>
    </row>
    <row r="103" spans="1:31" x14ac:dyDescent="0.25">
      <c r="N103" s="120"/>
      <c r="U103" s="47"/>
      <c r="V103" s="47"/>
      <c r="W103" s="47"/>
      <c r="X103" s="47"/>
      <c r="Y103" s="47"/>
      <c r="Z103" s="47"/>
      <c r="AA103" s="47"/>
      <c r="AB103" s="47"/>
      <c r="AC103" s="47"/>
      <c r="AD103" s="47"/>
      <c r="AE103" s="47"/>
    </row>
    <row r="104" spans="1:31" x14ac:dyDescent="0.25">
      <c r="P104" s="387"/>
      <c r="Q104" s="391"/>
      <c r="R104" s="391"/>
      <c r="S104" s="391"/>
      <c r="U104" s="47"/>
      <c r="V104" s="461"/>
      <c r="W104" s="461"/>
      <c r="X104" s="461"/>
      <c r="Y104" s="47"/>
      <c r="Z104" s="47"/>
      <c r="AA104" s="462"/>
      <c r="AB104" s="462"/>
      <c r="AC104" s="462"/>
      <c r="AD104" s="47"/>
      <c r="AE104" s="47"/>
    </row>
    <row r="105" spans="1:31" x14ac:dyDescent="0.25">
      <c r="E105" s="17"/>
      <c r="O105" s="19"/>
      <c r="P105" s="163"/>
      <c r="Q105" s="475"/>
      <c r="R105" s="475"/>
      <c r="S105" s="475"/>
      <c r="T105" s="47"/>
      <c r="U105" s="47"/>
      <c r="V105" s="47"/>
      <c r="W105" s="47"/>
      <c r="X105" s="47"/>
      <c r="Y105" s="47"/>
      <c r="Z105" s="47"/>
      <c r="AA105" s="47"/>
      <c r="AB105" s="47"/>
      <c r="AC105" s="47"/>
      <c r="AD105" s="47"/>
      <c r="AE105" s="47"/>
    </row>
    <row r="106" spans="1:31" x14ac:dyDescent="0.25">
      <c r="A106" s="18" t="s">
        <v>260</v>
      </c>
      <c r="B106" s="163" t="s">
        <v>240</v>
      </c>
      <c r="C106" s="20"/>
      <c r="E106" s="165"/>
      <c r="F106" s="38"/>
      <c r="P106" s="387"/>
      <c r="Q106" s="392"/>
      <c r="R106" s="392"/>
      <c r="S106" s="392"/>
      <c r="T106" s="450"/>
      <c r="U106" s="47"/>
      <c r="V106" s="462"/>
      <c r="W106" s="462"/>
      <c r="X106" s="462"/>
      <c r="Y106" s="397"/>
      <c r="Z106" s="47"/>
      <c r="AA106" s="462"/>
      <c r="AB106" s="462"/>
      <c r="AC106" s="462"/>
      <c r="AD106" s="397"/>
      <c r="AE106" s="47"/>
    </row>
    <row r="107" spans="1:31" x14ac:dyDescent="0.25">
      <c r="B107" s="17" t="s">
        <v>389</v>
      </c>
      <c r="P107" s="387"/>
      <c r="Q107" s="388"/>
      <c r="R107" s="388"/>
      <c r="S107" s="388"/>
      <c r="U107" s="47"/>
      <c r="V107" s="47"/>
      <c r="W107" s="47"/>
      <c r="X107" s="47"/>
      <c r="Y107" s="47"/>
      <c r="Z107" s="47"/>
      <c r="AA107" s="460"/>
      <c r="AB107" s="460"/>
      <c r="AC107" s="460"/>
      <c r="AD107" s="47"/>
      <c r="AE107" s="47"/>
    </row>
    <row r="108" spans="1:31" x14ac:dyDescent="0.25">
      <c r="E108" s="26" t="s">
        <v>61</v>
      </c>
      <c r="F108" s="26" t="s">
        <v>62</v>
      </c>
      <c r="G108" s="26" t="s">
        <v>65</v>
      </c>
      <c r="H108" s="26" t="s">
        <v>203</v>
      </c>
      <c r="I108" s="26" t="s">
        <v>55</v>
      </c>
      <c r="P108" s="393"/>
      <c r="Q108" s="394"/>
      <c r="R108" s="394"/>
      <c r="S108" s="394"/>
      <c r="T108" s="336"/>
      <c r="U108" s="47"/>
      <c r="V108" s="131"/>
      <c r="W108" s="131"/>
      <c r="X108" s="131"/>
      <c r="Y108" s="47"/>
      <c r="Z108" s="47"/>
      <c r="AA108" s="131"/>
      <c r="AB108" s="131"/>
      <c r="AC108" s="131"/>
      <c r="AD108" s="47"/>
      <c r="AE108" s="47"/>
    </row>
    <row r="109" spans="1:31" x14ac:dyDescent="0.25">
      <c r="P109" s="393"/>
      <c r="Q109" s="505"/>
      <c r="R109" s="505"/>
      <c r="S109" s="505"/>
      <c r="T109" s="463"/>
      <c r="U109" s="463"/>
      <c r="V109" s="464"/>
      <c r="W109" s="464"/>
      <c r="X109" s="464"/>
      <c r="Y109" s="397"/>
      <c r="Z109" s="47"/>
      <c r="AA109" s="464"/>
      <c r="AB109" s="464"/>
      <c r="AC109" s="464"/>
      <c r="AD109" s="397"/>
      <c r="AE109" s="47"/>
    </row>
    <row r="110" spans="1:31" x14ac:dyDescent="0.25">
      <c r="B110" s="28" t="s">
        <v>17</v>
      </c>
      <c r="E110" s="55">
        <f>SUM('BGS PTY15 Cost Alloc'!W65:W68)</f>
        <v>1856319.4371117004</v>
      </c>
      <c r="G110" s="55">
        <f>SUM('BGS PTY15 Cost Alloc'!G65:G68)*1000</f>
        <v>2175930000</v>
      </c>
      <c r="I110" s="55">
        <f>SUM('BGS PTY15 Cost Alloc'!I65:I68)*1000</f>
        <v>38075000</v>
      </c>
      <c r="P110" s="387"/>
      <c r="Q110" s="395"/>
      <c r="R110" s="395"/>
      <c r="S110" s="395"/>
      <c r="T110" s="336"/>
      <c r="U110" s="406"/>
      <c r="V110" s="465"/>
      <c r="W110" s="465"/>
      <c r="X110" s="465"/>
      <c r="Y110" s="47"/>
      <c r="Z110" s="47"/>
      <c r="AA110" s="465"/>
      <c r="AB110" s="465"/>
      <c r="AC110" s="465"/>
      <c r="AD110" s="47"/>
      <c r="AE110" s="47"/>
    </row>
    <row r="111" spans="1:31" x14ac:dyDescent="0.25">
      <c r="B111" s="77" t="s">
        <v>72</v>
      </c>
      <c r="E111" s="55">
        <f>ROUND(SUMPRODUCT('BGS PTY15 Cost Alloc'!E65:E68,'BGS PTY15 Cost Alloc'!E38:E41)*1000-AVERAGE('BGS PTY15 Cost Alloc'!E38:E41)*E110,0)</f>
        <v>31192710</v>
      </c>
      <c r="H111" s="55">
        <f>SUMPRODUCT('BGS PTY15 Cost Alloc'!H65:H68,'BGS PTY15 Cost Alloc'!H38:H41)*1000</f>
        <v>16257818.199999999</v>
      </c>
      <c r="O111" s="55"/>
      <c r="P111" s="387"/>
      <c r="Q111" s="396"/>
      <c r="R111" s="396"/>
      <c r="S111" s="396"/>
      <c r="U111" s="406"/>
      <c r="V111" s="465"/>
      <c r="W111" s="465"/>
      <c r="X111" s="465"/>
      <c r="Y111" s="47"/>
      <c r="Z111" s="47"/>
      <c r="AA111" s="465"/>
      <c r="AB111" s="465"/>
      <c r="AC111" s="465"/>
      <c r="AD111" s="47"/>
      <c r="AE111" s="47"/>
    </row>
    <row r="112" spans="1:31" x14ac:dyDescent="0.25">
      <c r="B112" s="77" t="s">
        <v>73</v>
      </c>
      <c r="E112" s="55">
        <f>ROUND(SUM('BGS PTY15 Cost Alloc'!E65:E68)*1000,0)-E110-E111</f>
        <v>45804970.562888294</v>
      </c>
      <c r="H112" s="55">
        <f>SUM('BGS PTY15 Cost Alloc'!H65:H68)*1000-H111</f>
        <v>18662181.800000001</v>
      </c>
      <c r="P112" s="387"/>
      <c r="Q112" s="251"/>
      <c r="R112" s="251"/>
      <c r="S112" s="251"/>
      <c r="T112" s="405"/>
      <c r="U112" s="47"/>
      <c r="V112" s="466"/>
      <c r="W112" s="466"/>
      <c r="X112" s="466"/>
      <c r="Y112" s="47"/>
      <c r="Z112" s="47"/>
      <c r="AA112" s="466"/>
      <c r="AB112" s="466"/>
      <c r="AC112" s="466"/>
      <c r="AD112" s="47"/>
      <c r="AE112" s="47"/>
    </row>
    <row r="113" spans="1:32" x14ac:dyDescent="0.25">
      <c r="B113" s="89" t="s">
        <v>142</v>
      </c>
      <c r="F113" s="55">
        <f>ROUND('BGS PTY15 Cost Alloc'!R65,0)*1000</f>
        <v>1918974000</v>
      </c>
      <c r="P113" s="406"/>
      <c r="Q113" s="109"/>
      <c r="R113" s="109"/>
      <c r="S113" s="109"/>
      <c r="U113" s="47"/>
      <c r="V113" s="467"/>
      <c r="W113" s="467"/>
      <c r="X113" s="467"/>
      <c r="Y113" s="47"/>
      <c r="Z113" s="47"/>
      <c r="AA113" s="467"/>
      <c r="AB113" s="467"/>
      <c r="AC113" s="467"/>
      <c r="AD113" s="47"/>
      <c r="AE113" s="47"/>
    </row>
    <row r="114" spans="1:32" x14ac:dyDescent="0.25">
      <c r="B114" s="89" t="s">
        <v>144</v>
      </c>
      <c r="F114" s="55">
        <f>ROUND('BGS PTY15 Cost Alloc'!R66,0)*1000</f>
        <v>1658254000</v>
      </c>
      <c r="O114" s="19"/>
      <c r="P114" s="163"/>
      <c r="Q114" s="475"/>
      <c r="R114" s="475"/>
      <c r="S114" s="475"/>
      <c r="U114" s="47"/>
      <c r="V114" s="47"/>
      <c r="W114" s="47"/>
      <c r="X114" s="47"/>
      <c r="Y114" s="47"/>
      <c r="Z114" s="47"/>
      <c r="AA114" s="47"/>
      <c r="AB114" s="47"/>
      <c r="AC114" s="47"/>
      <c r="AD114" s="47"/>
      <c r="AE114" s="47"/>
    </row>
    <row r="115" spans="1:32" x14ac:dyDescent="0.25">
      <c r="O115" s="19"/>
      <c r="P115" s="163"/>
      <c r="Q115" s="475"/>
      <c r="R115" s="475"/>
      <c r="S115" s="475"/>
      <c r="U115" s="47"/>
      <c r="V115" s="47"/>
      <c r="W115" s="47"/>
      <c r="X115" s="47"/>
      <c r="Y115" s="47"/>
      <c r="Z115" s="47"/>
      <c r="AA115" s="47"/>
      <c r="AB115" s="47"/>
      <c r="AC115" s="47"/>
      <c r="AD115" s="47"/>
      <c r="AE115" s="47"/>
    </row>
    <row r="116" spans="1:32" x14ac:dyDescent="0.25">
      <c r="B116" s="28" t="s">
        <v>18</v>
      </c>
      <c r="E116" s="55">
        <f>'BGS PTY15 Cost Alloc'!W72-E110</f>
        <v>3806484.1961644995</v>
      </c>
      <c r="F116" s="55">
        <f>ROUND('BGS PTY15 Cost Alloc'!F72,0)*1000-SUM(F113:F114)</f>
        <v>5022127000</v>
      </c>
      <c r="G116" s="55">
        <f>'BGS PTY15 Cost Alloc'!G72*1000-G110</f>
        <v>3781623000</v>
      </c>
      <c r="I116" s="55">
        <f>'BGS PTY15 Cost Alloc'!I72*1000-'Composite Cost Allocation'!I110</f>
        <v>76214000</v>
      </c>
      <c r="P116" s="387"/>
      <c r="Q116" s="286"/>
      <c r="R116" s="286"/>
      <c r="S116" s="286"/>
      <c r="T116" s="409"/>
      <c r="U116" s="468"/>
      <c r="V116" s="469"/>
      <c r="W116" s="469"/>
      <c r="X116" s="469"/>
      <c r="Y116" s="47"/>
      <c r="Z116" s="47"/>
      <c r="AA116" s="469"/>
      <c r="AB116" s="469"/>
      <c r="AC116" s="469"/>
      <c r="AD116" s="47"/>
      <c r="AE116" s="47"/>
    </row>
    <row r="117" spans="1:32" x14ac:dyDescent="0.25">
      <c r="B117" s="77" t="s">
        <v>72</v>
      </c>
      <c r="E117" s="55">
        <f>SUMPRODUCT('BGS PTY15 Cost Alloc'!E60:E71,'BGS PTY15 Cost Alloc'!E33:E44)*1000-E111-SUMPRODUCT('BGS PTY15 Cost Alloc'!W60:W71,'BGS PTY15 Cost Alloc'!E33:E44)</f>
        <v>56845366.462860338</v>
      </c>
      <c r="H117" s="55">
        <f>SUMPRODUCT('BGS PTY15 Cost Alloc'!H60:H71,'BGS PTY15 Cost Alloc'!H33:H44)*1000-H111</f>
        <v>32710314.099999998</v>
      </c>
      <c r="P117" s="387"/>
      <c r="Q117" s="286"/>
      <c r="R117" s="286"/>
      <c r="S117" s="286"/>
      <c r="T117" s="409"/>
      <c r="U117" s="468"/>
      <c r="V117" s="469"/>
      <c r="W117" s="469"/>
      <c r="X117" s="469"/>
      <c r="Y117" s="47"/>
      <c r="Z117" s="470"/>
      <c r="AA117" s="469"/>
      <c r="AB117" s="469"/>
      <c r="AC117" s="469"/>
      <c r="AD117" s="47"/>
      <c r="AE117" s="47"/>
    </row>
    <row r="118" spans="1:32" x14ac:dyDescent="0.25">
      <c r="B118" s="77" t="s">
        <v>73</v>
      </c>
      <c r="E118" s="55">
        <f>'BGS PTY15 Cost Alloc'!E72*1000-E110-E111-E112-E116-E117</f>
        <v>104010149.34097517</v>
      </c>
      <c r="H118" s="55">
        <f>'BGS PTY15 Cost Alloc'!H72*1000-H111-H112-H117</f>
        <v>41881685.900000006</v>
      </c>
      <c r="U118" s="47"/>
      <c r="V118" s="47"/>
      <c r="W118" s="47"/>
      <c r="X118" s="47"/>
      <c r="Y118" s="47"/>
      <c r="Z118" s="470"/>
      <c r="AA118" s="470"/>
      <c r="AB118" s="470"/>
      <c r="AC118" s="470"/>
      <c r="AD118" s="470"/>
      <c r="AE118" s="470"/>
    </row>
    <row r="119" spans="1:32" x14ac:dyDescent="0.25">
      <c r="J119" s="26" t="s">
        <v>13</v>
      </c>
      <c r="K119" s="26"/>
      <c r="L119" s="26"/>
      <c r="U119" s="47"/>
      <c r="V119" s="397"/>
      <c r="W119" s="47"/>
      <c r="X119" s="47"/>
      <c r="Y119" s="47"/>
      <c r="Z119" s="470"/>
      <c r="AA119" s="470"/>
      <c r="AB119" s="470"/>
      <c r="AC119" s="470"/>
      <c r="AD119" s="470"/>
      <c r="AE119" s="470"/>
    </row>
    <row r="120" spans="1:32" x14ac:dyDescent="0.25">
      <c r="B120" s="89" t="s">
        <v>162</v>
      </c>
      <c r="E120" s="55">
        <f>SUM(E110:E114)</f>
        <v>78854000</v>
      </c>
      <c r="F120" s="55">
        <f>SUM(F110:F114)</f>
        <v>3577228000</v>
      </c>
      <c r="G120" s="55">
        <f>SUM(G110:G114)</f>
        <v>2175930000</v>
      </c>
      <c r="H120" s="55">
        <f>SUM(H110:H114)</f>
        <v>34920000</v>
      </c>
      <c r="I120" s="55">
        <f>SUM(I110:I114)</f>
        <v>38075000</v>
      </c>
      <c r="J120" s="55">
        <f>SUM(E120:I120)</f>
        <v>5905007000</v>
      </c>
      <c r="K120" s="55"/>
      <c r="L120" s="55"/>
      <c r="Q120" s="404"/>
      <c r="R120" s="405"/>
      <c r="U120" s="47"/>
      <c r="V120" s="397"/>
      <c r="W120" s="473"/>
      <c r="X120" s="47"/>
      <c r="Y120" s="47"/>
      <c r="Z120" s="470"/>
      <c r="AA120" s="470"/>
      <c r="AB120" s="470"/>
      <c r="AC120" s="470"/>
      <c r="AD120" s="470"/>
      <c r="AE120" s="470"/>
    </row>
    <row r="121" spans="1:32" x14ac:dyDescent="0.25">
      <c r="B121" s="89" t="s">
        <v>163</v>
      </c>
      <c r="E121" s="138">
        <f>SUM(E116:E118)</f>
        <v>164662000</v>
      </c>
      <c r="F121" s="138">
        <f>SUM(F116:F118)</f>
        <v>5022127000</v>
      </c>
      <c r="G121" s="285">
        <f>SUM(G116:G118)</f>
        <v>3781623000</v>
      </c>
      <c r="H121" s="285">
        <f>SUM(H116:H118)</f>
        <v>74592000</v>
      </c>
      <c r="I121" s="285">
        <f>SUM(I116:I118)</f>
        <v>76214000</v>
      </c>
      <c r="J121" s="138">
        <f>SUM(E121:I121)</f>
        <v>9119218000</v>
      </c>
      <c r="K121" s="138"/>
      <c r="L121" s="138"/>
      <c r="U121" s="47"/>
      <c r="V121" s="397"/>
      <c r="W121" s="473"/>
      <c r="X121" s="47"/>
      <c r="Y121" s="47"/>
      <c r="Z121" s="47"/>
      <c r="AA121" s="470"/>
      <c r="AB121" s="470"/>
      <c r="AC121" s="470"/>
      <c r="AD121" s="470"/>
      <c r="AE121" s="470"/>
    </row>
    <row r="122" spans="1:32" x14ac:dyDescent="0.25">
      <c r="B122" s="89" t="s">
        <v>164</v>
      </c>
      <c r="E122" s="55">
        <f>SUM(E120:E121)</f>
        <v>243516000</v>
      </c>
      <c r="F122" s="55">
        <f>SUM(F120:F121)</f>
        <v>8599355000</v>
      </c>
      <c r="G122" s="55">
        <f>SUM(G120:G121)</f>
        <v>5957553000</v>
      </c>
      <c r="H122" s="55">
        <f>SUM(H120:H121)</f>
        <v>109512000</v>
      </c>
      <c r="I122" s="55">
        <f>SUM(I120:I121)</f>
        <v>114289000</v>
      </c>
      <c r="J122" s="55">
        <f>SUM(E122:I122)</f>
        <v>15024225000</v>
      </c>
      <c r="K122" s="55"/>
      <c r="L122" s="55"/>
      <c r="O122" s="411"/>
      <c r="P122" s="412"/>
      <c r="Q122" s="415">
        <v>0.99335096155416447</v>
      </c>
      <c r="R122" s="415">
        <v>0.99261873681846047</v>
      </c>
      <c r="S122" s="415">
        <v>0.99640564773710583</v>
      </c>
      <c r="T122" s="414" t="s">
        <v>255</v>
      </c>
      <c r="U122" s="471"/>
      <c r="V122" s="397"/>
      <c r="W122" s="458"/>
      <c r="X122" s="47"/>
      <c r="Y122" s="47"/>
      <c r="Z122" s="47"/>
      <c r="AA122" s="47"/>
      <c r="AB122" s="47"/>
      <c r="AC122" s="47"/>
      <c r="AD122" s="47"/>
      <c r="AE122" s="47"/>
      <c r="AF122" s="388"/>
    </row>
    <row r="123" spans="1:32" x14ac:dyDescent="0.25">
      <c r="O123" s="47"/>
      <c r="P123" s="165"/>
      <c r="Q123" s="498"/>
      <c r="AF123" s="388"/>
    </row>
    <row r="124" spans="1:32" x14ac:dyDescent="0.25">
      <c r="O124" s="47"/>
      <c r="P124" s="47"/>
      <c r="Q124" s="47"/>
      <c r="AF124" s="388"/>
    </row>
    <row r="125" spans="1:32" x14ac:dyDescent="0.25">
      <c r="P125" s="47"/>
      <c r="Q125" s="163"/>
      <c r="R125" s="47"/>
      <c r="S125" s="47"/>
      <c r="T125" s="47"/>
      <c r="U125" s="47"/>
      <c r="V125" s="47"/>
      <c r="W125" s="47"/>
      <c r="X125" s="47"/>
      <c r="Y125" s="47"/>
    </row>
    <row r="126" spans="1:32" x14ac:dyDescent="0.25">
      <c r="A126" s="18" t="s">
        <v>261</v>
      </c>
      <c r="B126" s="16" t="s">
        <v>96</v>
      </c>
      <c r="P126" s="485"/>
      <c r="Q126" s="163"/>
      <c r="R126" s="47"/>
      <c r="S126" s="47"/>
      <c r="T126" s="47"/>
      <c r="U126" s="47"/>
      <c r="V126" s="47"/>
      <c r="W126" s="47"/>
      <c r="X126" s="47"/>
      <c r="Y126" s="47"/>
    </row>
    <row r="127" spans="1:32" x14ac:dyDescent="0.25">
      <c r="A127" s="22"/>
      <c r="B127" s="16"/>
      <c r="P127" s="486"/>
      <c r="Q127" s="163"/>
      <c r="R127" s="47"/>
      <c r="S127" s="47"/>
      <c r="T127" s="47"/>
      <c r="U127" s="47"/>
      <c r="V127" s="47"/>
      <c r="W127" s="47"/>
      <c r="X127" s="47"/>
      <c r="Y127" s="47"/>
    </row>
    <row r="128" spans="1:32" x14ac:dyDescent="0.25">
      <c r="A128" s="22"/>
      <c r="B128" s="16" t="s">
        <v>97</v>
      </c>
      <c r="P128" s="485"/>
      <c r="Q128" s="163"/>
      <c r="R128" s="47"/>
      <c r="S128" s="47"/>
      <c r="T128" s="47"/>
      <c r="U128" s="47"/>
      <c r="V128" s="47"/>
      <c r="W128" s="47"/>
      <c r="X128" s="47"/>
      <c r="Y128" s="47"/>
    </row>
    <row r="129" spans="1:28" x14ac:dyDescent="0.25">
      <c r="A129" s="22"/>
      <c r="B129" s="17" t="s">
        <v>248</v>
      </c>
      <c r="P129" s="486"/>
      <c r="Q129" s="325"/>
      <c r="R129" s="47"/>
      <c r="S129" s="47"/>
      <c r="T129" s="47"/>
      <c r="U129" s="47"/>
      <c r="V129" s="47"/>
      <c r="W129" s="47"/>
      <c r="X129" s="47"/>
      <c r="Y129" s="47"/>
    </row>
    <row r="130" spans="1:28" x14ac:dyDescent="0.25">
      <c r="A130" s="22"/>
      <c r="B130" s="17" t="s">
        <v>21</v>
      </c>
      <c r="P130" s="486"/>
      <c r="Q130" s="325"/>
      <c r="R130" s="47"/>
      <c r="S130" s="47"/>
      <c r="T130" s="47"/>
      <c r="U130" s="47"/>
      <c r="V130" s="47"/>
      <c r="W130" s="47"/>
      <c r="X130" s="47"/>
      <c r="Y130" s="47"/>
    </row>
    <row r="131" spans="1:28" x14ac:dyDescent="0.25">
      <c r="A131" s="22"/>
      <c r="C131" s="26"/>
      <c r="D131" s="26"/>
      <c r="E131" s="26" t="str">
        <f>E108</f>
        <v>RT{1}</v>
      </c>
      <c r="F131" s="26" t="str">
        <f>F108</f>
        <v>RS{2}</v>
      </c>
      <c r="G131" s="26" t="str">
        <f>G108</f>
        <v>GS{3}</v>
      </c>
      <c r="H131" s="26" t="str">
        <f>H108</f>
        <v>GST {4}</v>
      </c>
      <c r="I131" s="26" t="str">
        <f>I108</f>
        <v>OL/SL</v>
      </c>
      <c r="J131" s="26"/>
      <c r="K131" s="26"/>
      <c r="L131" s="26"/>
      <c r="P131" s="486"/>
      <c r="Q131" s="47"/>
      <c r="R131" s="44"/>
      <c r="S131" s="44"/>
      <c r="T131" s="44"/>
      <c r="U131" s="44"/>
      <c r="V131" s="44"/>
      <c r="W131" s="44"/>
      <c r="X131" s="44"/>
      <c r="Y131" s="44"/>
      <c r="Z131" s="26"/>
    </row>
    <row r="132" spans="1:28" x14ac:dyDescent="0.25">
      <c r="A132" s="22"/>
      <c r="C132" s="26"/>
      <c r="D132" s="26"/>
      <c r="E132" s="74"/>
      <c r="F132" s="26"/>
      <c r="G132" s="26"/>
      <c r="P132" s="486"/>
      <c r="Q132" s="47"/>
      <c r="R132" s="44"/>
      <c r="S132" s="44"/>
      <c r="T132" s="481"/>
      <c r="U132" s="44"/>
      <c r="V132" s="44"/>
      <c r="W132" s="47"/>
      <c r="X132" s="47"/>
      <c r="Y132" s="47"/>
      <c r="AA132" s="26"/>
    </row>
    <row r="133" spans="1:28" x14ac:dyDescent="0.25">
      <c r="A133" s="22"/>
      <c r="B133" s="28" t="s">
        <v>17</v>
      </c>
      <c r="C133" s="74"/>
      <c r="D133" s="74"/>
      <c r="E133" s="74">
        <f>E85*1000/(E110/1000)</f>
        <v>86.420281378138597</v>
      </c>
      <c r="F133" s="74"/>
      <c r="G133" s="74">
        <f>G85*1000/(G110/1000)*S122</f>
        <v>80.964405335838435</v>
      </c>
      <c r="H133" s="74"/>
      <c r="I133" s="74">
        <f>I85*1000/(I110/1000)</f>
        <v>55.899500911722534</v>
      </c>
      <c r="J133" s="74"/>
      <c r="K133" s="74"/>
      <c r="L133" s="74"/>
      <c r="M133" s="74"/>
      <c r="P133" s="486"/>
      <c r="Q133" s="487"/>
      <c r="R133" s="481"/>
      <c r="S133" s="481"/>
      <c r="T133" s="481"/>
      <c r="U133" s="481"/>
      <c r="V133" s="481"/>
      <c r="W133" s="481"/>
      <c r="X133" s="481"/>
      <c r="Y133" s="481"/>
      <c r="Z133" s="74"/>
    </row>
    <row r="134" spans="1:28" x14ac:dyDescent="0.25">
      <c r="A134" s="22"/>
      <c r="B134" s="77" t="s">
        <v>72</v>
      </c>
      <c r="C134" s="74"/>
      <c r="D134" s="74"/>
      <c r="E134" s="74">
        <f>E86*1000/(E111/1000)*Q122</f>
        <v>135.28779617001405</v>
      </c>
      <c r="F134" s="74"/>
      <c r="G134" s="74"/>
      <c r="H134" s="74">
        <f>H86*1000/(H111/1000)</f>
        <v>120.49320722620234</v>
      </c>
      <c r="I134" s="74"/>
      <c r="J134" s="74"/>
      <c r="K134" s="74"/>
      <c r="L134" s="74"/>
      <c r="P134" s="486"/>
      <c r="Q134" s="488"/>
      <c r="R134" s="481"/>
      <c r="S134" s="481"/>
      <c r="T134" s="481"/>
      <c r="U134" s="481"/>
      <c r="V134" s="481"/>
      <c r="W134" s="481"/>
      <c r="X134" s="481"/>
      <c r="Y134" s="481"/>
      <c r="Z134" s="74"/>
      <c r="AA134" s="74"/>
      <c r="AB134" s="74"/>
    </row>
    <row r="135" spans="1:28" x14ac:dyDescent="0.25">
      <c r="A135" s="22"/>
      <c r="B135" s="77" t="s">
        <v>73</v>
      </c>
      <c r="C135" s="74"/>
      <c r="D135" s="74"/>
      <c r="E135" s="74">
        <f>E87*1000/(E112/1000)*Q122</f>
        <v>52.17895922500324</v>
      </c>
      <c r="F135" s="74"/>
      <c r="G135" s="74"/>
      <c r="H135" s="74">
        <f>H87*1000/(H112/1000)</f>
        <v>53.582744135646401</v>
      </c>
      <c r="I135" s="74"/>
      <c r="J135" s="74"/>
      <c r="K135" s="74"/>
      <c r="L135" s="74"/>
      <c r="P135" s="486"/>
      <c r="Q135" s="488"/>
      <c r="R135" s="481"/>
      <c r="S135" s="481"/>
      <c r="T135" s="481"/>
      <c r="U135" s="481"/>
      <c r="V135" s="481"/>
      <c r="W135" s="481"/>
      <c r="X135" s="481"/>
      <c r="Y135" s="481"/>
      <c r="Z135" s="74"/>
      <c r="AA135" s="74"/>
    </row>
    <row r="136" spans="1:28" x14ac:dyDescent="0.25">
      <c r="A136" s="22"/>
      <c r="B136" s="89" t="s">
        <v>142</v>
      </c>
      <c r="C136" s="74"/>
      <c r="D136" s="74"/>
      <c r="E136" s="74"/>
      <c r="F136" s="74">
        <f>F88*1000/(F113/1000)*R122</f>
        <v>76.460457281098286</v>
      </c>
      <c r="G136" s="74"/>
      <c r="H136" s="74"/>
      <c r="I136" s="74"/>
      <c r="J136" s="74"/>
      <c r="K136" s="74"/>
      <c r="L136" s="74"/>
      <c r="P136" s="486"/>
      <c r="Q136" s="114"/>
      <c r="R136" s="481"/>
      <c r="S136" s="481"/>
      <c r="T136" s="481"/>
      <c r="U136" s="481"/>
      <c r="V136" s="481"/>
      <c r="W136" s="481"/>
      <c r="X136" s="481"/>
      <c r="Y136" s="481"/>
      <c r="Z136" s="74"/>
      <c r="AA136" s="74"/>
    </row>
    <row r="137" spans="1:28" x14ac:dyDescent="0.25">
      <c r="A137" s="22"/>
      <c r="B137" s="89" t="s">
        <v>144</v>
      </c>
      <c r="C137" s="74"/>
      <c r="D137" s="74"/>
      <c r="E137" s="74"/>
      <c r="F137" s="74">
        <f>F89*1000/(F114/1000)*R122</f>
        <v>85.048594592051572</v>
      </c>
      <c r="G137" s="119"/>
      <c r="H137" s="74"/>
      <c r="I137" s="74"/>
      <c r="J137" s="74"/>
      <c r="K137" s="74"/>
      <c r="L137" s="74"/>
      <c r="P137" s="486"/>
      <c r="Q137" s="114"/>
      <c r="R137" s="481"/>
      <c r="S137" s="481"/>
      <c r="T137" s="481"/>
      <c r="U137" s="481"/>
      <c r="V137" s="489"/>
      <c r="W137" s="481"/>
      <c r="X137" s="481"/>
      <c r="Y137" s="481"/>
      <c r="Z137" s="74"/>
      <c r="AA137" s="74"/>
    </row>
    <row r="138" spans="1:28" x14ac:dyDescent="0.25">
      <c r="A138" s="22"/>
      <c r="C138" s="74"/>
      <c r="D138" s="74"/>
      <c r="E138" s="74"/>
      <c r="F138" s="74"/>
      <c r="G138" s="74"/>
      <c r="H138" s="74"/>
      <c r="I138" s="74"/>
      <c r="J138" s="74"/>
      <c r="K138" s="74"/>
      <c r="L138" s="74"/>
      <c r="P138" s="486"/>
      <c r="Q138" s="47"/>
      <c r="R138" s="481"/>
      <c r="S138" s="481"/>
      <c r="T138" s="481"/>
      <c r="U138" s="481"/>
      <c r="V138" s="481"/>
      <c r="W138" s="481"/>
      <c r="X138" s="481"/>
      <c r="Y138" s="481"/>
      <c r="Z138" s="74"/>
      <c r="AA138" s="74"/>
    </row>
    <row r="139" spans="1:28" x14ac:dyDescent="0.25">
      <c r="A139" s="22"/>
      <c r="B139" s="28" t="s">
        <v>18</v>
      </c>
      <c r="C139" s="74"/>
      <c r="D139" s="74"/>
      <c r="E139" s="74">
        <f>E91*1000/(E116/1000)</f>
        <v>84.073499457888602</v>
      </c>
      <c r="F139" s="74">
        <f>F91*1000/(F116/1000)*R122</f>
        <v>85.467746290690172</v>
      </c>
      <c r="G139" s="74">
        <f>G91*1000/(G116/1000)*S122</f>
        <v>80.740707912204201</v>
      </c>
      <c r="H139" s="74"/>
      <c r="I139" s="74">
        <f>I91*1000/(I116/1000)</f>
        <v>56.918056769345796</v>
      </c>
      <c r="J139" s="74"/>
      <c r="K139" s="74"/>
      <c r="L139" s="74"/>
      <c r="M139" s="74"/>
      <c r="P139" s="486"/>
      <c r="Q139" s="487"/>
      <c r="R139" s="481"/>
      <c r="S139" s="481"/>
      <c r="T139" s="481"/>
      <c r="U139" s="481"/>
      <c r="V139" s="481"/>
      <c r="W139" s="481"/>
      <c r="X139" s="481"/>
      <c r="Y139" s="481"/>
      <c r="Z139" s="74"/>
      <c r="AA139" s="74"/>
    </row>
    <row r="140" spans="1:28" x14ac:dyDescent="0.25">
      <c r="A140" s="22"/>
      <c r="B140" s="77" t="s">
        <v>72</v>
      </c>
      <c r="C140" s="74"/>
      <c r="D140" s="74"/>
      <c r="E140" s="74">
        <f>E92*1000/(E117/1000)*Q122</f>
        <v>135.82973248049862</v>
      </c>
      <c r="F140" s="74"/>
      <c r="G140" s="74"/>
      <c r="H140" s="74">
        <f>H92*1000/(H117/1000)</f>
        <v>113.12118488355158</v>
      </c>
      <c r="I140" s="74"/>
      <c r="J140" s="74"/>
      <c r="K140" s="74"/>
      <c r="L140" s="74"/>
      <c r="P140" s="486"/>
      <c r="Q140" s="488"/>
      <c r="R140" s="481"/>
      <c r="S140" s="481"/>
      <c r="T140" s="481"/>
      <c r="U140" s="481"/>
      <c r="V140" s="481"/>
      <c r="W140" s="481"/>
      <c r="X140" s="481"/>
      <c r="Y140" s="481"/>
      <c r="Z140" s="74"/>
      <c r="AA140" s="74"/>
      <c r="AB140" s="74"/>
    </row>
    <row r="141" spans="1:28" x14ac:dyDescent="0.25">
      <c r="A141" s="22"/>
      <c r="B141" s="77" t="s">
        <v>73</v>
      </c>
      <c r="C141" s="74"/>
      <c r="D141" s="74"/>
      <c r="E141" s="74">
        <f>E93*1000/(E118/1000)*Q122</f>
        <v>54.919343643464074</v>
      </c>
      <c r="F141" s="74"/>
      <c r="G141" s="74"/>
      <c r="H141" s="74">
        <f>H93*1000/(H118/1000)</f>
        <v>54.756188963141526</v>
      </c>
      <c r="I141" s="74"/>
      <c r="J141" s="74"/>
      <c r="K141" s="74"/>
      <c r="L141" s="74"/>
      <c r="P141" s="486"/>
      <c r="Q141" s="488"/>
      <c r="R141" s="481"/>
      <c r="S141" s="481"/>
      <c r="T141" s="481"/>
      <c r="U141" s="481"/>
      <c r="V141" s="481"/>
      <c r="W141" s="481"/>
      <c r="X141" s="481"/>
      <c r="Y141" s="481"/>
      <c r="Z141" s="74"/>
      <c r="AA141" s="74"/>
    </row>
    <row r="142" spans="1:28" x14ac:dyDescent="0.25">
      <c r="A142" s="22"/>
      <c r="C142" s="74"/>
      <c r="D142" s="74"/>
      <c r="E142" s="74"/>
      <c r="F142" s="74"/>
      <c r="G142" s="74"/>
      <c r="H142" s="74"/>
      <c r="I142" s="74"/>
      <c r="J142" s="74"/>
      <c r="K142" s="74"/>
      <c r="L142" s="74"/>
      <c r="P142" s="486"/>
      <c r="Q142" s="47"/>
      <c r="R142" s="481"/>
      <c r="S142" s="481"/>
      <c r="T142" s="481"/>
      <c r="U142" s="481"/>
      <c r="V142" s="481"/>
      <c r="W142" s="481"/>
      <c r="X142" s="481"/>
      <c r="Y142" s="481"/>
      <c r="Z142" s="74"/>
      <c r="AA142" s="74"/>
    </row>
    <row r="143" spans="1:28" x14ac:dyDescent="0.25">
      <c r="A143" s="22"/>
      <c r="B143" s="13" t="s">
        <v>98</v>
      </c>
      <c r="C143" s="74"/>
      <c r="D143" s="74"/>
      <c r="E143" s="80">
        <f>E98*1000/(E122/1000)*Q122</f>
        <v>84.268640723710917</v>
      </c>
      <c r="F143" s="80">
        <f>F98*1000/(F122/1000)*R122</f>
        <v>83.376913501397624</v>
      </c>
      <c r="G143" s="80">
        <f>G98*1000/(G122/1000)*S122</f>
        <v>80.822410909224686</v>
      </c>
      <c r="H143" s="80">
        <f>H98*1000/(H122/1000)</f>
        <v>81.748471089573059</v>
      </c>
      <c r="I143" s="80">
        <f>I98*1000/(I122/1000)</f>
        <v>56.578728275098712</v>
      </c>
      <c r="J143" s="74"/>
      <c r="K143" s="74"/>
      <c r="L143" s="74"/>
      <c r="M143" s="74"/>
      <c r="P143" s="486"/>
      <c r="Q143" s="47"/>
      <c r="R143" s="481"/>
      <c r="S143" s="481"/>
      <c r="T143" s="481"/>
      <c r="U143" s="481"/>
      <c r="V143" s="481"/>
      <c r="W143" s="481"/>
      <c r="X143" s="481"/>
      <c r="Y143" s="481"/>
      <c r="Z143" s="74"/>
      <c r="AA143" s="74"/>
    </row>
    <row r="144" spans="1:28" x14ac:dyDescent="0.25">
      <c r="A144" s="22"/>
      <c r="C144" s="74"/>
      <c r="D144" s="74"/>
      <c r="E144" s="74"/>
      <c r="F144" s="74"/>
      <c r="G144" s="74"/>
      <c r="H144" s="74"/>
      <c r="I144" s="74"/>
      <c r="J144" s="74"/>
      <c r="K144" s="74"/>
      <c r="L144" s="74"/>
      <c r="M144" s="74"/>
      <c r="P144" s="486"/>
      <c r="Q144" s="47"/>
      <c r="R144" s="481"/>
      <c r="S144" s="481"/>
      <c r="T144" s="490"/>
      <c r="U144" s="490"/>
      <c r="V144" s="490"/>
      <c r="W144" s="491"/>
      <c r="X144" s="491"/>
      <c r="Y144" s="481"/>
      <c r="Z144" s="74"/>
      <c r="AA144" s="74"/>
      <c r="AB144" s="74"/>
    </row>
    <row r="145" spans="1:29" x14ac:dyDescent="0.25">
      <c r="A145" s="22"/>
      <c r="B145" s="16" t="s">
        <v>99</v>
      </c>
      <c r="P145" s="486"/>
      <c r="Q145" s="163"/>
      <c r="R145" s="47"/>
      <c r="S145" s="47"/>
      <c r="T145" s="492"/>
      <c r="U145" s="492"/>
      <c r="V145" s="492"/>
      <c r="W145" s="492"/>
      <c r="X145" s="492"/>
      <c r="Y145" s="47"/>
      <c r="AA145" s="74"/>
      <c r="AB145" s="74"/>
    </row>
    <row r="146" spans="1:29" x14ac:dyDescent="0.25">
      <c r="A146" s="22"/>
      <c r="B146" s="17" t="s">
        <v>100</v>
      </c>
      <c r="P146" s="486"/>
      <c r="Q146" s="325"/>
      <c r="R146" s="47"/>
      <c r="S146" s="47"/>
      <c r="T146" s="47"/>
      <c r="U146" s="47"/>
      <c r="V146" s="47"/>
      <c r="W146" s="47"/>
      <c r="X146" s="47"/>
      <c r="Y146" s="47"/>
    </row>
    <row r="147" spans="1:29" x14ac:dyDescent="0.25">
      <c r="A147" s="22"/>
      <c r="B147" s="17" t="s">
        <v>21</v>
      </c>
      <c r="P147" s="47"/>
      <c r="Q147" s="47"/>
      <c r="R147" s="397"/>
      <c r="S147" s="397"/>
      <c r="T147" s="47"/>
      <c r="U147" s="47"/>
      <c r="V147" s="47"/>
      <c r="W147" s="47"/>
      <c r="X147" s="47"/>
      <c r="Y147" s="47"/>
      <c r="Z147" s="47"/>
    </row>
    <row r="148" spans="1:29" x14ac:dyDescent="0.25">
      <c r="A148" s="22"/>
      <c r="B148" s="77"/>
      <c r="C148" s="74"/>
      <c r="D148" s="74"/>
      <c r="I148" s="89"/>
      <c r="J148" s="80"/>
      <c r="K148" s="80"/>
      <c r="L148" s="80"/>
      <c r="M148" s="93"/>
      <c r="P148" s="47"/>
      <c r="Q148" s="398"/>
      <c r="R148" s="399"/>
      <c r="S148" s="399"/>
      <c r="T148" s="225"/>
      <c r="U148" s="225"/>
      <c r="V148" s="47"/>
      <c r="W148" s="47"/>
      <c r="X148" s="114"/>
      <c r="Y148" s="400"/>
      <c r="Z148" s="400"/>
    </row>
    <row r="149" spans="1:29" x14ac:dyDescent="0.25">
      <c r="A149" s="22"/>
      <c r="C149" s="74"/>
      <c r="D149" s="74"/>
      <c r="P149" s="47"/>
      <c r="Q149" s="225"/>
      <c r="R149" s="399"/>
      <c r="S149" s="399"/>
      <c r="T149" s="225"/>
      <c r="U149" s="225"/>
      <c r="V149" s="225"/>
      <c r="W149" s="225"/>
      <c r="X149" s="225"/>
      <c r="Y149" s="225"/>
      <c r="Z149" s="225"/>
      <c r="AA149" s="80"/>
      <c r="AB149" s="93"/>
    </row>
    <row r="150" spans="1:29" x14ac:dyDescent="0.25">
      <c r="A150" s="22"/>
      <c r="B150" s="37" t="s">
        <v>101</v>
      </c>
      <c r="C150" s="74"/>
      <c r="D150" s="74"/>
      <c r="I150" s="96"/>
      <c r="M150" s="93"/>
      <c r="P150" s="47"/>
      <c r="Q150" s="401"/>
      <c r="R150" s="399"/>
      <c r="S150" s="399"/>
      <c r="T150" s="225"/>
      <c r="U150" s="225"/>
      <c r="V150" s="225"/>
      <c r="W150" s="225"/>
      <c r="X150" s="225"/>
      <c r="Y150" s="225"/>
      <c r="Z150" s="225"/>
    </row>
    <row r="151" spans="1:29" x14ac:dyDescent="0.25">
      <c r="A151" s="22"/>
      <c r="B151" s="77"/>
      <c r="C151" s="74"/>
      <c r="D151" s="74"/>
      <c r="I151" s="89"/>
      <c r="J151" s="97"/>
      <c r="K151" s="97"/>
      <c r="L151" s="97"/>
      <c r="M151" s="93"/>
      <c r="P151" s="47"/>
      <c r="Q151" s="398"/>
      <c r="R151" s="399"/>
      <c r="S151" s="399"/>
      <c r="T151" s="225"/>
      <c r="U151" s="225"/>
      <c r="V151" s="225"/>
      <c r="W151" s="225"/>
      <c r="X151" s="225"/>
      <c r="Y151" s="225"/>
      <c r="Z151" s="225"/>
      <c r="AB151" s="93"/>
    </row>
    <row r="152" spans="1:29" x14ac:dyDescent="0.25">
      <c r="A152" s="22"/>
      <c r="B152" s="16" t="s">
        <v>102</v>
      </c>
      <c r="C152" s="74"/>
      <c r="D152" s="74"/>
      <c r="P152" s="47"/>
      <c r="Q152" s="398"/>
      <c r="R152" s="399"/>
      <c r="S152" s="399"/>
      <c r="T152" s="225"/>
      <c r="U152" s="225"/>
      <c r="V152" s="225"/>
      <c r="W152" s="225"/>
      <c r="X152" s="225"/>
      <c r="Y152" s="225"/>
      <c r="Z152" s="225"/>
    </row>
    <row r="153" spans="1:29" x14ac:dyDescent="0.25">
      <c r="A153" s="22"/>
      <c r="B153" s="89" t="s">
        <v>103</v>
      </c>
      <c r="C153" s="84">
        <f>J98</f>
        <v>1241636.9246968168</v>
      </c>
      <c r="G153" s="81"/>
      <c r="P153" s="47"/>
      <c r="Q153" s="398"/>
      <c r="R153" s="399"/>
      <c r="S153" s="399"/>
      <c r="T153" s="225"/>
      <c r="U153" s="225"/>
      <c r="V153" s="225"/>
      <c r="W153" s="225"/>
      <c r="X153" s="225"/>
      <c r="Y153" s="225"/>
      <c r="Z153" s="225"/>
    </row>
    <row r="154" spans="1:29" x14ac:dyDescent="0.25">
      <c r="A154" s="22"/>
      <c r="C154" s="89" t="s">
        <v>104</v>
      </c>
      <c r="D154" s="95">
        <f>+C153/SUMPRODUCT('BGS PTY15 Cost Alloc'!E72:I72,'BGS PTY15 Cost Alloc'!E95:I95)*1000</f>
        <v>73.919843151955675</v>
      </c>
      <c r="E154" s="13" t="s">
        <v>105</v>
      </c>
      <c r="I154" s="13" t="s">
        <v>255</v>
      </c>
      <c r="P154" s="47"/>
      <c r="Q154" s="398"/>
      <c r="R154" s="399"/>
      <c r="S154" s="399"/>
      <c r="T154" s="225"/>
      <c r="U154" s="225"/>
      <c r="V154" s="225"/>
      <c r="W154" s="225"/>
      <c r="X154" s="225"/>
      <c r="Y154" s="225"/>
      <c r="Z154" s="225"/>
    </row>
    <row r="155" spans="1:29" x14ac:dyDescent="0.25">
      <c r="A155" s="22"/>
      <c r="B155" s="241"/>
      <c r="C155" s="248" t="s">
        <v>269</v>
      </c>
      <c r="D155" s="249">
        <f>C153/SUMPRODUCT('BGS PTY15 Cost Alloc'!E72:I72,'BGS PTY15 Cost Alloc'!E98:I98)*1000</f>
        <v>74.471361936831926</v>
      </c>
      <c r="E155" s="241" t="s">
        <v>268</v>
      </c>
      <c r="F155" s="241"/>
      <c r="G155" s="241"/>
      <c r="H155" s="241"/>
      <c r="I155" s="241"/>
      <c r="J155" s="251"/>
      <c r="K155" s="251"/>
      <c r="L155" s="251"/>
      <c r="P155" s="47"/>
      <c r="Q155" s="47"/>
      <c r="R155" s="114"/>
      <c r="S155" s="493"/>
      <c r="T155" s="47"/>
      <c r="U155" s="47"/>
      <c r="V155" s="47"/>
      <c r="W155" s="47"/>
      <c r="X155" s="47"/>
      <c r="Y155" s="466"/>
      <c r="Z155" s="251"/>
    </row>
    <row r="156" spans="1:29" ht="15.6" x14ac:dyDescent="0.3">
      <c r="A156" s="22"/>
      <c r="B156" s="519" t="str">
        <f>$B$1</f>
        <v xml:space="preserve">Jersey Central Power &amp; Light </v>
      </c>
      <c r="C156" s="519"/>
      <c r="D156" s="519"/>
      <c r="E156" s="519"/>
      <c r="F156" s="519"/>
      <c r="G156" s="519"/>
      <c r="H156" s="519"/>
      <c r="I156" s="519"/>
      <c r="J156" s="519"/>
      <c r="K156" s="519"/>
      <c r="L156" s="519"/>
      <c r="M156" s="519"/>
      <c r="N156" s="519"/>
      <c r="P156" s="486"/>
      <c r="Q156" s="494"/>
      <c r="R156" s="494"/>
      <c r="S156" s="494"/>
      <c r="T156" s="494"/>
      <c r="U156" s="494"/>
      <c r="V156" s="494"/>
      <c r="W156" s="494"/>
      <c r="X156" s="494"/>
      <c r="Y156" s="494"/>
      <c r="Z156" s="407"/>
      <c r="AA156" s="251"/>
    </row>
    <row r="157" spans="1:29" ht="15.6" x14ac:dyDescent="0.3">
      <c r="A157" s="22"/>
      <c r="B157" s="519" t="str">
        <f>$B$2</f>
        <v>Attachment 2</v>
      </c>
      <c r="C157" s="519"/>
      <c r="D157" s="519"/>
      <c r="E157" s="519"/>
      <c r="F157" s="519"/>
      <c r="G157" s="519"/>
      <c r="H157" s="519"/>
      <c r="I157" s="519"/>
      <c r="J157" s="519"/>
      <c r="K157" s="519"/>
      <c r="L157" s="519"/>
      <c r="M157" s="519"/>
      <c r="N157" s="519"/>
      <c r="P157" s="486"/>
      <c r="Q157" s="494"/>
      <c r="R157" s="494"/>
      <c r="S157" s="494"/>
      <c r="T157" s="494"/>
      <c r="U157" s="494"/>
      <c r="V157" s="494"/>
      <c r="W157" s="494"/>
      <c r="X157" s="494"/>
      <c r="Y157" s="494"/>
      <c r="Z157" s="407"/>
      <c r="AA157" s="407"/>
      <c r="AB157" s="407"/>
      <c r="AC157" s="407"/>
    </row>
    <row r="158" spans="1:29" ht="15.6" x14ac:dyDescent="0.3">
      <c r="A158" s="22"/>
      <c r="B158" s="413"/>
      <c r="C158" s="413"/>
      <c r="D158" s="413"/>
      <c r="E158" s="413"/>
      <c r="F158" s="413"/>
      <c r="G158" s="413"/>
      <c r="H158" s="413"/>
      <c r="I158" s="413"/>
      <c r="J158" s="413"/>
      <c r="K158" s="413"/>
      <c r="L158" s="413"/>
      <c r="M158" s="413"/>
      <c r="N158" s="413"/>
      <c r="P158" s="486"/>
      <c r="Q158" s="494"/>
      <c r="R158" s="494"/>
      <c r="S158" s="494"/>
      <c r="T158" s="494"/>
      <c r="U158" s="494"/>
      <c r="V158" s="494"/>
      <c r="W158" s="494"/>
      <c r="X158" s="494"/>
      <c r="Y158" s="494"/>
      <c r="Z158" s="413"/>
      <c r="AA158" s="413"/>
      <c r="AB158" s="413"/>
      <c r="AC158" s="413"/>
    </row>
    <row r="159" spans="1:29" x14ac:dyDescent="0.25">
      <c r="A159" s="18" t="s">
        <v>262</v>
      </c>
      <c r="B159" s="247" t="s">
        <v>272</v>
      </c>
      <c r="C159" s="241"/>
      <c r="D159" s="241"/>
      <c r="E159" s="241"/>
      <c r="F159" s="241"/>
      <c r="G159" s="241"/>
      <c r="H159" s="241"/>
      <c r="I159" s="241"/>
      <c r="J159" s="16" t="s">
        <v>255</v>
      </c>
      <c r="K159" s="16"/>
      <c r="L159" s="16"/>
      <c r="M159" s="16"/>
      <c r="N159" s="16"/>
      <c r="P159" s="485"/>
      <c r="Q159" s="163"/>
      <c r="R159" s="47"/>
      <c r="S159" s="47"/>
      <c r="T159" s="47"/>
      <c r="U159" s="47"/>
      <c r="V159" s="47"/>
      <c r="W159" s="47"/>
      <c r="X159" s="47"/>
      <c r="Y159" s="163"/>
      <c r="Z159" s="16"/>
    </row>
    <row r="160" spans="1:29" x14ac:dyDescent="0.25">
      <c r="A160" s="22"/>
      <c r="B160" s="247"/>
      <c r="C160" s="241"/>
      <c r="D160" s="241"/>
      <c r="E160" s="241"/>
      <c r="F160" s="241"/>
      <c r="G160" s="241"/>
      <c r="H160" s="241"/>
      <c r="I160" s="241"/>
      <c r="P160" s="486"/>
      <c r="Q160" s="163"/>
      <c r="R160" s="47"/>
      <c r="S160" s="47"/>
      <c r="T160" s="47"/>
      <c r="U160" s="47"/>
      <c r="V160" s="47"/>
      <c r="W160" s="47"/>
      <c r="X160" s="47"/>
      <c r="Y160" s="47"/>
      <c r="AA160" s="16"/>
      <c r="AB160" s="16"/>
      <c r="AC160" s="16"/>
    </row>
    <row r="161" spans="1:29" x14ac:dyDescent="0.25">
      <c r="A161" s="22"/>
      <c r="B161" s="247" t="s">
        <v>97</v>
      </c>
      <c r="C161" s="241"/>
      <c r="D161" s="241"/>
      <c r="E161" s="241"/>
      <c r="F161" s="241"/>
      <c r="G161" s="241"/>
      <c r="H161" s="241"/>
      <c r="I161" s="241"/>
      <c r="P161" s="486"/>
      <c r="Q161" s="163"/>
      <c r="R161" s="47"/>
      <c r="S161" s="47"/>
      <c r="T161" s="47"/>
      <c r="U161" s="47"/>
      <c r="V161" s="47"/>
      <c r="W161" s="47"/>
      <c r="X161" s="47"/>
      <c r="Y161" s="47"/>
    </row>
    <row r="162" spans="1:29" x14ac:dyDescent="0.25">
      <c r="A162" s="22"/>
      <c r="B162" s="256" t="s">
        <v>249</v>
      </c>
      <c r="C162" s="241"/>
      <c r="D162" s="241"/>
      <c r="E162" s="241"/>
      <c r="F162" s="241"/>
      <c r="G162" s="241"/>
      <c r="H162" s="241"/>
      <c r="I162" s="241"/>
      <c r="P162" s="486"/>
      <c r="Q162" s="325"/>
      <c r="R162" s="47"/>
      <c r="S162" s="47"/>
      <c r="T162" s="47"/>
      <c r="U162" s="47"/>
      <c r="V162" s="47"/>
      <c r="W162" s="47"/>
      <c r="X162" s="47"/>
      <c r="Y162" s="47"/>
    </row>
    <row r="163" spans="1:29" x14ac:dyDescent="0.25">
      <c r="A163" s="22"/>
      <c r="B163" s="247"/>
      <c r="C163" s="241"/>
      <c r="D163" s="241"/>
      <c r="E163" s="241"/>
      <c r="F163" s="241"/>
      <c r="G163" s="241"/>
      <c r="H163" s="241"/>
      <c r="I163" s="241"/>
      <c r="P163" s="486"/>
      <c r="Q163" s="163"/>
      <c r="R163" s="47"/>
      <c r="S163" s="47"/>
      <c r="T163" s="47"/>
      <c r="U163" s="47"/>
      <c r="V163" s="47"/>
      <c r="W163" s="47"/>
      <c r="X163" s="47"/>
      <c r="Y163" s="47"/>
    </row>
    <row r="164" spans="1:29" x14ac:dyDescent="0.25">
      <c r="A164" s="22"/>
      <c r="B164" s="241"/>
      <c r="C164" s="244"/>
      <c r="D164" s="244"/>
      <c r="E164" s="244" t="str">
        <f>+E$10</f>
        <v>RT{1}</v>
      </c>
      <c r="F164" s="244" t="str">
        <f>+F$10</f>
        <v>RS{2}</v>
      </c>
      <c r="G164" s="244" t="str">
        <f>+G$10</f>
        <v>GS{3}</v>
      </c>
      <c r="H164" s="244" t="str">
        <f>+H$10</f>
        <v>GST {4}</v>
      </c>
      <c r="I164" s="244" t="str">
        <f>+I$10</f>
        <v>OL/SL</v>
      </c>
      <c r="J164" s="26"/>
      <c r="K164" s="26"/>
      <c r="L164" s="26"/>
      <c r="M164" s="26"/>
      <c r="N164" s="26"/>
      <c r="P164" s="486"/>
      <c r="Q164" s="47"/>
      <c r="R164" s="44"/>
      <c r="S164" s="44"/>
      <c r="T164" s="44"/>
      <c r="U164" s="44"/>
      <c r="V164" s="44"/>
      <c r="W164" s="44"/>
      <c r="X164" s="44"/>
      <c r="Y164" s="44"/>
      <c r="Z164" s="26"/>
    </row>
    <row r="165" spans="1:29" x14ac:dyDescent="0.25">
      <c r="A165" s="22"/>
      <c r="B165" s="241"/>
      <c r="C165" s="244"/>
      <c r="D165" s="244"/>
      <c r="E165" s="499"/>
      <c r="F165" s="244"/>
      <c r="G165" s="244"/>
      <c r="H165" s="241"/>
      <c r="I165" s="241"/>
      <c r="P165" s="486"/>
      <c r="Q165" s="47"/>
      <c r="R165" s="44"/>
      <c r="S165" s="44"/>
      <c r="T165" s="44"/>
      <c r="U165" s="44"/>
      <c r="V165" s="44"/>
      <c r="W165" s="47"/>
      <c r="X165" s="47"/>
      <c r="Y165" s="47"/>
      <c r="AA165" s="26"/>
      <c r="AB165" s="26"/>
      <c r="AC165" s="26"/>
    </row>
    <row r="166" spans="1:29" x14ac:dyDescent="0.25">
      <c r="A166" s="22"/>
      <c r="B166" s="257" t="s">
        <v>17</v>
      </c>
      <c r="C166" s="258"/>
      <c r="D166" s="258"/>
      <c r="E166" s="259">
        <f>+ROUND(E133/$D$155,3)</f>
        <v>1.1599999999999999</v>
      </c>
      <c r="F166" s="500">
        <f>ROUND((F88+F89)*R122*1000000/(F113+F114)/D155,3)</f>
        <v>1.08</v>
      </c>
      <c r="G166" s="259">
        <f>+ROUND(G133/$D$155,3)</f>
        <v>1.087</v>
      </c>
      <c r="H166" s="259"/>
      <c r="I166" s="259">
        <f>+ROUND(I133/$D$155,3)</f>
        <v>0.751</v>
      </c>
      <c r="J166" s="98"/>
      <c r="K166" s="98"/>
      <c r="L166" s="98"/>
      <c r="M166" s="98"/>
      <c r="N166" s="98"/>
      <c r="P166" s="486"/>
      <c r="Q166" s="487"/>
      <c r="R166" s="98"/>
      <c r="S166" s="98"/>
      <c r="T166" s="123"/>
      <c r="U166" s="123"/>
      <c r="V166" s="123"/>
      <c r="W166" s="123"/>
      <c r="X166" s="123"/>
      <c r="Y166" s="98"/>
      <c r="Z166" s="98"/>
    </row>
    <row r="167" spans="1:29" x14ac:dyDescent="0.25">
      <c r="A167" s="22"/>
      <c r="B167" s="260" t="s">
        <v>72</v>
      </c>
      <c r="C167" s="261"/>
      <c r="D167" s="261"/>
      <c r="E167" s="259">
        <f>+ROUND(E134/$D$155,3)</f>
        <v>1.8169999999999999</v>
      </c>
      <c r="F167" s="262"/>
      <c r="G167" s="262"/>
      <c r="H167" s="259">
        <f>+ROUND(H134/$D$155,3)</f>
        <v>1.6180000000000001</v>
      </c>
      <c r="I167" s="262"/>
      <c r="J167" s="100"/>
      <c r="K167" s="100"/>
      <c r="L167" s="100"/>
      <c r="M167" s="100"/>
      <c r="N167" s="100"/>
      <c r="P167" s="486"/>
      <c r="Q167" s="488"/>
      <c r="R167" s="100"/>
      <c r="S167" s="100"/>
      <c r="T167" s="123"/>
      <c r="U167" s="124"/>
      <c r="V167" s="124"/>
      <c r="W167" s="123"/>
      <c r="X167" s="124"/>
      <c r="Y167" s="100"/>
      <c r="Z167" s="100"/>
      <c r="AA167" s="98"/>
      <c r="AB167" s="98"/>
      <c r="AC167" s="98"/>
    </row>
    <row r="168" spans="1:29" x14ac:dyDescent="0.25">
      <c r="A168" s="22"/>
      <c r="B168" s="260" t="s">
        <v>73</v>
      </c>
      <c r="C168" s="261"/>
      <c r="D168" s="261"/>
      <c r="E168" s="259">
        <f>+ROUND(E135/$D$155,3)</f>
        <v>0.70099999999999996</v>
      </c>
      <c r="F168" s="262"/>
      <c r="G168" s="262"/>
      <c r="H168" s="259">
        <f>+ROUND(H135/$D$155,3)</f>
        <v>0.72</v>
      </c>
      <c r="I168" s="262"/>
      <c r="J168" s="100"/>
      <c r="K168" s="100"/>
      <c r="L168" s="100"/>
      <c r="M168" s="100"/>
      <c r="N168" s="100"/>
      <c r="P168" s="486"/>
      <c r="Q168" s="124">
        <f>(F88+F89)*1000000/(F113+F114)</f>
        <v>81.039735879084859</v>
      </c>
      <c r="R168" s="100"/>
      <c r="S168" s="100"/>
      <c r="T168" s="123"/>
      <c r="U168" s="124"/>
      <c r="V168" s="124"/>
      <c r="W168" s="123"/>
      <c r="X168" s="124"/>
      <c r="Y168" s="100"/>
      <c r="Z168" s="124"/>
      <c r="AA168" s="100"/>
      <c r="AB168" s="100"/>
      <c r="AC168" s="100"/>
    </row>
    <row r="169" spans="1:29" x14ac:dyDescent="0.25">
      <c r="A169" s="22"/>
      <c r="B169" s="77"/>
      <c r="C169" s="100"/>
      <c r="D169" s="100"/>
      <c r="E169" s="123"/>
      <c r="G169" s="124"/>
      <c r="H169" s="123"/>
      <c r="I169" s="124"/>
      <c r="K169" s="124"/>
      <c r="L169" s="124"/>
      <c r="M169" s="124"/>
      <c r="N169" s="124"/>
      <c r="P169" s="486"/>
      <c r="Q169" s="124">
        <f>F88*1000000/F113</f>
        <v>77.029028815403151</v>
      </c>
      <c r="R169" s="100"/>
      <c r="S169" s="100"/>
      <c r="T169" s="123"/>
      <c r="U169" s="47"/>
      <c r="V169" s="124"/>
      <c r="W169" s="123"/>
      <c r="X169" s="124"/>
      <c r="Y169" s="47"/>
      <c r="Z169" s="124"/>
      <c r="AA169" s="100"/>
      <c r="AB169" s="100"/>
      <c r="AC169" s="100"/>
    </row>
    <row r="170" spans="1:29" x14ac:dyDescent="0.25">
      <c r="A170" s="22"/>
      <c r="B170" s="77"/>
      <c r="C170" s="100"/>
      <c r="D170" s="100"/>
      <c r="E170" s="123"/>
      <c r="G170" s="124"/>
      <c r="H170" s="123"/>
      <c r="I170" s="124"/>
      <c r="K170" s="124"/>
      <c r="L170" s="124"/>
      <c r="M170" s="124"/>
      <c r="N170" s="124"/>
      <c r="P170" s="486"/>
      <c r="Q170" s="124">
        <f>F89*1000000/F114</f>
        <v>85.681028815403138</v>
      </c>
      <c r="R170" s="100"/>
      <c r="S170" s="100"/>
      <c r="T170" s="123"/>
      <c r="U170" s="47"/>
      <c r="V170" s="124"/>
      <c r="W170" s="123"/>
      <c r="X170" s="124"/>
      <c r="Y170" s="47"/>
      <c r="Z170" s="124"/>
      <c r="AA170" s="124"/>
      <c r="AB170" s="124"/>
      <c r="AC170" s="124"/>
    </row>
    <row r="171" spans="1:29" x14ac:dyDescent="0.25">
      <c r="A171" s="22"/>
      <c r="C171" s="113"/>
      <c r="D171" s="113"/>
      <c r="E171" s="125" t="s">
        <v>156</v>
      </c>
      <c r="F171" s="123">
        <f>ROUND(Q169-Q168,3)</f>
        <v>-4.0110000000000001</v>
      </c>
      <c r="G171" s="124"/>
      <c r="H171" s="123"/>
      <c r="I171" s="124"/>
      <c r="J171" s="100"/>
      <c r="K171" s="100"/>
      <c r="L171" s="100"/>
      <c r="M171" s="100"/>
      <c r="N171" s="100"/>
      <c r="P171" s="486"/>
      <c r="Q171" s="47"/>
      <c r="R171" s="113"/>
      <c r="S171" s="113"/>
      <c r="T171" s="495"/>
      <c r="U171" s="123"/>
      <c r="V171" s="124"/>
      <c r="W171" s="123"/>
      <c r="X171" s="124"/>
      <c r="Y171" s="100"/>
      <c r="Z171" s="100"/>
      <c r="AA171" s="100"/>
      <c r="AB171" s="100"/>
      <c r="AC171" s="100"/>
    </row>
    <row r="172" spans="1:29" x14ac:dyDescent="0.25">
      <c r="A172" s="22"/>
      <c r="C172" s="113"/>
      <c r="D172" s="113"/>
      <c r="E172" s="125" t="s">
        <v>157</v>
      </c>
      <c r="F172" s="123">
        <f>ROUND(Q170-Q168,3)</f>
        <v>4.641</v>
      </c>
      <c r="G172" s="124"/>
      <c r="H172" s="123"/>
      <c r="I172" s="124"/>
      <c r="J172" s="100"/>
      <c r="K172" s="100"/>
      <c r="L172" s="100"/>
      <c r="M172" s="100"/>
      <c r="N172" s="100"/>
      <c r="P172" s="486"/>
      <c r="Q172" s="47"/>
      <c r="R172" s="113"/>
      <c r="S172" s="113"/>
      <c r="T172" s="495"/>
      <c r="U172" s="123"/>
      <c r="V172" s="124"/>
      <c r="W172" s="123"/>
      <c r="X172" s="124"/>
      <c r="Y172" s="100"/>
      <c r="Z172" s="100"/>
      <c r="AA172" s="100"/>
      <c r="AB172" s="100"/>
      <c r="AC172" s="100"/>
    </row>
    <row r="173" spans="1:29" x14ac:dyDescent="0.25">
      <c r="A173" s="22"/>
      <c r="C173" s="100"/>
      <c r="D173" s="100"/>
      <c r="E173" s="124"/>
      <c r="F173" s="124"/>
      <c r="G173" s="124"/>
      <c r="H173" s="124"/>
      <c r="I173" s="124"/>
      <c r="J173" s="100"/>
      <c r="K173" s="100"/>
      <c r="L173" s="100"/>
      <c r="M173" s="100"/>
      <c r="N173" s="100"/>
      <c r="P173" s="486"/>
      <c r="Q173" s="47"/>
      <c r="R173" s="100"/>
      <c r="S173" s="100"/>
      <c r="T173" s="124"/>
      <c r="U173" s="124"/>
      <c r="V173" s="124"/>
      <c r="W173" s="124"/>
      <c r="X173" s="124"/>
      <c r="Y173" s="100"/>
      <c r="Z173" s="100"/>
      <c r="AA173" s="100"/>
      <c r="AB173" s="100"/>
      <c r="AC173" s="100"/>
    </row>
    <row r="174" spans="1:29" x14ac:dyDescent="0.25">
      <c r="A174" s="22"/>
      <c r="B174" s="257" t="s">
        <v>18</v>
      </c>
      <c r="C174" s="258"/>
      <c r="D174" s="258"/>
      <c r="E174" s="259">
        <f>ROUND(E139/$D$155,3)</f>
        <v>1.129</v>
      </c>
      <c r="F174" s="259">
        <f>ROUND(F139/$D$155,3)</f>
        <v>1.1479999999999999</v>
      </c>
      <c r="G174" s="259">
        <f>ROUND(G139/$D$155,3)</f>
        <v>1.0840000000000001</v>
      </c>
      <c r="H174" s="259"/>
      <c r="I174" s="259">
        <f>ROUND(I139/$D$155,3)</f>
        <v>0.76400000000000001</v>
      </c>
      <c r="J174" s="98"/>
      <c r="K174" s="98"/>
      <c r="L174" s="98"/>
      <c r="M174" s="98"/>
      <c r="N174" s="487"/>
      <c r="O174" s="98"/>
      <c r="P174" s="98"/>
      <c r="Q174" s="123"/>
      <c r="R174" s="123"/>
      <c r="S174" s="123"/>
      <c r="T174" s="123"/>
      <c r="U174" s="123"/>
      <c r="V174" s="98"/>
      <c r="W174" s="98"/>
      <c r="X174" s="100"/>
      <c r="Y174" s="100"/>
      <c r="Z174" s="100"/>
    </row>
    <row r="175" spans="1:29" x14ac:dyDescent="0.25">
      <c r="A175" s="22"/>
      <c r="B175" s="260" t="s">
        <v>72</v>
      </c>
      <c r="C175" s="261"/>
      <c r="D175" s="261"/>
      <c r="E175" s="259">
        <f>ROUND(E140/$D$155,3)</f>
        <v>1.8240000000000001</v>
      </c>
      <c r="F175" s="262"/>
      <c r="G175" s="262"/>
      <c r="H175" s="259">
        <f>ROUND(H140/$D$155,3)</f>
        <v>1.5189999999999999</v>
      </c>
      <c r="I175" s="262"/>
      <c r="J175" s="100"/>
      <c r="K175" s="100"/>
      <c r="L175" s="100"/>
      <c r="M175" s="100"/>
      <c r="N175" s="488"/>
      <c r="O175" s="100"/>
      <c r="P175" s="100"/>
      <c r="Q175" s="123"/>
      <c r="R175" s="124"/>
      <c r="S175" s="124"/>
      <c r="T175" s="123"/>
      <c r="U175" s="124"/>
      <c r="V175" s="100"/>
      <c r="W175" s="100"/>
      <c r="X175" s="98"/>
      <c r="Y175" s="98"/>
      <c r="Z175" s="98"/>
    </row>
    <row r="176" spans="1:29" x14ac:dyDescent="0.25">
      <c r="A176" s="22"/>
      <c r="B176" s="260" t="s">
        <v>73</v>
      </c>
      <c r="C176" s="261"/>
      <c r="D176" s="261"/>
      <c r="E176" s="259">
        <f>ROUND(E141/$D$155,3)</f>
        <v>0.73699999999999999</v>
      </c>
      <c r="F176" s="262"/>
      <c r="G176" s="262"/>
      <c r="H176" s="259">
        <f>ROUND(H141/$D$155,3)</f>
        <v>0.73499999999999999</v>
      </c>
      <c r="I176" s="262"/>
      <c r="J176" s="100"/>
      <c r="K176" s="100"/>
      <c r="L176" s="100"/>
      <c r="M176" s="100"/>
      <c r="N176" s="488"/>
      <c r="O176" s="100"/>
      <c r="P176" s="100"/>
      <c r="Q176" s="123"/>
      <c r="R176" s="124"/>
      <c r="S176" s="124"/>
      <c r="T176" s="123"/>
      <c r="U176" s="124"/>
      <c r="V176" s="100"/>
      <c r="W176" s="100"/>
      <c r="X176" s="100"/>
      <c r="Y176" s="100"/>
      <c r="Z176" s="100"/>
    </row>
    <row r="177" spans="1:26" x14ac:dyDescent="0.25">
      <c r="A177" s="22"/>
      <c r="B177" s="241"/>
      <c r="C177" s="263"/>
      <c r="D177" s="263"/>
      <c r="E177" s="264"/>
      <c r="F177" s="264"/>
      <c r="G177" s="264"/>
      <c r="H177" s="264"/>
      <c r="I177" s="264"/>
      <c r="J177" s="99"/>
      <c r="K177" s="99"/>
      <c r="L177" s="99"/>
      <c r="M177" s="99"/>
      <c r="N177" s="47"/>
      <c r="O177" s="100"/>
      <c r="P177" s="100"/>
      <c r="Q177" s="124"/>
      <c r="R177" s="124"/>
      <c r="S177" s="124"/>
      <c r="T177" s="124"/>
      <c r="U177" s="124"/>
      <c r="V177" s="100"/>
      <c r="W177" s="99"/>
      <c r="X177" s="100"/>
      <c r="Y177" s="100"/>
      <c r="Z177" s="100"/>
    </row>
    <row r="178" spans="1:26" x14ac:dyDescent="0.25">
      <c r="A178" s="22"/>
      <c r="B178" s="241" t="s">
        <v>107</v>
      </c>
      <c r="C178" s="263"/>
      <c r="D178" s="263"/>
      <c r="E178" s="265">
        <f>ROUND(E143/$D$155,3)</f>
        <v>1.1319999999999999</v>
      </c>
      <c r="F178" s="265">
        <f>ROUND(F143/$D$155,3)</f>
        <v>1.1200000000000001</v>
      </c>
      <c r="G178" s="265">
        <f>ROUND(G143/$D$155,3)</f>
        <v>1.085</v>
      </c>
      <c r="H178" s="265">
        <f>ROUND(H143/$D$155,3)</f>
        <v>1.0980000000000001</v>
      </c>
      <c r="I178" s="265">
        <f>ROUND(I143/$D$155,3)</f>
        <v>0.76</v>
      </c>
      <c r="J178" s="99"/>
      <c r="K178" s="99"/>
      <c r="L178" s="99"/>
      <c r="M178" s="99"/>
      <c r="N178" s="47"/>
      <c r="O178" s="100"/>
      <c r="P178" s="100"/>
      <c r="Q178" s="123"/>
      <c r="R178" s="123"/>
      <c r="S178" s="123"/>
      <c r="T178" s="123"/>
      <c r="U178" s="123"/>
      <c r="V178" s="100"/>
      <c r="W178" s="99"/>
      <c r="X178" s="99"/>
      <c r="Y178" s="99"/>
      <c r="Z178" s="99"/>
    </row>
    <row r="179" spans="1:26" x14ac:dyDescent="0.25">
      <c r="A179" s="22"/>
      <c r="N179" s="47"/>
      <c r="O179" s="47"/>
      <c r="P179" s="47"/>
      <c r="Q179" s="47"/>
      <c r="R179" s="47"/>
      <c r="S179" s="47"/>
      <c r="T179" s="47"/>
      <c r="U179" s="47"/>
      <c r="V179" s="47"/>
      <c r="X179" s="99"/>
      <c r="Y179" s="99"/>
      <c r="Z179" s="99"/>
    </row>
    <row r="180" spans="1:26" x14ac:dyDescent="0.25">
      <c r="A180" s="22"/>
      <c r="J180" s="47"/>
      <c r="K180" s="47"/>
      <c r="L180" s="47"/>
      <c r="M180" s="47"/>
      <c r="N180" s="47"/>
      <c r="O180" s="47"/>
      <c r="P180" s="47"/>
      <c r="Q180" s="47"/>
      <c r="R180" s="47"/>
      <c r="S180" s="47"/>
      <c r="T180" s="47"/>
      <c r="U180" s="47"/>
      <c r="V180" s="47"/>
    </row>
    <row r="181" spans="1:26" x14ac:dyDescent="0.25">
      <c r="A181" s="22"/>
      <c r="B181" s="16" t="s">
        <v>99</v>
      </c>
      <c r="J181" s="47"/>
      <c r="K181" s="47"/>
      <c r="L181" s="47"/>
      <c r="M181" s="47"/>
      <c r="N181" s="163"/>
      <c r="O181" s="47"/>
      <c r="P181" s="47"/>
      <c r="Q181" s="47"/>
      <c r="R181" s="47"/>
      <c r="S181" s="47"/>
      <c r="T181" s="47"/>
      <c r="U181" s="47"/>
      <c r="V181" s="47"/>
    </row>
    <row r="182" spans="1:26" x14ac:dyDescent="0.25">
      <c r="A182" s="22"/>
      <c r="B182" s="17" t="s">
        <v>100</v>
      </c>
      <c r="J182" s="47"/>
      <c r="K182" s="47"/>
      <c r="L182" s="47"/>
      <c r="M182" s="47"/>
      <c r="N182" s="325"/>
      <c r="O182" s="47"/>
      <c r="P182" s="47"/>
      <c r="Q182" s="47"/>
      <c r="R182" s="47"/>
      <c r="S182" s="47"/>
      <c r="T182" s="47"/>
      <c r="U182" s="47"/>
      <c r="V182" s="47"/>
    </row>
    <row r="183" spans="1:26" x14ac:dyDescent="0.25">
      <c r="A183" s="22"/>
      <c r="B183" s="21"/>
      <c r="J183" s="47"/>
      <c r="K183" s="47"/>
      <c r="L183" s="47"/>
      <c r="M183" s="47"/>
      <c r="N183" s="496"/>
      <c r="O183" s="47"/>
      <c r="P183" s="47"/>
      <c r="Q183" s="47"/>
      <c r="R183" s="47"/>
      <c r="S183" s="47"/>
      <c r="T183" s="47"/>
      <c r="U183" s="47"/>
      <c r="V183" s="47"/>
    </row>
    <row r="184" spans="1:26" x14ac:dyDescent="0.25">
      <c r="A184" s="22"/>
      <c r="B184" s="37" t="s">
        <v>101</v>
      </c>
      <c r="C184" s="26"/>
      <c r="D184" s="26"/>
      <c r="E184" s="26"/>
      <c r="F184" s="26"/>
      <c r="I184" s="16"/>
      <c r="J184" s="47"/>
      <c r="K184" s="47"/>
      <c r="L184" s="47"/>
      <c r="M184" s="47"/>
      <c r="N184" s="497"/>
      <c r="O184" s="44"/>
      <c r="P184" s="44"/>
      <c r="Q184" s="44"/>
      <c r="R184" s="44"/>
      <c r="S184" s="47"/>
      <c r="T184" s="47"/>
      <c r="U184" s="163"/>
      <c r="V184" s="47"/>
    </row>
    <row r="185" spans="1:26" x14ac:dyDescent="0.25">
      <c r="A185" s="12" t="s">
        <v>255</v>
      </c>
      <c r="N185" s="47"/>
      <c r="O185" s="47"/>
      <c r="P185" s="47"/>
      <c r="Q185" s="47"/>
      <c r="R185" s="47"/>
      <c r="S185" s="47"/>
      <c r="T185" s="47"/>
      <c r="U185" s="47"/>
      <c r="V185" s="47"/>
    </row>
    <row r="186" spans="1:26" x14ac:dyDescent="0.25">
      <c r="J186" s="84"/>
    </row>
    <row r="187" spans="1:26" x14ac:dyDescent="0.25">
      <c r="J187" s="388"/>
    </row>
    <row r="188" spans="1:26" x14ac:dyDescent="0.25">
      <c r="J188" s="84"/>
    </row>
    <row r="189" spans="1:26" x14ac:dyDescent="0.25">
      <c r="J189" s="388"/>
    </row>
    <row r="190" spans="1:26" x14ac:dyDescent="0.25">
      <c r="J190" s="81"/>
    </row>
  </sheetData>
  <sheetProtection password="D6B5" sheet="1" objects="1" scenarios="1" selectLockedCells="1" selectUnlockedCells="1"/>
  <mergeCells count="12">
    <mergeCell ref="B156:N156"/>
    <mergeCell ref="B157:N157"/>
    <mergeCell ref="B1:N1"/>
    <mergeCell ref="B2:N2"/>
    <mergeCell ref="B5:N5"/>
    <mergeCell ref="B101:N101"/>
    <mergeCell ref="B54:N54"/>
    <mergeCell ref="B55:N55"/>
    <mergeCell ref="B56:N56"/>
    <mergeCell ref="B100:N100"/>
    <mergeCell ref="B3:N3"/>
    <mergeCell ref="B102:N102"/>
  </mergeCells>
  <phoneticPr fontId="33" type="noConversion"/>
  <pageMargins left="0.7" right="0.7" top="0.75" bottom="0.75" header="0.3" footer="0.3"/>
  <pageSetup paperSize="9" scale="67" fitToHeight="0" orientation="landscape" r:id="rId1"/>
  <headerFooter alignWithMargins="0">
    <oddFooter>&amp;L&amp;F    &amp;A&amp;CPage &amp;P of &amp;N&amp;R&amp;D</oddFooter>
  </headerFooter>
  <rowBreaks count="3" manualBreakCount="3">
    <brk id="53" max="15" man="1"/>
    <brk id="98" max="15" man="1"/>
    <brk id="155" max="15" man="1"/>
  </rowBreaks>
  <colBreaks count="1" manualBreakCount="1">
    <brk id="15" max="210"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1"/>
  <sheetViews>
    <sheetView view="pageBreakPreview" zoomScale="80" zoomScaleNormal="80" zoomScaleSheetLayoutView="80" workbookViewId="0">
      <selection activeCell="J46" sqref="J46"/>
    </sheetView>
  </sheetViews>
  <sheetFormatPr defaultColWidth="8.88671875" defaultRowHeight="13.2" x14ac:dyDescent="0.25"/>
  <cols>
    <col min="1" max="1" width="5.6640625" style="343" customWidth="1"/>
    <col min="2" max="2" width="37.6640625" style="343" customWidth="1"/>
    <col min="3" max="3" width="13.33203125" style="343" customWidth="1"/>
    <col min="4" max="4" width="12.33203125" style="343" customWidth="1"/>
    <col min="5" max="5" width="12.109375" style="343" customWidth="1"/>
    <col min="6" max="6" width="14.109375" style="343" bestFit="1" customWidth="1"/>
    <col min="7" max="7" width="49.6640625" style="343" customWidth="1"/>
    <col min="8" max="16384" width="8.88671875" style="343"/>
  </cols>
  <sheetData>
    <row r="1" spans="1:6" ht="17.399999999999999" x14ac:dyDescent="0.3">
      <c r="A1" s="419" t="s">
        <v>319</v>
      </c>
      <c r="B1" s="420"/>
    </row>
    <row r="2" spans="1:6" ht="17.399999999999999" x14ac:dyDescent="0.3">
      <c r="A2" s="419"/>
      <c r="B2" s="420"/>
    </row>
    <row r="3" spans="1:6" ht="15.6" x14ac:dyDescent="0.3">
      <c r="B3" s="383" t="s">
        <v>361</v>
      </c>
    </row>
    <row r="4" spans="1:6" x14ac:dyDescent="0.25">
      <c r="B4" s="343" t="s">
        <v>385</v>
      </c>
    </row>
    <row r="6" spans="1:6" ht="26.4" x14ac:dyDescent="0.25">
      <c r="C6" s="421" t="s">
        <v>362</v>
      </c>
      <c r="D6" s="385" t="s">
        <v>308</v>
      </c>
      <c r="E6" s="422"/>
    </row>
    <row r="7" spans="1:6" ht="26.4" x14ac:dyDescent="0.25">
      <c r="A7" s="424">
        <v>1</v>
      </c>
      <c r="B7" s="436" t="s">
        <v>374</v>
      </c>
      <c r="C7" s="444">
        <v>151.37747155208379</v>
      </c>
      <c r="D7" s="521" t="s">
        <v>381</v>
      </c>
      <c r="E7" s="521"/>
      <c r="F7" s="521"/>
    </row>
    <row r="8" spans="1:6" ht="26.4" x14ac:dyDescent="0.25">
      <c r="A8" s="424">
        <v>2</v>
      </c>
      <c r="B8" s="436" t="s">
        <v>375</v>
      </c>
      <c r="C8" s="444">
        <v>119.92389950467435</v>
      </c>
      <c r="D8" s="437" t="s">
        <v>369</v>
      </c>
      <c r="E8" s="423"/>
    </row>
    <row r="9" spans="1:6" x14ac:dyDescent="0.25">
      <c r="D9" s="384"/>
      <c r="E9" s="423"/>
    </row>
    <row r="10" spans="1:6" ht="16.8" customHeight="1" x14ac:dyDescent="0.25">
      <c r="A10" s="424">
        <v>3</v>
      </c>
      <c r="B10" s="425" t="s">
        <v>309</v>
      </c>
      <c r="C10" s="426">
        <f>C7-C8</f>
        <v>31.453572047409438</v>
      </c>
      <c r="D10" s="525" t="s">
        <v>370</v>
      </c>
      <c r="E10" s="525"/>
      <c r="F10" s="525"/>
    </row>
    <row r="11" spans="1:6" ht="16.8" customHeight="1" x14ac:dyDescent="0.25">
      <c r="A11" s="424">
        <f>A10+1</f>
        <v>4</v>
      </c>
      <c r="B11" s="425" t="s">
        <v>320</v>
      </c>
      <c r="C11" s="427">
        <f>'BGS PTY15 Cost Alloc'!J168</f>
        <v>4647.1900000000005</v>
      </c>
      <c r="D11" s="438" t="s">
        <v>363</v>
      </c>
      <c r="E11" s="439"/>
    </row>
    <row r="12" spans="1:6" ht="16.8" customHeight="1" x14ac:dyDescent="0.25">
      <c r="A12" s="424">
        <f t="shared" ref="A12:A20" si="0">A11+1</f>
        <v>5</v>
      </c>
      <c r="B12" s="425" t="s">
        <v>321</v>
      </c>
      <c r="C12" s="428">
        <v>365</v>
      </c>
      <c r="D12" s="439"/>
      <c r="E12" s="439"/>
    </row>
    <row r="13" spans="1:6" ht="16.8" customHeight="1" x14ac:dyDescent="0.25">
      <c r="A13" s="424">
        <f t="shared" si="0"/>
        <v>6</v>
      </c>
      <c r="B13" s="425" t="s">
        <v>310</v>
      </c>
      <c r="C13" s="429">
        <f>C10*C11*C12</f>
        <v>53352314.801295251</v>
      </c>
      <c r="D13" s="440" t="s">
        <v>341</v>
      </c>
      <c r="E13" s="439"/>
    </row>
    <row r="14" spans="1:6" ht="16.8" customHeight="1" x14ac:dyDescent="0.25">
      <c r="A14" s="424">
        <f t="shared" si="0"/>
        <v>7</v>
      </c>
      <c r="B14" s="425" t="s">
        <v>322</v>
      </c>
      <c r="C14" s="430">
        <f>'Composite Cost Allocation'!F7</f>
        <v>20</v>
      </c>
      <c r="D14" s="439"/>
      <c r="E14" s="439"/>
    </row>
    <row r="15" spans="1:6" ht="16.8" customHeight="1" x14ac:dyDescent="0.25">
      <c r="A15" s="424">
        <f t="shared" si="0"/>
        <v>8</v>
      </c>
      <c r="B15" s="425" t="s">
        <v>323</v>
      </c>
      <c r="C15" s="476">
        <v>53</v>
      </c>
      <c r="D15" s="439"/>
      <c r="E15" s="439"/>
    </row>
    <row r="16" spans="1:6" ht="16.8" customHeight="1" x14ac:dyDescent="0.25">
      <c r="A16" s="424">
        <f t="shared" si="0"/>
        <v>9</v>
      </c>
      <c r="B16" s="425" t="s">
        <v>324</v>
      </c>
      <c r="C16" s="431">
        <f>C14/C15</f>
        <v>0.37735849056603776</v>
      </c>
      <c r="D16" s="441" t="s">
        <v>342</v>
      </c>
      <c r="E16" s="439"/>
    </row>
    <row r="17" spans="1:6" s="506" customFormat="1" x14ac:dyDescent="0.25">
      <c r="A17" s="506">
        <f t="shared" si="0"/>
        <v>10</v>
      </c>
      <c r="B17" s="507" t="s">
        <v>325</v>
      </c>
      <c r="C17" s="508">
        <f>C13*C16</f>
        <v>20132948.981620852</v>
      </c>
      <c r="D17" s="509" t="s">
        <v>343</v>
      </c>
      <c r="E17" s="510"/>
    </row>
    <row r="18" spans="1:6" ht="26.4" x14ac:dyDescent="0.25">
      <c r="A18" s="424">
        <f t="shared" si="0"/>
        <v>11</v>
      </c>
      <c r="B18" s="432" t="s">
        <v>376</v>
      </c>
      <c r="C18" s="433">
        <f>'BGS PTY15 Cost Alloc'!N260</f>
        <v>16672677</v>
      </c>
      <c r="D18" s="442" t="s">
        <v>367</v>
      </c>
      <c r="E18" s="361"/>
    </row>
    <row r="19" spans="1:6" ht="26.4" x14ac:dyDescent="0.25">
      <c r="A19" s="424">
        <f t="shared" si="0"/>
        <v>12</v>
      </c>
      <c r="B19" s="432" t="s">
        <v>377</v>
      </c>
      <c r="C19" s="434">
        <f>C18*C16</f>
        <v>6291576.2264150949</v>
      </c>
      <c r="D19" s="382" t="s">
        <v>344</v>
      </c>
      <c r="E19" s="361"/>
    </row>
    <row r="20" spans="1:6" s="506" customFormat="1" ht="18" customHeight="1" x14ac:dyDescent="0.25">
      <c r="A20" s="506">
        <f t="shared" si="0"/>
        <v>13</v>
      </c>
      <c r="B20" s="507" t="s">
        <v>311</v>
      </c>
      <c r="C20" s="513">
        <f>ROUND(C17/C19,2)</f>
        <v>3.2</v>
      </c>
      <c r="D20" s="514" t="s">
        <v>345</v>
      </c>
      <c r="E20" s="510"/>
    </row>
    <row r="24" spans="1:6" x14ac:dyDescent="0.25">
      <c r="A24" s="344"/>
    </row>
    <row r="25" spans="1:6" ht="15.6" x14ac:dyDescent="0.3">
      <c r="A25" s="526" t="s">
        <v>291</v>
      </c>
      <c r="B25" s="526"/>
      <c r="C25" s="526"/>
      <c r="D25" s="526"/>
      <c r="E25" s="526"/>
    </row>
    <row r="26" spans="1:6" x14ac:dyDescent="0.25">
      <c r="A26" s="345"/>
    </row>
    <row r="27" spans="1:6" ht="15.6" x14ac:dyDescent="0.3">
      <c r="A27" s="526" t="s">
        <v>314</v>
      </c>
      <c r="B27" s="526"/>
      <c r="C27" s="526"/>
      <c r="D27" s="526"/>
      <c r="E27" s="526"/>
    </row>
    <row r="28" spans="1:6" ht="15.6" x14ac:dyDescent="0.3">
      <c r="A28" s="527" t="s">
        <v>364</v>
      </c>
      <c r="B28" s="527"/>
      <c r="C28" s="527"/>
      <c r="D28" s="527"/>
      <c r="E28" s="527"/>
    </row>
    <row r="29" spans="1:6" ht="15.6" x14ac:dyDescent="0.3">
      <c r="A29" s="346"/>
      <c r="B29" s="346"/>
      <c r="C29" s="346"/>
      <c r="D29" s="346"/>
      <c r="E29" s="347"/>
    </row>
    <row r="30" spans="1:6" x14ac:dyDescent="0.25">
      <c r="B30" s="348"/>
      <c r="F30" s="349"/>
    </row>
    <row r="31" spans="1:6" ht="53.4" customHeight="1" x14ac:dyDescent="0.25">
      <c r="B31" s="348"/>
      <c r="C31" s="350" t="s">
        <v>365</v>
      </c>
      <c r="D31" s="350" t="s">
        <v>307</v>
      </c>
      <c r="E31" s="350" t="s">
        <v>366</v>
      </c>
      <c r="F31" s="350" t="s">
        <v>315</v>
      </c>
    </row>
    <row r="32" spans="1:6" ht="26.4" x14ac:dyDescent="0.25">
      <c r="B32" s="351"/>
      <c r="C32" s="352" t="s">
        <v>292</v>
      </c>
      <c r="D32" s="352" t="s">
        <v>293</v>
      </c>
      <c r="E32" s="353" t="s">
        <v>294</v>
      </c>
      <c r="F32" s="352"/>
    </row>
    <row r="33" spans="1:13" x14ac:dyDescent="0.25">
      <c r="C33" s="354"/>
      <c r="D33" s="354"/>
      <c r="E33" s="354"/>
      <c r="F33" s="416"/>
    </row>
    <row r="34" spans="1:13" x14ac:dyDescent="0.25">
      <c r="A34" s="389" t="s">
        <v>326</v>
      </c>
      <c r="B34" s="355" t="s">
        <v>295</v>
      </c>
      <c r="C34" s="356">
        <f>'BGS PTY13 Cost Alloc'!E296</f>
        <v>80.42</v>
      </c>
      <c r="D34" s="356">
        <f>'BGS PTY14 Cost Alloc'!E299</f>
        <v>74.849999999999994</v>
      </c>
      <c r="E34" s="357">
        <v>78</v>
      </c>
      <c r="F34" s="320"/>
      <c r="G34" s="343" t="s">
        <v>368</v>
      </c>
      <c r="H34" s="359"/>
      <c r="I34" s="358"/>
      <c r="J34" s="358"/>
      <c r="K34" s="358"/>
      <c r="L34" s="358"/>
      <c r="M34" s="358"/>
    </row>
    <row r="35" spans="1:13" x14ac:dyDescent="0.25">
      <c r="A35" s="389" t="s">
        <v>327</v>
      </c>
      <c r="B35" s="360" t="s">
        <v>378</v>
      </c>
      <c r="C35" s="417">
        <f>C20</f>
        <v>3.2</v>
      </c>
      <c r="D35" s="417">
        <v>0</v>
      </c>
      <c r="E35" s="435">
        <v>0</v>
      </c>
      <c r="F35" s="320"/>
      <c r="G35" s="343" t="s">
        <v>372</v>
      </c>
      <c r="H35" s="359"/>
      <c r="I35" s="358"/>
      <c r="J35" s="358"/>
      <c r="K35" s="358"/>
      <c r="L35" s="358"/>
      <c r="M35" s="358"/>
    </row>
    <row r="36" spans="1:13" x14ac:dyDescent="0.25">
      <c r="A36" s="389" t="s">
        <v>328</v>
      </c>
      <c r="C36" s="356">
        <f>C34+C35</f>
        <v>83.62</v>
      </c>
      <c r="D36" s="356">
        <f t="shared" ref="D36:E36" si="1">D34+D35</f>
        <v>74.849999999999994</v>
      </c>
      <c r="E36" s="356">
        <f t="shared" si="1"/>
        <v>78</v>
      </c>
      <c r="F36" s="320"/>
      <c r="H36" s="359"/>
      <c r="I36" s="358"/>
      <c r="J36" s="358"/>
      <c r="K36" s="358"/>
      <c r="L36" s="358"/>
      <c r="M36" s="358"/>
    </row>
    <row r="37" spans="1:13" x14ac:dyDescent="0.25">
      <c r="B37" s="360" t="s">
        <v>297</v>
      </c>
      <c r="C37" s="356"/>
      <c r="D37" s="356"/>
      <c r="E37" s="356"/>
      <c r="F37" s="320"/>
      <c r="H37" s="359"/>
      <c r="I37" s="358"/>
      <c r="J37" s="358"/>
      <c r="K37" s="358"/>
      <c r="L37" s="358"/>
      <c r="M37" s="358"/>
    </row>
    <row r="38" spans="1:13" x14ac:dyDescent="0.25">
      <c r="A38" s="389" t="s">
        <v>329</v>
      </c>
      <c r="B38" s="361" t="s">
        <v>296</v>
      </c>
      <c r="C38" s="362">
        <f>'Composite Cost Allocation'!F7</f>
        <v>20</v>
      </c>
      <c r="D38" s="362">
        <f>'Composite Cost Allocation'!F28</f>
        <v>18</v>
      </c>
      <c r="E38" s="362">
        <f>'Composite Cost Allocation'!F60</f>
        <v>15</v>
      </c>
      <c r="F38" s="363"/>
    </row>
    <row r="39" spans="1:13" x14ac:dyDescent="0.25">
      <c r="A39" s="389" t="s">
        <v>330</v>
      </c>
      <c r="B39" s="361" t="s">
        <v>297</v>
      </c>
      <c r="C39" s="362">
        <f>C38+D38+E38</f>
        <v>53</v>
      </c>
      <c r="D39" s="362">
        <f>C39</f>
        <v>53</v>
      </c>
      <c r="E39" s="362">
        <f>C39</f>
        <v>53</v>
      </c>
      <c r="F39" s="321"/>
      <c r="G39" s="343" t="s">
        <v>255</v>
      </c>
    </row>
    <row r="40" spans="1:13" x14ac:dyDescent="0.25">
      <c r="A40" s="389"/>
      <c r="B40" s="361"/>
      <c r="C40" s="322"/>
      <c r="D40" s="322"/>
      <c r="E40" s="322"/>
      <c r="F40" s="321"/>
    </row>
    <row r="41" spans="1:13" x14ac:dyDescent="0.25">
      <c r="B41" s="360" t="s">
        <v>298</v>
      </c>
      <c r="C41" s="364"/>
      <c r="D41" s="364"/>
      <c r="E41" s="365"/>
      <c r="F41" s="365"/>
      <c r="G41" s="343" t="s">
        <v>255</v>
      </c>
    </row>
    <row r="42" spans="1:13" x14ac:dyDescent="0.25">
      <c r="A42" s="389" t="s">
        <v>331</v>
      </c>
      <c r="B42" s="323" t="s">
        <v>25</v>
      </c>
      <c r="C42" s="366">
        <f>'BGS PTY13 Cost Alloc'!D297</f>
        <v>1</v>
      </c>
      <c r="D42" s="367">
        <f>'BGS PTY14 Cost Alloc'!D300</f>
        <v>1</v>
      </c>
      <c r="E42" s="386">
        <f>'BGS PTY15 Cost Alloc'!I309</f>
        <v>1</v>
      </c>
      <c r="F42" s="368"/>
    </row>
    <row r="43" spans="1:13" x14ac:dyDescent="0.25">
      <c r="A43" s="389" t="s">
        <v>332</v>
      </c>
      <c r="B43" s="323" t="s">
        <v>26</v>
      </c>
      <c r="C43" s="366">
        <f>'BGS PTY13 Cost Alloc'!D298</f>
        <v>1</v>
      </c>
      <c r="D43" s="367">
        <f>'BGS PTY14 Cost Alloc'!D301</f>
        <v>1</v>
      </c>
      <c r="E43" s="386">
        <f>'BGS PTY15 Cost Alloc'!I310</f>
        <v>1</v>
      </c>
      <c r="F43" s="369"/>
    </row>
    <row r="44" spans="1:13" x14ac:dyDescent="0.25">
      <c r="A44" s="389"/>
      <c r="B44" s="361"/>
      <c r="C44" s="370"/>
      <c r="D44" s="370"/>
      <c r="E44" s="371"/>
      <c r="F44" s="370"/>
    </row>
    <row r="45" spans="1:13" ht="25.5" customHeight="1" x14ac:dyDescent="0.25">
      <c r="B45" s="372" t="s">
        <v>299</v>
      </c>
      <c r="C45" s="370"/>
      <c r="D45" s="371"/>
      <c r="E45" s="371"/>
      <c r="F45" s="370"/>
    </row>
    <row r="46" spans="1:13" x14ac:dyDescent="0.25">
      <c r="A46" s="389" t="s">
        <v>333</v>
      </c>
      <c r="B46" s="373" t="s">
        <v>300</v>
      </c>
      <c r="C46" s="374">
        <f>'BGS PTY15 Cost Alloc'!N258</f>
        <v>6552902</v>
      </c>
      <c r="D46" s="375">
        <f t="shared" ref="D46:F47" si="2">C46</f>
        <v>6552902</v>
      </c>
      <c r="E46" s="375">
        <f t="shared" si="2"/>
        <v>6552902</v>
      </c>
      <c r="F46" s="376">
        <f t="shared" si="2"/>
        <v>6552902</v>
      </c>
      <c r="G46" s="522" t="s">
        <v>380</v>
      </c>
    </row>
    <row r="47" spans="1:13" x14ac:dyDescent="0.25">
      <c r="A47" s="389" t="s">
        <v>334</v>
      </c>
      <c r="B47" s="373" t="s">
        <v>301</v>
      </c>
      <c r="C47" s="374">
        <f>'BGS PTY15 Cost Alloc'!N259</f>
        <v>10119775</v>
      </c>
      <c r="D47" s="375">
        <f t="shared" si="2"/>
        <v>10119775</v>
      </c>
      <c r="E47" s="375">
        <f t="shared" si="2"/>
        <v>10119775</v>
      </c>
      <c r="F47" s="376">
        <f t="shared" si="2"/>
        <v>10119775</v>
      </c>
      <c r="G47" s="522"/>
    </row>
    <row r="48" spans="1:13" x14ac:dyDescent="0.25">
      <c r="A48" s="389"/>
      <c r="B48" s="377"/>
      <c r="C48" s="370"/>
      <c r="D48" s="370"/>
      <c r="E48" s="371"/>
      <c r="F48" s="370"/>
    </row>
    <row r="49" spans="1:8" x14ac:dyDescent="0.25">
      <c r="B49" s="360" t="s">
        <v>316</v>
      </c>
      <c r="C49" s="370"/>
      <c r="D49" s="370"/>
      <c r="E49" s="371"/>
      <c r="F49" s="370"/>
    </row>
    <row r="50" spans="1:8" x14ac:dyDescent="0.25">
      <c r="A50" s="389" t="s">
        <v>335</v>
      </c>
      <c r="B50" s="323" t="s">
        <v>25</v>
      </c>
      <c r="C50" s="326">
        <f t="shared" ref="C50:E51" si="3">+C$34*C$38/C$39*C42*C46+C$35*C$38/C$39*C46</f>
        <v>206774968.01509437</v>
      </c>
      <c r="D50" s="326">
        <f t="shared" si="3"/>
        <v>166579714.42641509</v>
      </c>
      <c r="E50" s="326">
        <f t="shared" si="3"/>
        <v>144658402.64150944</v>
      </c>
      <c r="F50" s="326">
        <f>SUM(C50:E50)</f>
        <v>518013085.0830189</v>
      </c>
      <c r="G50" s="343" t="s">
        <v>338</v>
      </c>
    </row>
    <row r="51" spans="1:8" ht="15" x14ac:dyDescent="0.4">
      <c r="A51" s="389" t="s">
        <v>336</v>
      </c>
      <c r="B51" s="324" t="s">
        <v>26</v>
      </c>
      <c r="C51" s="327">
        <f t="shared" si="3"/>
        <v>319326636.03773588</v>
      </c>
      <c r="D51" s="327">
        <f t="shared" si="3"/>
        <v>257252318.06603774</v>
      </c>
      <c r="E51" s="327">
        <f t="shared" si="3"/>
        <v>223398806.60377359</v>
      </c>
      <c r="F51" s="327">
        <f>SUM(C51:E51)</f>
        <v>799977760.70754719</v>
      </c>
      <c r="G51" s="343" t="s">
        <v>339</v>
      </c>
    </row>
    <row r="52" spans="1:8" x14ac:dyDescent="0.25">
      <c r="A52" s="389" t="s">
        <v>337</v>
      </c>
      <c r="B52" s="361" t="s">
        <v>13</v>
      </c>
      <c r="C52" s="378">
        <f>+C51+C50</f>
        <v>526101604.05283022</v>
      </c>
      <c r="D52" s="378">
        <f>+D51+D50</f>
        <v>423832032.49245286</v>
      </c>
      <c r="E52" s="379">
        <f>+E51+E50</f>
        <v>368057209.24528301</v>
      </c>
      <c r="F52" s="378">
        <f>+F51+F50</f>
        <v>1317990845.790566</v>
      </c>
      <c r="G52" s="343" t="s">
        <v>340</v>
      </c>
      <c r="H52" s="380"/>
    </row>
    <row r="53" spans="1:8" x14ac:dyDescent="0.25">
      <c r="B53" s="361"/>
      <c r="C53" s="381"/>
      <c r="D53" s="381"/>
      <c r="E53" s="381"/>
      <c r="F53" s="381"/>
    </row>
    <row r="54" spans="1:8" x14ac:dyDescent="0.25">
      <c r="B54" s="361" t="s">
        <v>302</v>
      </c>
      <c r="C54" s="381"/>
      <c r="D54" s="381" t="s">
        <v>255</v>
      </c>
      <c r="E54" s="381"/>
      <c r="F54" s="328">
        <f>ROUND(F52/(F46+F47),2)</f>
        <v>79.05</v>
      </c>
      <c r="G54" s="343" t="s">
        <v>373</v>
      </c>
    </row>
    <row r="55" spans="1:8" x14ac:dyDescent="0.25">
      <c r="B55" s="361"/>
    </row>
    <row r="56" spans="1:8" x14ac:dyDescent="0.25">
      <c r="B56" s="523" t="s">
        <v>382</v>
      </c>
      <c r="C56" s="523"/>
      <c r="D56" s="523"/>
      <c r="E56" s="523"/>
      <c r="F56" s="523"/>
    </row>
    <row r="57" spans="1:8" x14ac:dyDescent="0.25">
      <c r="B57" s="523"/>
      <c r="C57" s="523"/>
      <c r="D57" s="523"/>
      <c r="E57" s="523"/>
      <c r="F57" s="523"/>
    </row>
    <row r="58" spans="1:8" x14ac:dyDescent="0.25">
      <c r="B58" s="361"/>
    </row>
    <row r="59" spans="1:8" x14ac:dyDescent="0.25">
      <c r="B59" s="524" t="s">
        <v>379</v>
      </c>
      <c r="C59" s="524"/>
      <c r="D59" s="524"/>
      <c r="E59" s="524"/>
      <c r="F59" s="524"/>
    </row>
    <row r="60" spans="1:8" x14ac:dyDescent="0.25">
      <c r="B60" s="524"/>
      <c r="C60" s="524"/>
      <c r="D60" s="524"/>
      <c r="E60" s="524"/>
      <c r="F60" s="524"/>
    </row>
    <row r="61" spans="1:8" x14ac:dyDescent="0.25">
      <c r="B61" s="524"/>
      <c r="C61" s="524"/>
      <c r="D61" s="524"/>
      <c r="E61" s="524"/>
      <c r="F61" s="524"/>
    </row>
  </sheetData>
  <sheetProtection password="D6B5" sheet="1" objects="1" scenarios="1" selectLockedCells="1" selectUnlockedCells="1"/>
  <mergeCells count="8">
    <mergeCell ref="D7:F7"/>
    <mergeCell ref="G46:G47"/>
    <mergeCell ref="B56:F57"/>
    <mergeCell ref="B59:F61"/>
    <mergeCell ref="D10:F10"/>
    <mergeCell ref="A25:E25"/>
    <mergeCell ref="A27:E27"/>
    <mergeCell ref="A28:E28"/>
  </mergeCells>
  <pageMargins left="0.25" right="0.25" top="0.75" bottom="0.75" header="0.5" footer="0.5"/>
  <pageSetup scale="71" orientation="portrait" r:id="rId1"/>
  <headerFooter alignWithMargins="0">
    <oddFooter>&amp;L&amp;F &amp;A&amp;CPage &amp;P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BGS PTY13 Cost Alloc</vt:lpstr>
      <vt:lpstr>BGS PTY14 Cost Alloc</vt:lpstr>
      <vt:lpstr>BGS PTY15 Cost Alloc</vt:lpstr>
      <vt:lpstr>Composite Cost Allocation</vt:lpstr>
      <vt:lpstr>TABLE A</vt:lpstr>
      <vt:lpstr>'BGS PTY13 Cost Alloc'!Print_Area</vt:lpstr>
      <vt:lpstr>'BGS PTY14 Cost Alloc'!Print_Area</vt:lpstr>
      <vt:lpstr>'BGS PTY15 Cost Alloc'!Print_Area</vt:lpstr>
      <vt:lpstr>'Composite Cost Allocation'!Print_Area</vt:lpstr>
      <vt:lpstr>'TABLE A'!Print_Area</vt:lpstr>
    </vt:vector>
  </TitlesOfParts>
  <Company>PSEG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view of BGS prices for year 5 - forwards based</dc:title>
  <dc:subject>6/21 1:10 PM</dc:subject>
  <dc:creator>Robert W. Taylor</dc:creator>
  <cp:lastModifiedBy>Peng, Yongmei</cp:lastModifiedBy>
  <cp:lastPrinted>2016-11-09T14:42:22Z</cp:lastPrinted>
  <dcterms:created xsi:type="dcterms:W3CDTF">2002-02-27T17:48:59Z</dcterms:created>
  <dcterms:modified xsi:type="dcterms:W3CDTF">2017-01-11T18:53:17Z</dcterms:modified>
</cp:coreProperties>
</file>