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11250"/>
  </bookViews>
  <sheets>
    <sheet name="BGS Cost &amp; Bid Factors" sheetId="1" r:id="rId1"/>
    <sheet name="Weighted Avg Price Calc" sheetId="2" r:id="rId2"/>
    <sheet name="Rate Calculations" sheetId="3" r:id="rId3"/>
  </sheets>
  <definedNames>
    <definedName name="_xlnm.Print_Area" localSheetId="0">'BGS Cost &amp; Bid Factors'!$A$1:$J$480</definedName>
    <definedName name="_xlnm.Print_Area" localSheetId="2">'Rate Calculations'!$A$1:$J$198</definedName>
    <definedName name="_xlnm.Print_Titles" localSheetId="2">'Rate Calculations'!$1:$4</definedName>
  </definedNames>
  <calcPr calcId="125725"/>
</workbook>
</file>

<file path=xl/calcChain.xml><?xml version="1.0" encoding="utf-8"?>
<calcChain xmlns="http://schemas.openxmlformats.org/spreadsheetml/2006/main">
  <c r="D484" i="1"/>
  <c r="D485"/>
  <c r="D486" s="1"/>
  <c r="F486"/>
  <c r="F488"/>
  <c r="C491"/>
  <c r="D491"/>
  <c r="E491"/>
  <c r="F491"/>
  <c r="G491"/>
  <c r="H491"/>
  <c r="I491"/>
  <c r="I500"/>
  <c r="I507"/>
  <c r="I528" s="1"/>
  <c r="I521"/>
  <c r="C535"/>
  <c r="D535"/>
  <c r="E535"/>
  <c r="F535"/>
  <c r="G535"/>
  <c r="H535"/>
  <c r="I535"/>
  <c r="E545"/>
  <c r="C546"/>
  <c r="D546"/>
  <c r="F546"/>
  <c r="G546"/>
  <c r="H546"/>
  <c r="I546"/>
  <c r="C547"/>
  <c r="D547"/>
  <c r="F547"/>
  <c r="G547"/>
  <c r="H547"/>
  <c r="I547"/>
  <c r="E548"/>
  <c r="F548"/>
  <c r="G548"/>
  <c r="H548"/>
  <c r="I548"/>
  <c r="E549"/>
  <c r="F549"/>
  <c r="G549"/>
  <c r="H549"/>
  <c r="I549"/>
  <c r="C550"/>
  <c r="E550"/>
  <c r="F550"/>
  <c r="G550"/>
  <c r="H550"/>
  <c r="I550"/>
  <c r="C551"/>
  <c r="D551"/>
  <c r="E551"/>
  <c r="F551"/>
  <c r="G551"/>
  <c r="H551"/>
  <c r="I551"/>
  <c r="C552"/>
  <c r="D552"/>
  <c r="E552"/>
  <c r="F552"/>
  <c r="G552"/>
  <c r="H552"/>
  <c r="I552"/>
  <c r="E555"/>
  <c r="C556"/>
  <c r="D556"/>
  <c r="F556"/>
  <c r="G556"/>
  <c r="H556"/>
  <c r="I556"/>
  <c r="C557"/>
  <c r="D557"/>
  <c r="F557"/>
  <c r="G557"/>
  <c r="H557"/>
  <c r="I557"/>
  <c r="C558"/>
  <c r="D558"/>
  <c r="E558"/>
  <c r="F558"/>
  <c r="G558"/>
  <c r="H558"/>
  <c r="I558"/>
  <c r="C559"/>
  <c r="D559"/>
  <c r="E559"/>
  <c r="F559"/>
  <c r="G559"/>
  <c r="H559"/>
  <c r="I559"/>
  <c r="C566"/>
  <c r="C569" s="1"/>
  <c r="C567"/>
  <c r="C568"/>
  <c r="C570"/>
  <c r="D587" s="1"/>
  <c r="C573"/>
  <c r="D573"/>
  <c r="E573"/>
  <c r="F573"/>
  <c r="G573"/>
  <c r="H573"/>
  <c r="I573"/>
  <c r="I577"/>
  <c r="C584"/>
  <c r="D584"/>
  <c r="E584"/>
  <c r="F584"/>
  <c r="G584"/>
  <c r="H584"/>
  <c r="I584"/>
  <c r="C587"/>
  <c r="E587"/>
  <c r="G587"/>
  <c r="I587"/>
  <c r="C596"/>
  <c r="C597"/>
  <c r="C598" s="1"/>
  <c r="H226" i="3"/>
  <c r="G226"/>
  <c r="F226"/>
  <c r="E226"/>
  <c r="D226"/>
  <c r="C226"/>
  <c r="I225"/>
  <c r="H225"/>
  <c r="G225"/>
  <c r="F225"/>
  <c r="E225"/>
  <c r="D225"/>
  <c r="C225"/>
  <c r="I224"/>
  <c r="H224"/>
  <c r="G224"/>
  <c r="F224"/>
  <c r="D224"/>
  <c r="C224"/>
  <c r="I223"/>
  <c r="H223"/>
  <c r="G223"/>
  <c r="F223"/>
  <c r="D223"/>
  <c r="C223"/>
  <c r="E222"/>
  <c r="H219"/>
  <c r="G219"/>
  <c r="F219"/>
  <c r="E219"/>
  <c r="D219"/>
  <c r="C219"/>
  <c r="I218"/>
  <c r="H218"/>
  <c r="G218"/>
  <c r="F218"/>
  <c r="E218"/>
  <c r="D218"/>
  <c r="C218"/>
  <c r="I217"/>
  <c r="H217"/>
  <c r="G217"/>
  <c r="F217"/>
  <c r="E217"/>
  <c r="I216"/>
  <c r="H216"/>
  <c r="G216"/>
  <c r="F216"/>
  <c r="E216"/>
  <c r="I215"/>
  <c r="H215"/>
  <c r="G215"/>
  <c r="F215"/>
  <c r="E215"/>
  <c r="I214"/>
  <c r="H214"/>
  <c r="G214"/>
  <c r="F214"/>
  <c r="D214"/>
  <c r="C214"/>
  <c r="I213"/>
  <c r="H213"/>
  <c r="G213"/>
  <c r="F213"/>
  <c r="D213"/>
  <c r="C213"/>
  <c r="E212"/>
  <c r="I205"/>
  <c r="I204"/>
  <c r="I203"/>
  <c r="H203"/>
  <c r="G203"/>
  <c r="F203"/>
  <c r="E203"/>
  <c r="D203"/>
  <c r="C203"/>
  <c r="C217" s="1"/>
  <c r="D184"/>
  <c r="I161"/>
  <c r="H161"/>
  <c r="G161"/>
  <c r="F161"/>
  <c r="E161"/>
  <c r="D161"/>
  <c r="C161"/>
  <c r="I116"/>
  <c r="H116"/>
  <c r="G116"/>
  <c r="F116"/>
  <c r="E116"/>
  <c r="D116"/>
  <c r="C116"/>
  <c r="D98"/>
  <c r="I76"/>
  <c r="H76"/>
  <c r="G76"/>
  <c r="F76"/>
  <c r="E76"/>
  <c r="D76"/>
  <c r="C76"/>
  <c r="I55"/>
  <c r="I202" s="1"/>
  <c r="H55"/>
  <c r="H202" s="1"/>
  <c r="G55"/>
  <c r="G202" s="1"/>
  <c r="F55"/>
  <c r="F202" s="1"/>
  <c r="E55"/>
  <c r="E202" s="1"/>
  <c r="D55"/>
  <c r="D202" s="1"/>
  <c r="C55"/>
  <c r="C202" s="1"/>
  <c r="C33"/>
  <c r="H37" s="1"/>
  <c r="H12"/>
  <c r="G12"/>
  <c r="F12"/>
  <c r="E12"/>
  <c r="D12"/>
  <c r="C12"/>
  <c r="A2"/>
  <c r="D24" i="2"/>
  <c r="G9"/>
  <c r="F28" s="1"/>
  <c r="A2"/>
  <c r="C474" i="1"/>
  <c r="C473"/>
  <c r="C472"/>
  <c r="C468"/>
  <c r="C467"/>
  <c r="C466"/>
  <c r="M465"/>
  <c r="L49" i="3" s="1"/>
  <c r="L48"/>
  <c r="R457" i="1"/>
  <c r="P457"/>
  <c r="Q456"/>
  <c r="Q455"/>
  <c r="Q454"/>
  <c r="Q453"/>
  <c r="Q452"/>
  <c r="Q451"/>
  <c r="C451"/>
  <c r="Q450"/>
  <c r="Q449"/>
  <c r="Q457" s="1"/>
  <c r="S457" s="1"/>
  <c r="G417"/>
  <c r="G415"/>
  <c r="G416"/>
  <c r="F417"/>
  <c r="D417"/>
  <c r="E414"/>
  <c r="J414" s="1"/>
  <c r="F412"/>
  <c r="I412" s="1"/>
  <c r="D412"/>
  <c r="E412"/>
  <c r="F410"/>
  <c r="I410" s="1"/>
  <c r="D410"/>
  <c r="E410"/>
  <c r="G419"/>
  <c r="F420"/>
  <c r="D420"/>
  <c r="E420" s="1"/>
  <c r="I409"/>
  <c r="I383"/>
  <c r="H383"/>
  <c r="G383"/>
  <c r="F383"/>
  <c r="E383"/>
  <c r="D383"/>
  <c r="C383"/>
  <c r="I361"/>
  <c r="H361"/>
  <c r="G361"/>
  <c r="F361"/>
  <c r="E361"/>
  <c r="D361"/>
  <c r="C361"/>
  <c r="H350"/>
  <c r="C346"/>
  <c r="D346" s="1"/>
  <c r="H325"/>
  <c r="G325"/>
  <c r="F325"/>
  <c r="E325"/>
  <c r="D325"/>
  <c r="C325"/>
  <c r="H296"/>
  <c r="C292"/>
  <c r="H271"/>
  <c r="G271"/>
  <c r="F271"/>
  <c r="E271"/>
  <c r="D271"/>
  <c r="C271"/>
  <c r="H257"/>
  <c r="C253"/>
  <c r="D253" s="1"/>
  <c r="H231"/>
  <c r="G231"/>
  <c r="F231"/>
  <c r="E231"/>
  <c r="D231"/>
  <c r="C231"/>
  <c r="H206"/>
  <c r="H263" s="1"/>
  <c r="H200"/>
  <c r="C196"/>
  <c r="H179"/>
  <c r="G179"/>
  <c r="F179"/>
  <c r="E179"/>
  <c r="D179"/>
  <c r="C179"/>
  <c r="H165"/>
  <c r="G165"/>
  <c r="F165"/>
  <c r="E165"/>
  <c r="D165"/>
  <c r="C165"/>
  <c r="I158"/>
  <c r="C158"/>
  <c r="I157"/>
  <c r="H154"/>
  <c r="C154"/>
  <c r="E147"/>
  <c r="H146"/>
  <c r="O143"/>
  <c r="N143"/>
  <c r="O142"/>
  <c r="O144" s="1"/>
  <c r="E145" s="1"/>
  <c r="N142"/>
  <c r="N144" s="1"/>
  <c r="E144" s="1"/>
  <c r="I137"/>
  <c r="H137"/>
  <c r="G137"/>
  <c r="F137"/>
  <c r="E137"/>
  <c r="D137"/>
  <c r="C137"/>
  <c r="B136"/>
  <c r="I122"/>
  <c r="H122"/>
  <c r="G122"/>
  <c r="F122"/>
  <c r="E122"/>
  <c r="D122"/>
  <c r="C122"/>
  <c r="I104"/>
  <c r="H104"/>
  <c r="G104"/>
  <c r="F104"/>
  <c r="E104"/>
  <c r="D104"/>
  <c r="C104"/>
  <c r="I86"/>
  <c r="H86"/>
  <c r="G86"/>
  <c r="F86"/>
  <c r="E86"/>
  <c r="D86"/>
  <c r="C86"/>
  <c r="I76"/>
  <c r="H76"/>
  <c r="G76"/>
  <c r="F76"/>
  <c r="E76"/>
  <c r="D76"/>
  <c r="C76"/>
  <c r="S60"/>
  <c r="J55"/>
  <c r="J54"/>
  <c r="J53"/>
  <c r="J52"/>
  <c r="J51"/>
  <c r="J50"/>
  <c r="S48"/>
  <c r="Q48"/>
  <c r="O48"/>
  <c r="M48"/>
  <c r="J48"/>
  <c r="J47"/>
  <c r="J46"/>
  <c r="J45"/>
  <c r="I56"/>
  <c r="G56"/>
  <c r="E56"/>
  <c r="C56"/>
  <c r="S42"/>
  <c r="R42"/>
  <c r="Q42"/>
  <c r="P42"/>
  <c r="O42"/>
  <c r="N42"/>
  <c r="M42"/>
  <c r="I42"/>
  <c r="H42"/>
  <c r="G42"/>
  <c r="F42"/>
  <c r="E42"/>
  <c r="D42"/>
  <c r="C42"/>
  <c r="B41"/>
  <c r="S37"/>
  <c r="R37"/>
  <c r="Q37"/>
  <c r="P37"/>
  <c r="N37"/>
  <c r="M37"/>
  <c r="O37"/>
  <c r="S36"/>
  <c r="R36"/>
  <c r="Q36"/>
  <c r="P36"/>
  <c r="N36"/>
  <c r="M36"/>
  <c r="O36"/>
  <c r="S35"/>
  <c r="R35"/>
  <c r="Q35"/>
  <c r="P35"/>
  <c r="N35"/>
  <c r="M35"/>
  <c r="O35"/>
  <c r="S34"/>
  <c r="R34"/>
  <c r="Q34"/>
  <c r="P34"/>
  <c r="N34"/>
  <c r="M34"/>
  <c r="O34"/>
  <c r="S33"/>
  <c r="R33"/>
  <c r="Q33"/>
  <c r="P33"/>
  <c r="N33"/>
  <c r="M33"/>
  <c r="O33"/>
  <c r="S32"/>
  <c r="R32"/>
  <c r="Q32"/>
  <c r="P32"/>
  <c r="N32"/>
  <c r="M32"/>
  <c r="O32"/>
  <c r="S31"/>
  <c r="R31"/>
  <c r="Q31"/>
  <c r="P31"/>
  <c r="N31"/>
  <c r="M31"/>
  <c r="O49"/>
  <c r="S30"/>
  <c r="R30"/>
  <c r="Q30"/>
  <c r="P30"/>
  <c r="N30"/>
  <c r="M30"/>
  <c r="O30"/>
  <c r="S29"/>
  <c r="R29"/>
  <c r="Q29"/>
  <c r="P29"/>
  <c r="N29"/>
  <c r="M29"/>
  <c r="O29"/>
  <c r="S28"/>
  <c r="R28"/>
  <c r="Q28"/>
  <c r="P28"/>
  <c r="N28"/>
  <c r="M28"/>
  <c r="O28"/>
  <c r="S27"/>
  <c r="R27"/>
  <c r="Q27"/>
  <c r="P27"/>
  <c r="N27"/>
  <c r="M27"/>
  <c r="O27"/>
  <c r="S26"/>
  <c r="R26"/>
  <c r="Q26"/>
  <c r="P26"/>
  <c r="N26"/>
  <c r="M26"/>
  <c r="O26"/>
  <c r="S64" s="1"/>
  <c r="S24"/>
  <c r="R24"/>
  <c r="Q24"/>
  <c r="P24"/>
  <c r="O24"/>
  <c r="N24"/>
  <c r="M24"/>
  <c r="I24"/>
  <c r="H24"/>
  <c r="G24"/>
  <c r="F24"/>
  <c r="E24"/>
  <c r="D24"/>
  <c r="C24"/>
  <c r="P19"/>
  <c r="N19"/>
  <c r="S19"/>
  <c r="Q19"/>
  <c r="O19"/>
  <c r="M19"/>
  <c r="P18"/>
  <c r="N18"/>
  <c r="S18"/>
  <c r="Q18"/>
  <c r="O18"/>
  <c r="M18"/>
  <c r="P17"/>
  <c r="N17"/>
  <c r="S17"/>
  <c r="Q17"/>
  <c r="O17"/>
  <c r="M17"/>
  <c r="P16"/>
  <c r="N16"/>
  <c r="S16"/>
  <c r="Q16"/>
  <c r="O16"/>
  <c r="M16"/>
  <c r="P15"/>
  <c r="N15"/>
  <c r="S15"/>
  <c r="Q15"/>
  <c r="O15"/>
  <c r="M15"/>
  <c r="P14"/>
  <c r="N14"/>
  <c r="S14"/>
  <c r="Q14"/>
  <c r="O14"/>
  <c r="M14"/>
  <c r="P13"/>
  <c r="N13"/>
  <c r="P12"/>
  <c r="N12"/>
  <c r="S12"/>
  <c r="Q12"/>
  <c r="O12"/>
  <c r="M12"/>
  <c r="P11"/>
  <c r="N11"/>
  <c r="S11"/>
  <c r="Q11"/>
  <c r="O11"/>
  <c r="M11"/>
  <c r="P10"/>
  <c r="N10"/>
  <c r="S10"/>
  <c r="Q10"/>
  <c r="O10"/>
  <c r="M10"/>
  <c r="P9"/>
  <c r="N9"/>
  <c r="S9"/>
  <c r="Q9"/>
  <c r="O9"/>
  <c r="M9"/>
  <c r="P8"/>
  <c r="N8"/>
  <c r="S6"/>
  <c r="R6"/>
  <c r="Q6"/>
  <c r="P6"/>
  <c r="O6"/>
  <c r="N6"/>
  <c r="M6"/>
  <c r="E3"/>
  <c r="B1"/>
  <c r="L50" i="3" l="1"/>
  <c r="C586" i="1"/>
  <c r="E586"/>
  <c r="G586"/>
  <c r="G588" s="1"/>
  <c r="I586"/>
  <c r="D586"/>
  <c r="D588" s="1"/>
  <c r="F586"/>
  <c r="H586"/>
  <c r="D493"/>
  <c r="G493"/>
  <c r="I493"/>
  <c r="E495"/>
  <c r="D496"/>
  <c r="D497"/>
  <c r="D503"/>
  <c r="G503"/>
  <c r="I503"/>
  <c r="E505"/>
  <c r="C493"/>
  <c r="F493"/>
  <c r="H493"/>
  <c r="E494"/>
  <c r="C496"/>
  <c r="C497"/>
  <c r="D498"/>
  <c r="C503"/>
  <c r="F503"/>
  <c r="H503"/>
  <c r="E504"/>
  <c r="I588"/>
  <c r="E588"/>
  <c r="H587"/>
  <c r="F587"/>
  <c r="F588" s="1"/>
  <c r="O50"/>
  <c r="S84"/>
  <c r="S71"/>
  <c r="J44"/>
  <c r="N44"/>
  <c r="P44"/>
  <c r="R44"/>
  <c r="O45"/>
  <c r="J49"/>
  <c r="S63"/>
  <c r="S67"/>
  <c r="C167"/>
  <c r="E167"/>
  <c r="S74"/>
  <c r="S78"/>
  <c r="S73"/>
  <c r="S77"/>
  <c r="H8"/>
  <c r="M8"/>
  <c r="O8"/>
  <c r="Q8"/>
  <c r="S8"/>
  <c r="H9"/>
  <c r="R9" s="1"/>
  <c r="H10"/>
  <c r="R10" s="1"/>
  <c r="H11"/>
  <c r="R11" s="1"/>
  <c r="H12"/>
  <c r="R12" s="1"/>
  <c r="H13"/>
  <c r="M13"/>
  <c r="O13"/>
  <c r="Q13"/>
  <c r="S13"/>
  <c r="H14"/>
  <c r="R14" s="1"/>
  <c r="H15"/>
  <c r="R15" s="1"/>
  <c r="H16"/>
  <c r="R16" s="1"/>
  <c r="H17"/>
  <c r="R17" s="1"/>
  <c r="H18"/>
  <c r="R18" s="1"/>
  <c r="H19"/>
  <c r="R19" s="1"/>
  <c r="O31"/>
  <c r="S68" s="1"/>
  <c r="M44"/>
  <c r="O44"/>
  <c r="O46" s="1"/>
  <c r="Q44"/>
  <c r="S44"/>
  <c r="N48"/>
  <c r="P48"/>
  <c r="R48"/>
  <c r="M52"/>
  <c r="M53" s="1"/>
  <c r="D56"/>
  <c r="F56"/>
  <c r="H56"/>
  <c r="S62"/>
  <c r="S66"/>
  <c r="D167"/>
  <c r="F167"/>
  <c r="H167"/>
  <c r="I417"/>
  <c r="E183" i="3"/>
  <c r="J139" i="1"/>
  <c r="J141"/>
  <c r="G167"/>
  <c r="E409"/>
  <c r="J409" s="1"/>
  <c r="G411"/>
  <c r="G413"/>
  <c r="I414"/>
  <c r="D416"/>
  <c r="E416" s="1"/>
  <c r="J416" s="1"/>
  <c r="F416"/>
  <c r="I416" s="1"/>
  <c r="E417"/>
  <c r="J417" s="1"/>
  <c r="D418"/>
  <c r="F418"/>
  <c r="D419"/>
  <c r="G410"/>
  <c r="J410" s="1"/>
  <c r="D411"/>
  <c r="E411" s="1"/>
  <c r="J411" s="1"/>
  <c r="F411"/>
  <c r="I411" s="1"/>
  <c r="G412"/>
  <c r="J412" s="1"/>
  <c r="D413"/>
  <c r="E413" s="1"/>
  <c r="J413" s="1"/>
  <c r="F413"/>
  <c r="I413" s="1"/>
  <c r="D415"/>
  <c r="E415" s="1"/>
  <c r="J415" s="1"/>
  <c r="F415"/>
  <c r="I415" s="1"/>
  <c r="I418"/>
  <c r="E418"/>
  <c r="G418"/>
  <c r="E419"/>
  <c r="J419" s="1"/>
  <c r="F419"/>
  <c r="I419" s="1"/>
  <c r="I420"/>
  <c r="G420"/>
  <c r="J420" s="1"/>
  <c r="M466"/>
  <c r="E27" i="2"/>
  <c r="E28"/>
  <c r="I40"/>
  <c r="D33" i="3"/>
  <c r="D27" i="2"/>
  <c r="F27"/>
  <c r="F29" s="1"/>
  <c r="D28"/>
  <c r="G28" s="1"/>
  <c r="E43"/>
  <c r="E96" i="3"/>
  <c r="E182"/>
  <c r="E184" s="1"/>
  <c r="H524" i="1" l="1"/>
  <c r="H576"/>
  <c r="H577" s="1"/>
  <c r="H555"/>
  <c r="E525"/>
  <c r="E556"/>
  <c r="E576"/>
  <c r="F524"/>
  <c r="F576"/>
  <c r="F555"/>
  <c r="D519"/>
  <c r="D550"/>
  <c r="C517"/>
  <c r="C548"/>
  <c r="H514"/>
  <c r="H575"/>
  <c r="H545"/>
  <c r="C545"/>
  <c r="C575"/>
  <c r="I555"/>
  <c r="I524"/>
  <c r="D576"/>
  <c r="D524"/>
  <c r="D555"/>
  <c r="D548"/>
  <c r="D517"/>
  <c r="I545"/>
  <c r="I514"/>
  <c r="D575"/>
  <c r="D545"/>
  <c r="H588"/>
  <c r="C524"/>
  <c r="C555"/>
  <c r="C576"/>
  <c r="C518"/>
  <c r="C549"/>
  <c r="E515"/>
  <c r="E546"/>
  <c r="E575"/>
  <c r="F514"/>
  <c r="F575"/>
  <c r="F545"/>
  <c r="E557"/>
  <c r="E526"/>
  <c r="G555"/>
  <c r="G524"/>
  <c r="G576"/>
  <c r="G577" s="1"/>
  <c r="D518"/>
  <c r="D549"/>
  <c r="E547"/>
  <c r="E516"/>
  <c r="G545"/>
  <c r="G514"/>
  <c r="G575"/>
  <c r="C592"/>
  <c r="C591"/>
  <c r="C601" s="1"/>
  <c r="C588"/>
  <c r="C177" i="3"/>
  <c r="C92"/>
  <c r="D33" i="2"/>
  <c r="D29"/>
  <c r="G27"/>
  <c r="C98" i="3"/>
  <c r="E97"/>
  <c r="E39" i="2"/>
  <c r="C447" i="1"/>
  <c r="D447"/>
  <c r="N53"/>
  <c r="N52"/>
  <c r="N54" s="1"/>
  <c r="S79"/>
  <c r="R13"/>
  <c r="S92"/>
  <c r="T78"/>
  <c r="E98" i="3"/>
  <c r="J418" i="1"/>
  <c r="T63"/>
  <c r="J56"/>
  <c r="S75"/>
  <c r="R8"/>
  <c r="S87"/>
  <c r="T74"/>
  <c r="E29" i="2"/>
  <c r="C184" i="3"/>
  <c r="T67" i="1"/>
  <c r="C603" l="1"/>
  <c r="C577"/>
  <c r="C581"/>
  <c r="C582" s="1"/>
  <c r="C580"/>
  <c r="C606" s="1"/>
  <c r="D577"/>
  <c r="C602"/>
  <c r="C593"/>
  <c r="F577"/>
  <c r="E577"/>
  <c r="J429"/>
  <c r="D459"/>
  <c r="C102" i="3"/>
  <c r="C459" i="1"/>
  <c r="F425"/>
  <c r="J428"/>
  <c r="D176" i="3"/>
  <c r="E451" i="1"/>
  <c r="E449"/>
  <c r="D91" i="3"/>
  <c r="D177"/>
  <c r="D189" s="1"/>
  <c r="G39" i="2"/>
  <c r="D32"/>
  <c r="C176" i="3"/>
  <c r="C91"/>
  <c r="G29" i="2"/>
  <c r="D34" s="1"/>
  <c r="D40" s="1"/>
  <c r="C189" i="3"/>
  <c r="C178"/>
  <c r="E177" l="1"/>
  <c r="C607" i="1"/>
  <c r="C608" s="1"/>
  <c r="E189" i="3"/>
  <c r="D196" s="1"/>
  <c r="C101"/>
  <c r="E91"/>
  <c r="D101"/>
  <c r="C465" i="1"/>
  <c r="D150"/>
  <c r="D188" i="3"/>
  <c r="D190" s="1"/>
  <c r="D178"/>
  <c r="C188"/>
  <c r="E188" s="1"/>
  <c r="E176"/>
  <c r="E178" s="1"/>
  <c r="C464" i="1"/>
  <c r="D149"/>
  <c r="G439"/>
  <c r="C73" s="1"/>
  <c r="G438"/>
  <c r="C72" s="1"/>
  <c r="G437"/>
  <c r="C71" s="1"/>
  <c r="G436"/>
  <c r="C70" s="1"/>
  <c r="G435"/>
  <c r="C69" s="1"/>
  <c r="G434"/>
  <c r="C68" s="1"/>
  <c r="G433"/>
  <c r="H432"/>
  <c r="D66" s="1"/>
  <c r="H431"/>
  <c r="D65" s="1"/>
  <c r="H430"/>
  <c r="D64" s="1"/>
  <c r="G429"/>
  <c r="C63" s="1"/>
  <c r="H428"/>
  <c r="H438"/>
  <c r="D72" s="1"/>
  <c r="H436"/>
  <c r="D70" s="1"/>
  <c r="H434"/>
  <c r="D68" s="1"/>
  <c r="G432"/>
  <c r="C66" s="1"/>
  <c r="G428"/>
  <c r="H439"/>
  <c r="D73" s="1"/>
  <c r="H437"/>
  <c r="D71" s="1"/>
  <c r="H435"/>
  <c r="D69" s="1"/>
  <c r="H433"/>
  <c r="G431"/>
  <c r="C65" s="1"/>
  <c r="G430"/>
  <c r="C64" s="1"/>
  <c r="H429"/>
  <c r="D63" s="1"/>
  <c r="E461"/>
  <c r="D161" s="1"/>
  <c r="C469" s="1"/>
  <c r="D92" i="3"/>
  <c r="C103"/>
  <c r="E45" i="2"/>
  <c r="E44"/>
  <c r="C93" i="3"/>
  <c r="C190" l="1"/>
  <c r="D102"/>
  <c r="E92"/>
  <c r="R432" i="1"/>
  <c r="R429"/>
  <c r="D62"/>
  <c r="R428"/>
  <c r="R430" s="1"/>
  <c r="D67"/>
  <c r="Q429"/>
  <c r="Q432"/>
  <c r="S432" s="1"/>
  <c r="C62"/>
  <c r="Q428"/>
  <c r="C67"/>
  <c r="D195" i="3"/>
  <c r="E190"/>
  <c r="D197"/>
  <c r="E101"/>
  <c r="H171" i="1"/>
  <c r="H170"/>
  <c r="F170"/>
  <c r="D170"/>
  <c r="G171"/>
  <c r="G170"/>
  <c r="E170"/>
  <c r="C170"/>
  <c r="I149"/>
  <c r="H259"/>
  <c r="H298" s="1"/>
  <c r="H352" s="1"/>
  <c r="E171"/>
  <c r="D171"/>
  <c r="C171"/>
  <c r="F171"/>
  <c r="H172"/>
  <c r="G172"/>
  <c r="I150"/>
  <c r="F172"/>
  <c r="C172"/>
  <c r="D172"/>
  <c r="E172"/>
  <c r="H260"/>
  <c r="H299" s="1"/>
  <c r="H353" s="1"/>
  <c r="D93" i="3"/>
  <c r="E93"/>
  <c r="H40" l="1"/>
  <c r="I71" s="1"/>
  <c r="H39"/>
  <c r="I64" s="1"/>
  <c r="D107"/>
  <c r="F90" i="1"/>
  <c r="F108" s="1"/>
  <c r="D90"/>
  <c r="D108" s="1"/>
  <c r="E90"/>
  <c r="I90"/>
  <c r="I108" s="1"/>
  <c r="C90"/>
  <c r="C108" s="1"/>
  <c r="G90"/>
  <c r="G108" s="1"/>
  <c r="H90"/>
  <c r="H108" s="1"/>
  <c r="D94"/>
  <c r="D112" s="1"/>
  <c r="F94"/>
  <c r="F112" s="1"/>
  <c r="C94"/>
  <c r="C112" s="1"/>
  <c r="E94"/>
  <c r="G94"/>
  <c r="G112" s="1"/>
  <c r="I94"/>
  <c r="I112" s="1"/>
  <c r="H94"/>
  <c r="H112" s="1"/>
  <c r="D103" i="3"/>
  <c r="E102"/>
  <c r="D108" s="1"/>
  <c r="Q430" i="1"/>
  <c r="C88"/>
  <c r="G88"/>
  <c r="E89"/>
  <c r="I89"/>
  <c r="I107" s="1"/>
  <c r="D89"/>
  <c r="D107" s="1"/>
  <c r="F89"/>
  <c r="F107" s="1"/>
  <c r="C89"/>
  <c r="C107" s="1"/>
  <c r="G89"/>
  <c r="G107" s="1"/>
  <c r="E88"/>
  <c r="I88"/>
  <c r="D88"/>
  <c r="F88"/>
  <c r="H88"/>
  <c r="H89"/>
  <c r="H107" s="1"/>
  <c r="C92"/>
  <c r="C110" s="1"/>
  <c r="C128" s="1"/>
  <c r="C188" s="1"/>
  <c r="G92"/>
  <c r="G110" s="1"/>
  <c r="G128" s="1"/>
  <c r="G188" s="1"/>
  <c r="E93"/>
  <c r="I92"/>
  <c r="I110" s="1"/>
  <c r="I128" s="1"/>
  <c r="C202" s="1"/>
  <c r="D93"/>
  <c r="D111" s="1"/>
  <c r="F93"/>
  <c r="F111" s="1"/>
  <c r="C93"/>
  <c r="C111" s="1"/>
  <c r="G93"/>
  <c r="G111" s="1"/>
  <c r="E92"/>
  <c r="E110" s="1"/>
  <c r="E128" s="1"/>
  <c r="E188" s="1"/>
  <c r="I93"/>
  <c r="I111" s="1"/>
  <c r="D92"/>
  <c r="D110" s="1"/>
  <c r="D128" s="1"/>
  <c r="D188" s="1"/>
  <c r="F92"/>
  <c r="F110" s="1"/>
  <c r="F128" s="1"/>
  <c r="F188" s="1"/>
  <c r="H93"/>
  <c r="H111" s="1"/>
  <c r="H92"/>
  <c r="H110" s="1"/>
  <c r="H128" s="1"/>
  <c r="H188" s="1"/>
  <c r="F364" l="1"/>
  <c r="F280"/>
  <c r="D364"/>
  <c r="D280"/>
  <c r="E364"/>
  <c r="E280"/>
  <c r="E386" s="1"/>
  <c r="E111"/>
  <c r="S88"/>
  <c r="S89" s="1"/>
  <c r="E129" s="1"/>
  <c r="E189" s="1"/>
  <c r="C364"/>
  <c r="C280"/>
  <c r="H96"/>
  <c r="H106"/>
  <c r="D96"/>
  <c r="D106"/>
  <c r="E96"/>
  <c r="E106"/>
  <c r="E107"/>
  <c r="S93"/>
  <c r="S94" s="1"/>
  <c r="E125" s="1"/>
  <c r="E182" s="1"/>
  <c r="C96"/>
  <c r="C106"/>
  <c r="E130"/>
  <c r="E190" s="1"/>
  <c r="E112"/>
  <c r="E126"/>
  <c r="E183" s="1"/>
  <c r="E108"/>
  <c r="H364"/>
  <c r="H280"/>
  <c r="C298"/>
  <c r="D259"/>
  <c r="G364"/>
  <c r="G280"/>
  <c r="F96"/>
  <c r="F106"/>
  <c r="I96"/>
  <c r="I106"/>
  <c r="G96"/>
  <c r="G106"/>
  <c r="D109" i="3"/>
  <c r="E103"/>
  <c r="E274" i="1" l="1"/>
  <c r="E281"/>
  <c r="I124"/>
  <c r="I114"/>
  <c r="G386"/>
  <c r="C124"/>
  <c r="C114"/>
  <c r="C373"/>
  <c r="D386"/>
  <c r="G124"/>
  <c r="G114"/>
  <c r="F114"/>
  <c r="F124"/>
  <c r="D352"/>
  <c r="D39" i="3" s="1"/>
  <c r="H386" i="1"/>
  <c r="E275"/>
  <c r="E282"/>
  <c r="E124"/>
  <c r="E114"/>
  <c r="D114"/>
  <c r="D124"/>
  <c r="H114"/>
  <c r="H124"/>
  <c r="C386"/>
  <c r="F386"/>
  <c r="C98"/>
  <c r="F181" l="1"/>
  <c r="F132"/>
  <c r="F192" s="1"/>
  <c r="H181"/>
  <c r="H132"/>
  <c r="H192" s="1"/>
  <c r="D181"/>
  <c r="D132"/>
  <c r="D192" s="1"/>
  <c r="G132"/>
  <c r="G192" s="1"/>
  <c r="G181"/>
  <c r="E378"/>
  <c r="C132"/>
  <c r="C192" s="1"/>
  <c r="C181"/>
  <c r="I132"/>
  <c r="C206" s="1"/>
  <c r="C198"/>
  <c r="C395"/>
  <c r="E132"/>
  <c r="E192" s="1"/>
  <c r="E181"/>
  <c r="C116"/>
  <c r="C133" s="1"/>
  <c r="C302" l="1"/>
  <c r="G363"/>
  <c r="G273"/>
  <c r="D284"/>
  <c r="F284"/>
  <c r="E363"/>
  <c r="E273"/>
  <c r="E385" s="1"/>
  <c r="E400"/>
  <c r="C294"/>
  <c r="C273"/>
  <c r="C184"/>
  <c r="G284"/>
  <c r="D184"/>
  <c r="D273"/>
  <c r="H363"/>
  <c r="H273"/>
  <c r="F363"/>
  <c r="F273"/>
  <c r="E284"/>
  <c r="C284"/>
  <c r="C221"/>
  <c r="H284"/>
  <c r="D222" l="1"/>
  <c r="D223"/>
  <c r="C255" s="1"/>
  <c r="H365"/>
  <c r="H369" s="1"/>
  <c r="D238"/>
  <c r="D185"/>
  <c r="D239" s="1"/>
  <c r="D186"/>
  <c r="D240" s="1"/>
  <c r="F368"/>
  <c r="F365"/>
  <c r="F369" s="1"/>
  <c r="H385"/>
  <c r="D276"/>
  <c r="C363"/>
  <c r="C238"/>
  <c r="C185"/>
  <c r="C239" s="1"/>
  <c r="C276"/>
  <c r="I365"/>
  <c r="I369" s="1"/>
  <c r="E387"/>
  <c r="E391" s="1"/>
  <c r="G365"/>
  <c r="G369" s="1"/>
  <c r="D255"/>
  <c r="C316"/>
  <c r="F385"/>
  <c r="E368"/>
  <c r="E365"/>
  <c r="E369" s="1"/>
  <c r="G385"/>
  <c r="G387" l="1"/>
  <c r="G391" s="1"/>
  <c r="F387"/>
  <c r="F391" s="1"/>
  <c r="C277"/>
  <c r="C333" s="1"/>
  <c r="C20" i="3" s="1"/>
  <c r="C385" i="1"/>
  <c r="C332"/>
  <c r="C19" i="3" s="1"/>
  <c r="H390" i="1"/>
  <c r="H387"/>
  <c r="H391" s="1"/>
  <c r="D317"/>
  <c r="D318"/>
  <c r="D332"/>
  <c r="D19" i="3" s="1"/>
  <c r="D278" i="1"/>
  <c r="D334" s="1"/>
  <c r="D21" i="3" s="1"/>
  <c r="D277" i="1"/>
  <c r="D333" s="1"/>
  <c r="D20" i="3" s="1"/>
  <c r="I390" i="1"/>
  <c r="I387"/>
  <c r="I391" s="1"/>
  <c r="C348"/>
  <c r="C263"/>
  <c r="G368"/>
  <c r="E390"/>
  <c r="I368"/>
  <c r="D348"/>
  <c r="D35" i="3" s="1"/>
  <c r="D363" i="1"/>
  <c r="H368"/>
  <c r="C372"/>
  <c r="C365"/>
  <c r="C369" s="1"/>
  <c r="L52" i="3"/>
  <c r="M468" i="1"/>
  <c r="D242"/>
  <c r="C242"/>
  <c r="G242"/>
  <c r="F242"/>
  <c r="H242"/>
  <c r="E234"/>
  <c r="E235"/>
  <c r="E244"/>
  <c r="E243"/>
  <c r="C259"/>
  <c r="D233"/>
  <c r="H246"/>
  <c r="G233"/>
  <c r="D246"/>
  <c r="F246"/>
  <c r="G246"/>
  <c r="H233"/>
  <c r="J378"/>
  <c r="E246"/>
  <c r="C246"/>
  <c r="C233"/>
  <c r="F233"/>
  <c r="F11" i="2" l="1"/>
  <c r="M469" i="1"/>
  <c r="M470" s="1"/>
  <c r="F50" i="3"/>
  <c r="I52"/>
  <c r="L53" s="1"/>
  <c r="L54" s="1"/>
  <c r="D49" s="1"/>
  <c r="F52"/>
  <c r="G336" i="1"/>
  <c r="H336"/>
  <c r="D336"/>
  <c r="C336"/>
  <c r="F336"/>
  <c r="E338"/>
  <c r="E328"/>
  <c r="E329"/>
  <c r="E337"/>
  <c r="C352"/>
  <c r="F340"/>
  <c r="F27" i="3" s="1"/>
  <c r="J400" i="1"/>
  <c r="H327"/>
  <c r="C327"/>
  <c r="C14" i="3" s="1"/>
  <c r="E340" i="1"/>
  <c r="E27" i="3" s="1"/>
  <c r="H340" i="1"/>
  <c r="H27" i="3" s="1"/>
  <c r="F327" i="1"/>
  <c r="G327"/>
  <c r="D340"/>
  <c r="D27" i="3" s="1"/>
  <c r="D327" i="1"/>
  <c r="D14" i="3" s="1"/>
  <c r="G340" i="1"/>
  <c r="G27" i="3" s="1"/>
  <c r="C340" i="1"/>
  <c r="C27" i="3" s="1"/>
  <c r="C356" i="1"/>
  <c r="C43" i="3" s="1"/>
  <c r="C368" i="1"/>
  <c r="F390"/>
  <c r="G390"/>
  <c r="E377"/>
  <c r="J377" s="1"/>
  <c r="C374"/>
  <c r="C378" s="1"/>
  <c r="D368"/>
  <c r="D365"/>
  <c r="D369" s="1"/>
  <c r="C35" i="3"/>
  <c r="C387" i="1"/>
  <c r="C391" s="1"/>
  <c r="D385"/>
  <c r="D390" l="1"/>
  <c r="D387"/>
  <c r="D391" s="1"/>
  <c r="E16" i="3"/>
  <c r="C23"/>
  <c r="F14"/>
  <c r="H14"/>
  <c r="E24"/>
  <c r="E15"/>
  <c r="F23"/>
  <c r="D23"/>
  <c r="G23"/>
  <c r="D42" i="2"/>
  <c r="D11"/>
  <c r="F12"/>
  <c r="F13" s="1"/>
  <c r="E11"/>
  <c r="F14"/>
  <c r="C394" i="1"/>
  <c r="C390"/>
  <c r="C377"/>
  <c r="G14" i="3"/>
  <c r="C39"/>
  <c r="E25"/>
  <c r="H23"/>
  <c r="E399" i="1" l="1"/>
  <c r="J399" s="1"/>
  <c r="C396"/>
  <c r="C400" s="1"/>
  <c r="D12" i="2"/>
  <c r="D13" s="1"/>
  <c r="D14"/>
  <c r="D45"/>
  <c r="G45" s="1"/>
  <c r="D43"/>
  <c r="D44" s="1"/>
  <c r="G44" s="1"/>
  <c r="E12"/>
  <c r="E13" s="1"/>
  <c r="E14"/>
  <c r="G46" l="1"/>
  <c r="D48" i="3" s="1"/>
  <c r="D50" s="1"/>
  <c r="G13" i="2"/>
  <c r="C399" i="1"/>
  <c r="G14" i="2"/>
  <c r="D61" i="3" l="1"/>
  <c r="D60"/>
  <c r="D57"/>
  <c r="D62"/>
  <c r="C61"/>
  <c r="C60"/>
  <c r="C57"/>
  <c r="I57"/>
  <c r="G57"/>
  <c r="D67"/>
  <c r="H67"/>
  <c r="F67"/>
  <c r="I67"/>
  <c r="E69"/>
  <c r="G67"/>
  <c r="E58"/>
  <c r="E59"/>
  <c r="H57"/>
  <c r="C67"/>
  <c r="E68"/>
  <c r="F57"/>
  <c r="G15" i="2"/>
  <c r="H78" i="3" l="1"/>
  <c r="D79"/>
  <c r="D80" s="1"/>
  <c r="F78"/>
  <c r="C79"/>
  <c r="G79"/>
  <c r="H79"/>
  <c r="H80" s="1"/>
  <c r="G78"/>
  <c r="C78"/>
  <c r="D78"/>
  <c r="E79"/>
  <c r="E80" s="1"/>
  <c r="E78"/>
  <c r="F79"/>
  <c r="F80" s="1"/>
  <c r="C84" l="1"/>
  <c r="C80"/>
  <c r="C83"/>
  <c r="C107" s="1"/>
  <c r="E107" s="1"/>
  <c r="G107" s="1"/>
  <c r="I80"/>
  <c r="G80"/>
  <c r="I126" l="1"/>
  <c r="D119"/>
  <c r="C122"/>
  <c r="E121"/>
  <c r="D123"/>
  <c r="H119"/>
  <c r="F119"/>
  <c r="G119"/>
  <c r="C119"/>
  <c r="D124"/>
  <c r="C123"/>
  <c r="E120"/>
  <c r="I119"/>
  <c r="D122"/>
  <c r="C108"/>
  <c r="C85"/>
  <c r="C109" l="1"/>
  <c r="E108"/>
  <c r="I139"/>
  <c r="I212"/>
  <c r="C216"/>
  <c r="C143"/>
  <c r="C212"/>
  <c r="C163"/>
  <c r="F212"/>
  <c r="F163"/>
  <c r="F139"/>
  <c r="D216"/>
  <c r="D143"/>
  <c r="C215"/>
  <c r="C142"/>
  <c r="I219"/>
  <c r="I146"/>
  <c r="D142"/>
  <c r="D215"/>
  <c r="E213"/>
  <c r="E163"/>
  <c r="E140"/>
  <c r="D217"/>
  <c r="D144"/>
  <c r="G139"/>
  <c r="G212"/>
  <c r="G163"/>
  <c r="H212"/>
  <c r="H163"/>
  <c r="H139"/>
  <c r="E141"/>
  <c r="E214"/>
  <c r="D212"/>
  <c r="D163"/>
  <c r="C168" l="1"/>
  <c r="C195" s="1"/>
  <c r="E195" s="1"/>
  <c r="E109"/>
  <c r="G108"/>
  <c r="I133" l="1"/>
  <c r="G129"/>
  <c r="D129"/>
  <c r="C129"/>
  <c r="H129"/>
  <c r="E131"/>
  <c r="E130"/>
  <c r="F129"/>
  <c r="I129"/>
  <c r="E151" l="1"/>
  <c r="E224"/>
  <c r="I165"/>
  <c r="I149"/>
  <c r="I222"/>
  <c r="E223"/>
  <c r="E164"/>
  <c r="E165" s="1"/>
  <c r="E150"/>
  <c r="H222"/>
  <c r="H164"/>
  <c r="H165" s="1"/>
  <c r="H149"/>
  <c r="D222"/>
  <c r="D149"/>
  <c r="D164"/>
  <c r="D165" s="1"/>
  <c r="I226"/>
  <c r="I153"/>
  <c r="F222"/>
  <c r="F164"/>
  <c r="F165" s="1"/>
  <c r="F149"/>
  <c r="C164"/>
  <c r="C222"/>
  <c r="C149"/>
  <c r="G164"/>
  <c r="G165" s="1"/>
  <c r="G149"/>
  <c r="G222"/>
  <c r="C169" l="1"/>
  <c r="C165"/>
  <c r="C170" l="1"/>
  <c r="C196"/>
  <c r="C197" l="1"/>
  <c r="E196"/>
  <c r="E197" s="1"/>
</calcChain>
</file>

<file path=xl/sharedStrings.xml><?xml version="1.0" encoding="utf-8"?>
<sst xmlns="http://schemas.openxmlformats.org/spreadsheetml/2006/main" count="981" uniqueCount="361">
  <si>
    <t>&lt;&lt;&lt; Year of the auction</t>
  </si>
  <si>
    <t>Table #1</t>
  </si>
  <si>
    <t>% Usage During PJM On-Peak Period</t>
  </si>
  <si>
    <t>On-Peak periods defined as the 16 hr PJM Trading period, adj for NERC holidays</t>
  </si>
  <si>
    <t>% usage during Off-Peak period (from 2009 profiles)</t>
  </si>
  <si>
    <t>Profile Meter Data</t>
  </si>
  <si>
    <t xml:space="preserve">   --- Other Analysis ---</t>
  </si>
  <si>
    <t xml:space="preserve"> -- Other Analysis --</t>
  </si>
  <si>
    <t>SC1</t>
  </si>
  <si>
    <t>SC5</t>
  </si>
  <si>
    <t>SC3</t>
  </si>
  <si>
    <t>SC2 ND</t>
  </si>
  <si>
    <t>SC4</t>
  </si>
  <si>
    <t>SC6</t>
  </si>
  <si>
    <t>SC2 Dem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</si>
  <si>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</si>
  <si>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</si>
  <si>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</si>
  <si>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</si>
  <si>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</si>
  <si>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</si>
  <si>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</si>
  <si>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</si>
  <si>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</si>
  <si>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</si>
  <si>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</si>
  <si>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</si>
  <si>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</si>
  <si>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% Usage During RECO On-Peak Billing Period</t>
  </si>
  <si>
    <t>On-Peak periods as defined in specified rate schedule</t>
  </si>
  <si>
    <t>N/A</t>
  </si>
  <si>
    <t>2012 Forecasted Billed Sales</t>
  </si>
  <si>
    <t>(data rounded to nearest %)</t>
  </si>
  <si>
    <t>----</t>
  </si>
  <si>
    <t>Table #3</t>
  </si>
  <si>
    <t>Class Usage @ customer</t>
  </si>
  <si>
    <t>Usage by season</t>
  </si>
  <si>
    <t>in MWh</t>
  </si>
  <si>
    <t>Total</t>
  </si>
  <si>
    <t>winter MWh =</t>
  </si>
  <si>
    <t>on-peak</t>
  </si>
  <si>
    <t>off-peak</t>
  </si>
  <si>
    <t>summer MWh =</t>
  </si>
  <si>
    <t>Block1</t>
  </si>
  <si>
    <t>Block2</t>
  </si>
  <si>
    <t>Block3</t>
  </si>
  <si>
    <t>Calculation of TOU Rate Adjustment to Reflect Difference between RECO and PJM Time Periods</t>
  </si>
  <si>
    <t>Table #4</t>
  </si>
  <si>
    <t>Forwards Prices - Energy Only @ bulk system</t>
  </si>
  <si>
    <t>Tariff Based On-Peak</t>
  </si>
  <si>
    <t>in $/MWh (See Table 18)</t>
  </si>
  <si>
    <t>On-Peak</t>
  </si>
  <si>
    <t>Off-Peak</t>
  </si>
  <si>
    <t>PJM based On-Peak kWh</t>
  </si>
  <si>
    <t>Table #5</t>
  </si>
  <si>
    <t>Losses</t>
  </si>
  <si>
    <t>Expansion Factor =</t>
  </si>
  <si>
    <t>Expansion Factor (net</t>
  </si>
  <si>
    <t xml:space="preserve">   Marginal Losses)</t>
  </si>
  <si>
    <t>Table #6</t>
  </si>
  <si>
    <t>Summary of Average BGS Energy Only Unit Costs @ customer - PJM Time Periods</t>
  </si>
  <si>
    <t>Delta between PJM and Tariff based On-Peak kWh</t>
  </si>
  <si>
    <t>based on Forwards prices corrected for basis differential &amp; losses</t>
  </si>
  <si>
    <t>in $/MWh</t>
  </si>
  <si>
    <t>Winter</t>
  </si>
  <si>
    <t>On-Peak MWh</t>
  </si>
  <si>
    <t>Summer - all hrs</t>
  </si>
  <si>
    <t>Associated $</t>
  </si>
  <si>
    <t>PJM on pk</t>
  </si>
  <si>
    <t>Rate Increment/MWh</t>
  </si>
  <si>
    <t>PJM off pk</t>
  </si>
  <si>
    <t>Summer</t>
  </si>
  <si>
    <t>Winter - all hrs</t>
  </si>
  <si>
    <t>Annual</t>
  </si>
  <si>
    <t>System Total</t>
  </si>
  <si>
    <t>Table #7</t>
  </si>
  <si>
    <t>Summary of Average BGS Energy Only Costs @ customer - PJM Time Periods</t>
  </si>
  <si>
    <t>in $1000</t>
  </si>
  <si>
    <t>Table #8</t>
  </si>
  <si>
    <t>Summary of Average BGS Energy Only Unit Costs @ customer - RECO Time Periods</t>
  </si>
  <si>
    <t>based on Forwards prices corrected for basis differential &amp; losses - RECO billing time periods in $/MWh</t>
  </si>
  <si>
    <t>RECO On pk</t>
  </si>
  <si>
    <t>RECO Off pk</t>
  </si>
  <si>
    <t>Annual Average</t>
  </si>
  <si>
    <t>System Average</t>
  </si>
  <si>
    <t>Table #9</t>
  </si>
  <si>
    <t>Generation &amp; Transmission Obligations and Costs and Other Adjustments</t>
  </si>
  <si>
    <t>in MW</t>
  </si>
  <si>
    <t>Total FP</t>
  </si>
  <si>
    <t>Gen Obl - MW</t>
  </si>
  <si>
    <t>Trans Obl - MW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</si>
  <si>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</si>
  <si>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</si>
  <si>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</si>
  <si>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</si>
  <si>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</si>
  <si>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</si>
  <si>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Transmission Cost</t>
  </si>
  <si>
    <t>per MW-yr</t>
  </si>
  <si>
    <t>Generation Capacity cost</t>
  </si>
  <si>
    <t>summer</t>
  </si>
  <si>
    <t>$/MW/day</t>
  </si>
  <si>
    <t xml:space="preserve">Resulting avg gen cap cost = </t>
  </si>
  <si>
    <t>summer &gt;&gt;</t>
  </si>
  <si>
    <t>per kW/yr</t>
  </si>
  <si>
    <t>(see Table 19)</t>
  </si>
  <si>
    <t>winter</t>
  </si>
  <si>
    <t>winter  &gt;&gt;</t>
  </si>
  <si>
    <t>Current residential summer BGS charges</t>
  </si>
  <si>
    <t>Current Tariff and % of total summer usage</t>
  </si>
  <si>
    <t>Charges</t>
  </si>
  <si>
    <t>% usage</t>
  </si>
  <si>
    <t>Chgs (¢/kWh)</t>
  </si>
  <si>
    <t>Differences</t>
  </si>
  <si>
    <t>Block 1 (0-250 kWh/month)</t>
  </si>
  <si>
    <t>¢/kWh</t>
  </si>
  <si>
    <t>Block 2 (&gt;250 kWh/m)</t>
  </si>
  <si>
    <t>Block 2 (251-700 kWh/month)</t>
  </si>
  <si>
    <t>Calculated inversion =</t>
  </si>
  <si>
    <t>Block 3 (&gt;700 kWh/month)</t>
  </si>
  <si>
    <t>Table #10</t>
  </si>
  <si>
    <t>Ancillary Services</t>
  </si>
  <si>
    <t>forecasted overall annual average</t>
  </si>
  <si>
    <t>/MWh</t>
  </si>
  <si>
    <t>Table #11</t>
  </si>
  <si>
    <t>Summary of Obligation Costs Expressed as $/MWh @ customer (for non-demand rates only)</t>
  </si>
  <si>
    <t>Transmission Obl - all months</t>
  </si>
  <si>
    <t xml:space="preserve">Generation Obl -                </t>
  </si>
  <si>
    <t>per annual MWh</t>
  </si>
  <si>
    <t>per summer MWh</t>
  </si>
  <si>
    <t>per winter MWh</t>
  </si>
  <si>
    <t>Table #12</t>
  </si>
  <si>
    <t>Summary of BGS Unit Costs @ customer</t>
  </si>
  <si>
    <r>
      <t xml:space="preserve">NON-DEMAND RATES </t>
    </r>
    <r>
      <rPr>
        <i/>
        <sz val="10"/>
        <rFont val="Arial"/>
        <family val="2"/>
      </rPr>
      <t>(includes energy, G&amp;T obligations, and Ancillary Services - adjusted to billing time periods in $/MWh)</t>
    </r>
  </si>
  <si>
    <t>Block 1</t>
  </si>
  <si>
    <t>Block 2</t>
  </si>
  <si>
    <t>Block 3</t>
  </si>
  <si>
    <t>Annual -all hrs</t>
  </si>
  <si>
    <r>
      <t xml:space="preserve">DEMAND RATES </t>
    </r>
    <r>
      <rPr>
        <i/>
        <sz val="10"/>
        <rFont val="Arial"/>
        <family val="2"/>
      </rPr>
      <t>(includes energy and Ancillary Services, G&amp;T obligations charged separately - adjusted to billing time periods in $/MWh)</t>
    </r>
  </si>
  <si>
    <t>PLUS:</t>
  </si>
  <si>
    <t>Gen Cost (per kW of Billed Demand/Month)</t>
  </si>
  <si>
    <t>Trans cost</t>
  </si>
  <si>
    <t>Annual - all hrs per MWh only</t>
  </si>
  <si>
    <t>all months</t>
  </si>
  <si>
    <t>per kW of T obl /month</t>
  </si>
  <si>
    <t>(Continued)</t>
  </si>
  <si>
    <t>Including T&amp;G Obligation $</t>
  </si>
  <si>
    <t>Annual - including T&amp;G Obl $</t>
  </si>
  <si>
    <t>ALL RATES</t>
  </si>
  <si>
    <t>Grand Total Cost in $1000 =</t>
  </si>
  <si>
    <t>All-In Average cost @ customer =</t>
  </si>
  <si>
    <t>per MWh at customer (per customer metered MWh)</t>
  </si>
  <si>
    <t>All-In Average costs @ transmission nodes =</t>
  </si>
  <si>
    <t>per MWH at transmission nodes (per metered MWh at transmission node)</t>
  </si>
  <si>
    <t>Table #13</t>
  </si>
  <si>
    <t>Ratio of BGS Unit Costs @ customer to All-In Average Cost @ transmission nodes</t>
  </si>
  <si>
    <t>NON-DEMAND RATES</t>
  </si>
  <si>
    <t>Includes energy, G&amp;T obligations, and Ancillary Services - adjusted to billing time periods</t>
  </si>
  <si>
    <t>Constant Blk 1</t>
  </si>
  <si>
    <t>Constant Blk 2</t>
  </si>
  <si>
    <t>Constant Blk 3</t>
  </si>
  <si>
    <t>NA</t>
  </si>
  <si>
    <t>Annual - all hrs</t>
  </si>
  <si>
    <t>DEMAND RATES</t>
  </si>
  <si>
    <t>Includes energy and Ancillary Services, G&amp;T obligations charged separately - adjusted to billing time periods</t>
  </si>
  <si>
    <t>Multiplier</t>
  </si>
  <si>
    <t>Constant</t>
  </si>
  <si>
    <t>Table #14</t>
  </si>
  <si>
    <t>Summary of BGS Unit Costs Less Transmission @ customer</t>
  </si>
  <si>
    <t>Includes energy, generation capacity obligation, and Ancillary Services - adjusted to billing time periods.  Transmission billed at retail tariff level.</t>
  </si>
  <si>
    <t>Includes energy and Ancillary Services, generation obligation charged separately - adjusted to billing time periods.</t>
  </si>
  <si>
    <t>Transmission billed at retail tariff level.  In $/MWh.</t>
  </si>
  <si>
    <t>Including Generation Obligation $</t>
  </si>
  <si>
    <t>All-In Average costs @ tansmission nodes =</t>
  </si>
  <si>
    <t>per MWh at tranmission node system (per metered MWh at transmission node)</t>
  </si>
  <si>
    <t>Table #15</t>
  </si>
  <si>
    <t>Ratio of BGS Unit Costs Less Transmission @ customer to All-In Average Cost @ transmission nodes</t>
  </si>
  <si>
    <t>includes energy and Ancillary Services, G&amp;T obligations charged separately - adjusted to billing time periods</t>
  </si>
  <si>
    <t>Table #16</t>
  </si>
  <si>
    <t>Summary of Total BGS Costs by Season</t>
  </si>
  <si>
    <t>Total Costs by Rate - in $1000</t>
  </si>
  <si>
    <t>% of Annual Total $ by Rate</t>
  </si>
  <si>
    <t>Total Costs - in $1000</t>
  </si>
  <si>
    <t>% of Annual Total $</t>
  </si>
  <si>
    <t xml:space="preserve">         If total $ were split on a per MWh basis (on transmission node MWhs):</t>
  </si>
  <si>
    <t>Ratio to All-In Cost</t>
  </si>
  <si>
    <t>per MWh @ transmission nodes</t>
  </si>
  <si>
    <t>Table #17</t>
  </si>
  <si>
    <t>Summary of Total BGS Costs by Season - Less Transmission</t>
  </si>
  <si>
    <t>Table #18</t>
  </si>
  <si>
    <t>Forward Energy Prices</t>
  </si>
  <si>
    <t>Zone to Western Hub</t>
  </si>
  <si>
    <t>PJM Forward Prices</t>
  </si>
  <si>
    <t>PJM Forward Prices - Energy Only @ bulk system</t>
  </si>
  <si>
    <t>Basis Differential</t>
  </si>
  <si>
    <t>(incl basis differential)</t>
  </si>
  <si>
    <t>Off/On Peak</t>
  </si>
  <si>
    <r>
      <t xml:space="preserve"> </t>
    </r>
    <r>
      <rPr>
        <i/>
        <sz val="10"/>
        <rFont val="Arial"/>
        <family val="2"/>
      </rPr>
      <t>in $/MWh</t>
    </r>
  </si>
  <si>
    <t>LMP ratio</t>
  </si>
  <si>
    <t>NYISO Forward Prices - Energy Only @ bulk system</t>
  </si>
  <si>
    <t>Weighted Average Forward Prices - Energy Only @ bulk</t>
  </si>
  <si>
    <t>PJM</t>
  </si>
  <si>
    <t>NYISO</t>
  </si>
  <si>
    <t>Table #19</t>
  </si>
  <si>
    <t>Generation Capacity Prices ($/MW/Day)</t>
  </si>
  <si>
    <t>Weighted</t>
  </si>
  <si>
    <t>Average</t>
  </si>
  <si>
    <t>$/kW/mo</t>
  </si>
  <si>
    <t>$/MW/mo</t>
  </si>
  <si>
    <t>Days</t>
  </si>
  <si>
    <t>Oct</t>
  </si>
  <si>
    <t>Nov</t>
  </si>
  <si>
    <t>Dec</t>
  </si>
  <si>
    <t>Jan</t>
  </si>
  <si>
    <t>Feb</t>
  </si>
  <si>
    <t>Mar</t>
  </si>
  <si>
    <t>Table #20</t>
  </si>
  <si>
    <t>Apr</t>
  </si>
  <si>
    <t>Assumptions:</t>
  </si>
  <si>
    <t>Gen Cost =</t>
  </si>
  <si>
    <t>per MW-day in summer</t>
  </si>
  <si>
    <t>RECO RFP MW</t>
  </si>
  <si>
    <t>per MW-day in winter</t>
  </si>
  <si>
    <t>Tranch MW</t>
  </si>
  <si>
    <t>Trans cost =</t>
  </si>
  <si>
    <t>RFP %</t>
  </si>
  <si>
    <t>Analysis time period =</t>
  </si>
  <si>
    <t>summer months</t>
  </si>
  <si>
    <t>winter months</t>
  </si>
  <si>
    <t>RECO Avg.x'mission</t>
  </si>
  <si>
    <t>$/MWh</t>
  </si>
  <si>
    <t>Ancillary Services =</t>
  </si>
  <si>
    <t>Cen/West x'mission cont</t>
  </si>
  <si>
    <t>Energy Costs =</t>
  </si>
  <si>
    <t xml:space="preserve"> Based on 6/12 to 5/13 Forwards @ PJM West as of 01/02/13</t>
  </si>
  <si>
    <t>Actual RECO x'mission</t>
  </si>
  <si>
    <t xml:space="preserve"> Based on 6/12 to 5/13 Forwards @ NYISO Zone G as of 01/02/13</t>
  </si>
  <si>
    <t>Usage patterns =</t>
  </si>
  <si>
    <t>Obligations =</t>
  </si>
  <si>
    <t>Losses =</t>
  </si>
  <si>
    <t xml:space="preserve"> Per RECO's Third Party Supplier Agreement adjusted for PJM 500kV losses and inadvertent energy.</t>
  </si>
  <si>
    <t>PJM Time Periods =</t>
  </si>
  <si>
    <t xml:space="preserve"> PJM trading time periods - 7 AM to 11 PM weekdays, local time, x NERC </t>
  </si>
  <si>
    <t xml:space="preserve">     holidays - New Year's, Memorial, 4th of July, Labor Day, Thanksgiving &amp; Christmas</t>
  </si>
  <si>
    <t>RECO Billing time periods =</t>
  </si>
  <si>
    <t xml:space="preserve"> as per specific rate schedule</t>
  </si>
  <si>
    <t>No Longer Used</t>
  </si>
  <si>
    <t>Table #21</t>
  </si>
  <si>
    <t>Determination of Retail Rates to be Charged to BGS Customers</t>
  </si>
  <si>
    <t>All-In Average costs @ bulk system =</t>
  </si>
  <si>
    <t>* Price from Table A (which does not include</t>
  </si>
  <si>
    <t>Less Transmission</t>
  </si>
  <si>
    <t>transmission for the Central/Western Division).</t>
  </si>
  <si>
    <t xml:space="preserve">BGS Cost </t>
  </si>
  <si>
    <t>Central/West transmission contribution to weighted</t>
  </si>
  <si>
    <t>Retail BGS Rates (excl SUT) (¢/kWh)</t>
  </si>
  <si>
    <t>All kWh (¢/kWh)</t>
  </si>
  <si>
    <t>Peak kWh (¢/kWh)</t>
  </si>
  <si>
    <t>Off-Peak kWh (¢/kWh)</t>
  </si>
  <si>
    <t>Demand Charge ($/kW)</t>
  </si>
  <si>
    <t>Retail BGS Rates (incl SUT) (¢/kWh)</t>
  </si>
  <si>
    <t>SUT @</t>
  </si>
  <si>
    <t>Table #21A</t>
  </si>
  <si>
    <r>
      <t>Determination of Retail Rates to be Charged to BGS Customers</t>
    </r>
    <r>
      <rPr>
        <b/>
        <i/>
        <sz val="8.6999999999999993"/>
        <rFont val="Arial"/>
        <family val="2"/>
      </rPr>
      <t xml:space="preserve"> (INCLUDING RETAIL TRANSMISSION RATES)</t>
    </r>
  </si>
  <si>
    <t>Transmission Rates (excl SUT)</t>
  </si>
  <si>
    <t>Cents/kWh</t>
  </si>
  <si>
    <t>$/kW</t>
  </si>
  <si>
    <t>Retail Shopping Credits (BGS and Transmission Rates) (excl SUT) (¢/kWh)</t>
  </si>
  <si>
    <t>Table #22</t>
  </si>
  <si>
    <t>Reconciliation of Customer Revenue and Supplier Payments</t>
  </si>
  <si>
    <t>Assumed Winning Bid Price =</t>
  </si>
  <si>
    <t>Payment Ratio - Summer =</t>
  </si>
  <si>
    <t>Payment Ratio - Winter =</t>
  </si>
  <si>
    <t>Supplier Price - Summer =</t>
  </si>
  <si>
    <t>Supplier Price - Winter =</t>
  </si>
  <si>
    <t>Total BGS Revenue (Excl SUT) - in $1000</t>
  </si>
  <si>
    <t>Total Supplier Payment - in $1000</t>
  </si>
  <si>
    <t>Less Transmission Credits</t>
  </si>
  <si>
    <t>Net BGS Cost</t>
  </si>
  <si>
    <t>ROCKLAND ELECTRIC COMPANY</t>
  </si>
  <si>
    <t>Table A</t>
  </si>
  <si>
    <t>Weighted Average Price Calculation</t>
  </si>
  <si>
    <t>Auction</t>
  </si>
  <si>
    <t>Line #</t>
  </si>
  <si>
    <t>Specific BGS-FP Auction &gt;&gt;</t>
  </si>
  <si>
    <t>36 Month</t>
  </si>
  <si>
    <t>Notes:</t>
  </si>
  <si>
    <t>Tranches</t>
  </si>
  <si>
    <t>From then-current auction</t>
  </si>
  <si>
    <t>Winning Bid Price (¢/kWh)*</t>
  </si>
  <si>
    <t>Winning Bids (Note: 2013 Auction Price Shown for Illustrative Purposes Only)</t>
  </si>
  <si>
    <t>Transmission (¢/kWh)</t>
  </si>
  <si>
    <t>Average transmission cost included in bid</t>
  </si>
  <si>
    <t>BGS (¢/kWh)</t>
  </si>
  <si>
    <t>=(2) - (3)</t>
  </si>
  <si>
    <t>Weighted Avg BGS</t>
  </si>
  <si>
    <t>= (1) / Total Tranches * (4)</t>
  </si>
  <si>
    <t>Weighted Avg Trans</t>
  </si>
  <si>
    <t>= (1) / Total Tranches * (3)</t>
  </si>
  <si>
    <t>Weighted Avg Total Price (¢/kWh)</t>
  </si>
  <si>
    <t>Seasonal Payment Factors</t>
  </si>
  <si>
    <t xml:space="preserve">                           Summer</t>
  </si>
  <si>
    <t>**</t>
  </si>
  <si>
    <t>From then-current Bid Factor Spreadsheet</t>
  </si>
  <si>
    <t xml:space="preserve">                           Winter</t>
  </si>
  <si>
    <t>Applicable Customer Usage @ tansmission nodes</t>
  </si>
  <si>
    <t>(Eastern Division)</t>
  </si>
  <si>
    <t xml:space="preserve">                           Summer MWh</t>
  </si>
  <si>
    <t xml:space="preserve">                           Winter MWh</t>
  </si>
  <si>
    <t>Total Cost</t>
  </si>
  <si>
    <t>= (1) / Total Tranches * (2) / 100 * (8) * (10) * 1,000</t>
  </si>
  <si>
    <t>= (1) / Total Tranches * (2) / 100* (9) * (11) * 1,000</t>
  </si>
  <si>
    <t>= (13) + (14)</t>
  </si>
  <si>
    <t>Average Cost (NJ Statewide Auction)</t>
  </si>
  <si>
    <t>= sum(line 13) / (10) / 1000 * 100  rounded to 3 decimal places</t>
  </si>
  <si>
    <t>= sum(line 14) / (11) / 1000 * 100  rounded to 3 decimal places</t>
  </si>
  <si>
    <t>= sum(line 15) / (12) / 1000 * 100  rounded to 3 decimal places</t>
  </si>
  <si>
    <t>Average Cost (Including RECO RFP)</t>
  </si>
  <si>
    <t>BGS</t>
  </si>
  <si>
    <t>RECO</t>
  </si>
  <si>
    <t>RFP</t>
  </si>
  <si>
    <t>Includes RECO RFP equivalent tranches</t>
  </si>
  <si>
    <t>Price ¢/kWh</t>
  </si>
  <si>
    <t>(excludes transmission).</t>
  </si>
  <si>
    <t>Transmission</t>
  </si>
  <si>
    <t>= (20) - (21)</t>
  </si>
  <si>
    <t>= (19) / Total Tranches * (22)</t>
  </si>
  <si>
    <t>= (19) / Total Tranches * (21)</t>
  </si>
  <si>
    <t>Weighted Avg Total Price</t>
  </si>
  <si>
    <t>= (23) + (24)</t>
  </si>
  <si>
    <t>*  Includes Impact of PJM Marginal Losses</t>
  </si>
  <si>
    <t>** Auction results set to 1.0 to avoid using an atypical result from the current 12-month forward prices.</t>
  </si>
  <si>
    <t>Table B</t>
  </si>
  <si>
    <t>(from Table 15 of Bid Factor Spreadsheet)</t>
  </si>
  <si>
    <t>includes energy, G&amp;T obligations, and Ancillary Services - adjusted to billing time periods</t>
  </si>
  <si>
    <t>Table C</t>
  </si>
  <si>
    <t>Determination of Preliminary Retail Rates to be Charged to BGS Customers</t>
  </si>
  <si>
    <t>All-In Average costs @ Trans node =</t>
  </si>
  <si>
    <t>/MWh*</t>
  </si>
  <si>
    <t>/MWh**</t>
  </si>
  <si>
    <t>Table D</t>
  </si>
  <si>
    <t>Calculation of Rate Adjustment Factors</t>
  </si>
  <si>
    <t>Total Supplier Payments - in $1000</t>
  </si>
  <si>
    <t>Eastern Division</t>
  </si>
  <si>
    <t>Net BGS</t>
  </si>
  <si>
    <t>Central/Western Division</t>
  </si>
  <si>
    <t>Total RECO FP</t>
  </si>
  <si>
    <t>Rate</t>
  </si>
  <si>
    <t>Adjustment</t>
  </si>
  <si>
    <t>Revenue</t>
  </si>
  <si>
    <t>Costs</t>
  </si>
  <si>
    <t>Difference</t>
  </si>
  <si>
    <t>Factors</t>
  </si>
  <si>
    <t>Table E</t>
  </si>
  <si>
    <t>Final Retail BGS Rates (¢/kWh)</t>
  </si>
  <si>
    <t>Rates Excluding SUT:</t>
  </si>
  <si>
    <t>Rates Including SUT:</t>
  </si>
  <si>
    <t>Table F</t>
  </si>
  <si>
    <t>Spreadsheet Error Checking</t>
  </si>
  <si>
    <t>Supplier Payments - in $1000</t>
  </si>
  <si>
    <r>
      <t>Determination of Retail Rates to be Charged to BGS Customers</t>
    </r>
    <r>
      <rPr>
        <b/>
        <i/>
        <sz val="8.6999999999999993"/>
        <color theme="0"/>
        <rFont val="Arial"/>
        <family val="2"/>
      </rPr>
      <t xml:space="preserve"> (INCLUDING RETAIL TRANSMISSION RATES)</t>
    </r>
  </si>
</sst>
</file>

<file path=xl/styles.xml><?xml version="1.0" encoding="utf-8"?>
<styleSheet xmlns="http://schemas.openxmlformats.org/spreadsheetml/2006/main">
  <numFmts count="2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"/>
    <numFmt numFmtId="166" formatCode="_(&quot;$&quot;* #,##0_);_(&quot;$&quot;* \(#,##0\);_(&quot;$&quot;* &quot;-&quot;??_);_(@_)"/>
    <numFmt numFmtId="167" formatCode="#,##0.000"/>
    <numFmt numFmtId="168" formatCode="#,##0.0"/>
    <numFmt numFmtId="169" formatCode="_(* #,##0_);_(* \(#,##0\);_(* &quot;-&quot;??_);_(@_)"/>
    <numFmt numFmtId="170" formatCode="0.000"/>
    <numFmt numFmtId="171" formatCode="_(&quot;$&quot;* #,##0.000_);_(&quot;$&quot;* \(#,##0.000\);_(&quot;$&quot;* &quot;-&quot;??_);_(@_)"/>
    <numFmt numFmtId="172" formatCode="_(&quot;$&quot;* #,##0.0000_);_(&quot;$&quot;* \(#,##0.0000\);_(&quot;$&quot;* &quot;-&quot;??_);_(@_)"/>
    <numFmt numFmtId="173" formatCode="_(* #,##0.000_);_(* \(#,##0.000\);_(* &quot;-&quot;??_);_(@_)"/>
    <numFmt numFmtId="174" formatCode="_(* #,##0.0000_);_(* \(#,##0.0000\);_(* &quot;-&quot;??_);_(@_)"/>
    <numFmt numFmtId="175" formatCode="0.0"/>
    <numFmt numFmtId="176" formatCode="&quot;$&quot;#,##0.00"/>
    <numFmt numFmtId="177" formatCode="_(* #,##0.000000_);_(* \(#,##0.000000\);_(* &quot;-&quot;??_);_(@_)"/>
    <numFmt numFmtId="178" formatCode="0.000%"/>
    <numFmt numFmtId="179" formatCode="0.0000"/>
  </numFmts>
  <fonts count="23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i/>
      <sz val="8.6999999999999993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u val="singleAccounting"/>
      <sz val="10"/>
      <name val="Arial"/>
      <family val="2"/>
    </font>
    <font>
      <b/>
      <i/>
      <u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u/>
      <sz val="10"/>
      <color theme="0"/>
      <name val="Arial"/>
      <family val="2"/>
    </font>
    <font>
      <sz val="8"/>
      <color theme="0"/>
      <name val="Arial"/>
      <family val="2"/>
    </font>
    <font>
      <b/>
      <i/>
      <sz val="8.6999999999999993"/>
      <color theme="0"/>
      <name val="Arial"/>
      <family val="2"/>
    </font>
    <font>
      <i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7">
    <xf numFmtId="0" fontId="0" fillId="0" borderId="0" xfId="0"/>
    <xf numFmtId="0" fontId="4" fillId="0" borderId="0" xfId="0" applyFont="1"/>
    <xf numFmtId="0" fontId="6" fillId="0" borderId="0" xfId="0" quotePrefix="1" applyFont="1" applyFill="1" applyAlignment="1">
      <alignment horizontal="left"/>
    </xf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0" fontId="2" fillId="0" borderId="0" xfId="3" quotePrefix="1" applyNumberFormat="1" applyFont="1" applyFill="1"/>
    <xf numFmtId="0" fontId="8" fillId="0" borderId="0" xfId="0" applyFont="1" applyAlignment="1">
      <alignment horizontal="right"/>
    </xf>
    <xf numFmtId="3" fontId="2" fillId="0" borderId="0" xfId="0" applyNumberFormat="1" applyFont="1" applyFill="1"/>
    <xf numFmtId="3" fontId="9" fillId="0" borderId="0" xfId="0" applyNumberFormat="1" applyFont="1" applyFill="1"/>
    <xf numFmtId="4" fontId="2" fillId="0" borderId="0" xfId="0" applyNumberFormat="1" applyFont="1" applyFill="1"/>
    <xf numFmtId="0" fontId="7" fillId="0" borderId="0" xfId="0" quotePrefix="1" applyFont="1" applyAlignment="1">
      <alignment horizontal="left"/>
    </xf>
    <xf numFmtId="0" fontId="6" fillId="0" borderId="0" xfId="0" applyFont="1" applyFill="1" applyAlignment="1">
      <alignment horizontal="left"/>
    </xf>
    <xf numFmtId="44" fontId="2" fillId="0" borderId="0" xfId="2" quotePrefix="1" applyNumberFormat="1" applyFont="1" applyFill="1"/>
    <xf numFmtId="166" fontId="2" fillId="0" borderId="0" xfId="2" quotePrefix="1" applyNumberFormat="1" applyFont="1"/>
    <xf numFmtId="166" fontId="2" fillId="0" borderId="0" xfId="2" quotePrefix="1" applyNumberFormat="1" applyFont="1" applyFill="1"/>
    <xf numFmtId="0" fontId="4" fillId="0" borderId="0" xfId="0" quotePrefix="1" applyFont="1" applyAlignment="1">
      <alignment horizontal="left"/>
    </xf>
    <xf numFmtId="44" fontId="2" fillId="0" borderId="0" xfId="2" quotePrefix="1" applyNumberFormat="1" applyFont="1"/>
    <xf numFmtId="167" fontId="2" fillId="0" borderId="0" xfId="0" applyNumberFormat="1" applyFont="1" applyFill="1"/>
    <xf numFmtId="7" fontId="2" fillId="0" borderId="0" xfId="2" applyNumberFormat="1" applyFont="1" applyFill="1"/>
    <xf numFmtId="0" fontId="2" fillId="0" borderId="0" xfId="0" quotePrefix="1" applyFont="1"/>
    <xf numFmtId="0" fontId="2" fillId="0" borderId="0" xfId="0" applyFont="1" applyAlignment="1">
      <alignment horizontal="right"/>
    </xf>
    <xf numFmtId="0" fontId="6" fillId="0" borderId="0" xfId="0" applyFont="1" applyFill="1"/>
    <xf numFmtId="0" fontId="4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10" fontId="2" fillId="0" borderId="0" xfId="0" applyNumberFormat="1" applyFont="1" applyFill="1" applyBorder="1"/>
    <xf numFmtId="10" fontId="2" fillId="0" borderId="0" xfId="0" applyNumberFormat="1" applyFont="1" applyFill="1"/>
    <xf numFmtId="170" fontId="2" fillId="0" borderId="0" xfId="0" applyNumberFormat="1" applyFont="1" applyFill="1"/>
    <xf numFmtId="7" fontId="2" fillId="0" borderId="0" xfId="0" applyNumberFormat="1" applyFont="1" applyFill="1"/>
    <xf numFmtId="44" fontId="2" fillId="0" borderId="0" xfId="2" quotePrefix="1" applyFont="1" applyFill="1" applyAlignment="1">
      <alignment horizontal="left"/>
    </xf>
    <xf numFmtId="44" fontId="2" fillId="0" borderId="0" xfId="2" quotePrefix="1" applyFont="1" applyFill="1"/>
    <xf numFmtId="0" fontId="9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171" fontId="2" fillId="0" borderId="0" xfId="2" quotePrefix="1" applyNumberFormat="1" applyFont="1" applyFill="1"/>
    <xf numFmtId="0" fontId="4" fillId="0" borderId="0" xfId="0" applyFont="1" applyFill="1"/>
    <xf numFmtId="173" fontId="4" fillId="0" borderId="0" xfId="1" quotePrefix="1" applyNumberFormat="1" applyFont="1" applyFill="1" applyBorder="1"/>
    <xf numFmtId="43" fontId="2" fillId="0" borderId="0" xfId="1" quotePrefix="1" applyFont="1" applyBorder="1"/>
    <xf numFmtId="173" fontId="4" fillId="0" borderId="0" xfId="1" quotePrefix="1" applyNumberFormat="1" applyFont="1" applyBorder="1"/>
    <xf numFmtId="43" fontId="2" fillId="0" borderId="0" xfId="1" quotePrefix="1" applyFont="1"/>
    <xf numFmtId="17" fontId="2" fillId="0" borderId="0" xfId="0" applyNumberFormat="1" applyFont="1" applyAlignment="1">
      <alignment horizontal="right"/>
    </xf>
    <xf numFmtId="43" fontId="4" fillId="0" borderId="0" xfId="1" quotePrefix="1" applyFont="1" applyBorder="1"/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44" fontId="4" fillId="0" borderId="0" xfId="2" quotePrefix="1" applyFont="1" applyFill="1" applyBorder="1"/>
    <xf numFmtId="43" fontId="2" fillId="0" borderId="0" xfId="1" applyFont="1" applyFill="1" applyBorder="1" applyAlignment="1">
      <alignment horizontal="right"/>
    </xf>
    <xf numFmtId="173" fontId="2" fillId="0" borderId="0" xfId="1" quotePrefix="1" applyNumberFormat="1" applyFont="1" applyBorder="1"/>
    <xf numFmtId="173" fontId="2" fillId="0" borderId="0" xfId="1" quotePrefix="1" applyNumberFormat="1" applyFont="1"/>
    <xf numFmtId="0" fontId="4" fillId="0" borderId="4" xfId="0" applyFont="1" applyBorder="1"/>
    <xf numFmtId="0" fontId="9" fillId="0" borderId="4" xfId="0" quotePrefix="1" applyFont="1" applyBorder="1" applyAlignment="1">
      <alignment horizontal="left"/>
    </xf>
    <xf numFmtId="44" fontId="4" fillId="0" borderId="0" xfId="0" applyNumberFormat="1" applyFont="1"/>
    <xf numFmtId="171" fontId="2" fillId="0" borderId="0" xfId="2" quotePrefix="1" applyNumberFormat="1" applyFont="1"/>
    <xf numFmtId="0" fontId="9" fillId="0" borderId="4" xfId="0" applyFont="1" applyBorder="1" applyAlignment="1">
      <alignment horizontal="left"/>
    </xf>
    <xf numFmtId="0" fontId="4" fillId="0" borderId="0" xfId="0" quotePrefix="1" applyFont="1" applyFill="1" applyAlignment="1">
      <alignment horizontal="left"/>
    </xf>
    <xf numFmtId="0" fontId="8" fillId="0" borderId="0" xfId="0" quotePrefix="1" applyFont="1" applyAlignment="1">
      <alignment horizontal="right"/>
    </xf>
    <xf numFmtId="173" fontId="4" fillId="0" borderId="0" xfId="0" applyNumberFormat="1" applyFont="1"/>
    <xf numFmtId="43" fontId="2" fillId="0" borderId="0" xfId="1" quotePrefix="1" applyFont="1" applyFill="1"/>
    <xf numFmtId="0" fontId="4" fillId="0" borderId="0" xfId="0" applyFont="1" applyAlignment="1">
      <alignment horizontal="left"/>
    </xf>
    <xf numFmtId="2" fontId="2" fillId="0" borderId="0" xfId="0" applyNumberFormat="1" applyFont="1" applyFill="1"/>
    <xf numFmtId="4" fontId="2" fillId="0" borderId="5" xfId="0" applyNumberFormat="1" applyFont="1" applyFill="1" applyBorder="1"/>
    <xf numFmtId="9" fontId="2" fillId="0" borderId="0" xfId="3" applyNumberFormat="1" applyFont="1" applyFill="1"/>
    <xf numFmtId="9" fontId="2" fillId="0" borderId="0" xfId="3" applyFont="1" applyFill="1"/>
    <xf numFmtId="9" fontId="2" fillId="0" borderId="0" xfId="1" applyNumberFormat="1" applyFont="1" applyFill="1"/>
    <xf numFmtId="0" fontId="8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quotePrefix="1" applyFont="1" applyFill="1" applyAlignment="1">
      <alignment horizontal="left"/>
    </xf>
    <xf numFmtId="0" fontId="10" fillId="0" borderId="0" xfId="0" applyFont="1" applyBorder="1"/>
    <xf numFmtId="0" fontId="2" fillId="0" borderId="0" xfId="0" quotePrefix="1" applyFont="1" applyAlignment="1">
      <alignment horizontal="left"/>
    </xf>
    <xf numFmtId="44" fontId="9" fillId="0" borderId="0" xfId="0" applyNumberFormat="1" applyFont="1"/>
    <xf numFmtId="44" fontId="10" fillId="0" borderId="0" xfId="0" applyNumberFormat="1" applyFont="1"/>
    <xf numFmtId="0" fontId="9" fillId="0" borderId="0" xfId="0" applyFont="1"/>
    <xf numFmtId="170" fontId="2" fillId="0" borderId="0" xfId="0" applyNumberFormat="1" applyFont="1"/>
    <xf numFmtId="0" fontId="9" fillId="0" borderId="0" xfId="0" applyFont="1" applyFill="1"/>
    <xf numFmtId="0" fontId="2" fillId="0" borderId="0" xfId="0" applyFont="1" applyAlignment="1">
      <alignment horizontal="left"/>
    </xf>
    <xf numFmtId="166" fontId="9" fillId="0" borderId="0" xfId="2" applyNumberFormat="1" applyFont="1" applyFill="1"/>
    <xf numFmtId="166" fontId="9" fillId="0" borderId="0" xfId="2" quotePrefix="1" applyNumberFormat="1" applyFont="1"/>
    <xf numFmtId="166" fontId="9" fillId="0" borderId="0" xfId="0" applyNumberFormat="1" applyFont="1" applyFill="1"/>
    <xf numFmtId="166" fontId="2" fillId="0" borderId="0" xfId="0" applyNumberFormat="1" applyFont="1"/>
    <xf numFmtId="178" fontId="7" fillId="0" borderId="0" xfId="3" applyNumberFormat="1" applyFont="1" applyFill="1"/>
    <xf numFmtId="166" fontId="9" fillId="0" borderId="0" xfId="0" applyNumberFormat="1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170" fontId="10" fillId="0" borderId="0" xfId="0" applyNumberFormat="1" applyFont="1" applyFill="1" applyBorder="1"/>
    <xf numFmtId="170" fontId="10" fillId="0" borderId="0" xfId="0" applyNumberFormat="1" applyFont="1"/>
    <xf numFmtId="0" fontId="10" fillId="0" borderId="0" xfId="0" applyFont="1" applyFill="1"/>
    <xf numFmtId="170" fontId="13" fillId="0" borderId="0" xfId="0" applyNumberFormat="1" applyFont="1"/>
    <xf numFmtId="9" fontId="10" fillId="0" borderId="0" xfId="3" applyFont="1" applyAlignment="1">
      <alignment horizontal="right"/>
    </xf>
    <xf numFmtId="179" fontId="10" fillId="0" borderId="0" xfId="0" applyNumberFormat="1" applyFont="1" applyFill="1"/>
    <xf numFmtId="179" fontId="10" fillId="0" borderId="0" xfId="0" applyNumberFormat="1" applyFont="1"/>
    <xf numFmtId="0" fontId="10" fillId="0" borderId="0" xfId="0" applyFont="1" applyFill="1" applyAlignment="1">
      <alignment horizontal="center"/>
    </xf>
    <xf numFmtId="0" fontId="12" fillId="0" borderId="0" xfId="0" applyFont="1" applyFill="1"/>
    <xf numFmtId="0" fontId="10" fillId="0" borderId="0" xfId="0" applyFont="1" applyAlignment="1">
      <alignment horizontal="right"/>
    </xf>
    <xf numFmtId="3" fontId="10" fillId="0" borderId="0" xfId="0" applyNumberFormat="1" applyFont="1" applyFill="1"/>
    <xf numFmtId="3" fontId="12" fillId="0" borderId="0" xfId="0" applyNumberFormat="1" applyFont="1" applyFill="1"/>
    <xf numFmtId="3" fontId="10" fillId="0" borderId="0" xfId="0" applyNumberFormat="1" applyFont="1"/>
    <xf numFmtId="3" fontId="12" fillId="0" borderId="0" xfId="0" applyNumberFormat="1" applyFont="1"/>
    <xf numFmtId="0" fontId="12" fillId="0" borderId="0" xfId="0" quotePrefix="1" applyFont="1" applyAlignment="1">
      <alignment horizontal="left"/>
    </xf>
    <xf numFmtId="0" fontId="12" fillId="0" borderId="0" xfId="0" quotePrefix="1" applyFont="1" applyAlignment="1">
      <alignment horizontal="right"/>
    </xf>
    <xf numFmtId="0" fontId="10" fillId="0" borderId="0" xfId="0" applyFont="1" applyFill="1" applyBorder="1"/>
    <xf numFmtId="0" fontId="13" fillId="0" borderId="0" xfId="0" applyFont="1"/>
    <xf numFmtId="170" fontId="13" fillId="0" borderId="15" xfId="0" applyNumberFormat="1" applyFont="1" applyFill="1" applyBorder="1"/>
    <xf numFmtId="0" fontId="10" fillId="0" borderId="0" xfId="0" applyFont="1" applyAlignment="1">
      <alignment horizontal="left"/>
    </xf>
    <xf numFmtId="173" fontId="2" fillId="0" borderId="0" xfId="1" quotePrefix="1" applyNumberFormat="1" applyFont="1" applyFill="1" applyBorder="1"/>
    <xf numFmtId="44" fontId="2" fillId="0" borderId="0" xfId="0" quotePrefix="1" applyNumberFormat="1" applyFont="1" applyFill="1"/>
    <xf numFmtId="170" fontId="2" fillId="0" borderId="0" xfId="0" quotePrefix="1" applyNumberFormat="1" applyFont="1" applyFill="1" applyAlignment="1">
      <alignment horizontal="right"/>
    </xf>
    <xf numFmtId="170" fontId="2" fillId="0" borderId="0" xfId="0" applyNumberFormat="1" applyFont="1" applyFill="1" applyAlignment="1">
      <alignment horizontal="right"/>
    </xf>
    <xf numFmtId="43" fontId="14" fillId="0" borderId="0" xfId="1" applyFont="1" applyFill="1" applyAlignment="1">
      <alignment horizontal="right"/>
    </xf>
    <xf numFmtId="166" fontId="14" fillId="0" borderId="0" xfId="0" applyNumberFormat="1" applyFont="1" applyFill="1"/>
    <xf numFmtId="166" fontId="2" fillId="0" borderId="0" xfId="0" applyNumberFormat="1" applyFont="1" applyFill="1"/>
    <xf numFmtId="43" fontId="14" fillId="0" borderId="0" xfId="1" applyFont="1" applyAlignment="1">
      <alignment horizontal="right"/>
    </xf>
    <xf numFmtId="17" fontId="2" fillId="0" borderId="0" xfId="0" applyNumberFormat="1" applyFont="1"/>
    <xf numFmtId="10" fontId="2" fillId="0" borderId="0" xfId="3" applyNumberFormat="1" applyFont="1" applyFill="1"/>
    <xf numFmtId="10" fontId="2" fillId="0" borderId="0" xfId="3" quotePrefix="1" applyNumberFormat="1" applyFont="1" applyFill="1" applyAlignment="1">
      <alignment horizontal="right"/>
    </xf>
    <xf numFmtId="3" fontId="2" fillId="0" borderId="0" xfId="0" quotePrefix="1" applyNumberFormat="1" applyFont="1" applyFill="1"/>
    <xf numFmtId="37" fontId="2" fillId="0" borderId="0" xfId="0" applyNumberFormat="1" applyFont="1" applyFill="1"/>
    <xf numFmtId="0" fontId="2" fillId="0" borderId="4" xfId="0" applyFont="1" applyBorder="1"/>
    <xf numFmtId="0" fontId="2" fillId="0" borderId="0" xfId="0" applyFont="1" applyAlignment="1">
      <alignment horizontal="center"/>
    </xf>
    <xf numFmtId="165" fontId="2" fillId="0" borderId="0" xfId="0" applyNumberFormat="1" applyFont="1" applyFill="1"/>
    <xf numFmtId="39" fontId="2" fillId="0" borderId="0" xfId="0" applyNumberFormat="1" applyFont="1"/>
    <xf numFmtId="168" fontId="2" fillId="0" borderId="0" xfId="0" applyNumberFormat="1" applyFont="1" applyFill="1"/>
    <xf numFmtId="167" fontId="2" fillId="0" borderId="0" xfId="0" applyNumberFormat="1" applyFont="1"/>
    <xf numFmtId="169" fontId="2" fillId="0" borderId="0" xfId="0" applyNumberFormat="1" applyFont="1" applyFill="1"/>
    <xf numFmtId="0" fontId="2" fillId="0" borderId="0" xfId="0" quotePrefix="1" applyFont="1" applyAlignment="1">
      <alignment horizontal="right"/>
    </xf>
    <xf numFmtId="0" fontId="2" fillId="0" borderId="0" xfId="0" quotePrefix="1" applyFont="1" applyFill="1"/>
    <xf numFmtId="5" fontId="2" fillId="0" borderId="0" xfId="0" applyNumberFormat="1" applyFont="1" applyFill="1"/>
    <xf numFmtId="17" fontId="2" fillId="0" borderId="0" xfId="0" applyNumberFormat="1" applyFont="1" applyFill="1"/>
    <xf numFmtId="17" fontId="2" fillId="0" borderId="0" xfId="0" applyNumberFormat="1" applyFont="1" applyFill="1" applyAlignment="1">
      <alignment horizontal="right"/>
    </xf>
    <xf numFmtId="166" fontId="2" fillId="0" borderId="0" xfId="2" quotePrefix="1" applyNumberFormat="1" applyFont="1" applyFill="1" applyAlignment="1">
      <alignment horizontal="left"/>
    </xf>
    <xf numFmtId="172" fontId="2" fillId="0" borderId="0" xfId="0" applyNumberFormat="1" applyFont="1" applyFill="1"/>
    <xf numFmtId="44" fontId="2" fillId="0" borderId="0" xfId="0" applyNumberFormat="1" applyFont="1"/>
    <xf numFmtId="0" fontId="2" fillId="0" borderId="4" xfId="0" applyFont="1" applyBorder="1" applyAlignment="1">
      <alignment horizontal="right"/>
    </xf>
    <xf numFmtId="173" fontId="2" fillId="0" borderId="0" xfId="0" applyNumberFormat="1" applyFont="1"/>
    <xf numFmtId="166" fontId="2" fillId="0" borderId="0" xfId="2" applyNumberFormat="1" applyFont="1" applyFill="1"/>
    <xf numFmtId="166" fontId="2" fillId="0" borderId="0" xfId="0" quotePrefix="1" applyNumberFormat="1" applyFont="1" applyFill="1" applyAlignment="1">
      <alignment horizontal="left"/>
    </xf>
    <xf numFmtId="166" fontId="2" fillId="0" borderId="0" xfId="3" applyNumberFormat="1" applyFont="1" applyFill="1"/>
    <xf numFmtId="43" fontId="2" fillId="0" borderId="0" xfId="2" applyNumberFormat="1" applyFont="1" applyFill="1"/>
    <xf numFmtId="7" fontId="2" fillId="0" borderId="0" xfId="3" applyNumberFormat="1" applyFont="1" applyFill="1"/>
    <xf numFmtId="44" fontId="2" fillId="0" borderId="0" xfId="0" applyNumberFormat="1" applyFont="1" applyFill="1"/>
    <xf numFmtId="164" fontId="2" fillId="0" borderId="0" xfId="0" applyNumberFormat="1" applyFont="1" applyFill="1"/>
    <xf numFmtId="44" fontId="18" fillId="0" borderId="0" xfId="0" quotePrefix="1" applyNumberFormat="1" applyFont="1" applyFill="1"/>
    <xf numFmtId="176" fontId="17" fillId="0" borderId="0" xfId="0" applyNumberFormat="1" applyFont="1" applyFill="1" applyAlignment="1">
      <alignment horizontal="left"/>
    </xf>
    <xf numFmtId="0" fontId="17" fillId="0" borderId="0" xfId="0" quotePrefix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7" fillId="0" borderId="0" xfId="0" applyFont="1" applyFill="1"/>
    <xf numFmtId="0" fontId="19" fillId="0" borderId="0" xfId="0" quotePrefix="1" applyFont="1" applyFill="1" applyAlignment="1">
      <alignment horizontal="left"/>
    </xf>
    <xf numFmtId="164" fontId="17" fillId="0" borderId="0" xfId="0" applyNumberFormat="1" applyFont="1" applyFill="1"/>
    <xf numFmtId="0" fontId="16" fillId="0" borderId="0" xfId="0" applyFont="1" applyFill="1" applyAlignment="1">
      <alignment horizontal="center"/>
    </xf>
    <xf numFmtId="0" fontId="19" fillId="0" borderId="0" xfId="0" applyFont="1" applyFill="1"/>
    <xf numFmtId="170" fontId="17" fillId="0" borderId="0" xfId="0" quotePrefix="1" applyNumberFormat="1" applyFont="1" applyFill="1" applyAlignment="1">
      <alignment horizontal="right"/>
    </xf>
    <xf numFmtId="170" fontId="17" fillId="0" borderId="0" xfId="0" applyNumberFormat="1" applyFont="1" applyFill="1"/>
    <xf numFmtId="2" fontId="17" fillId="0" borderId="0" xfId="0" quotePrefix="1" applyNumberFormat="1" applyFont="1" applyFill="1" applyAlignment="1">
      <alignment horizontal="right"/>
    </xf>
    <xf numFmtId="167" fontId="17" fillId="0" borderId="0" xfId="0" applyNumberFormat="1" applyFont="1" applyFill="1"/>
    <xf numFmtId="176" fontId="17" fillId="0" borderId="0" xfId="0" applyNumberFormat="1" applyFont="1" applyFill="1"/>
    <xf numFmtId="166" fontId="17" fillId="0" borderId="0" xfId="2" applyNumberFormat="1" applyFont="1" applyFill="1"/>
    <xf numFmtId="166" fontId="19" fillId="0" borderId="0" xfId="2" applyNumberFormat="1" applyFont="1" applyFill="1"/>
    <xf numFmtId="166" fontId="17" fillId="0" borderId="0" xfId="0" applyNumberFormat="1" applyFont="1" applyFill="1"/>
    <xf numFmtId="166" fontId="19" fillId="0" borderId="0" xfId="0" applyNumberFormat="1" applyFont="1" applyFill="1"/>
    <xf numFmtId="166" fontId="16" fillId="0" borderId="0" xfId="0" applyNumberFormat="1" applyFont="1" applyFill="1"/>
    <xf numFmtId="178" fontId="18" fillId="0" borderId="0" xfId="3" applyNumberFormat="1" applyFont="1" applyFill="1"/>
    <xf numFmtId="166" fontId="17" fillId="0" borderId="0" xfId="0" quotePrefix="1" applyNumberFormat="1" applyFont="1" applyFill="1" applyAlignment="1">
      <alignment horizontal="left"/>
    </xf>
    <xf numFmtId="166" fontId="19" fillId="0" borderId="0" xfId="0" quotePrefix="1" applyNumberFormat="1" applyFont="1" applyFill="1" applyAlignment="1">
      <alignment horizontal="left"/>
    </xf>
    <xf numFmtId="170" fontId="13" fillId="0" borderId="0" xfId="0" applyNumberFormat="1" applyFont="1" applyFill="1" applyBorder="1"/>
    <xf numFmtId="170" fontId="10" fillId="0" borderId="0" xfId="0" applyNumberFormat="1" applyFont="1" applyBorder="1"/>
    <xf numFmtId="0" fontId="2" fillId="0" borderId="0" xfId="0" applyFont="1" applyFill="1" applyAlignment="1">
      <alignment horizontal="left"/>
    </xf>
    <xf numFmtId="176" fontId="2" fillId="0" borderId="0" xfId="0" applyNumberFormat="1" applyFont="1"/>
    <xf numFmtId="176" fontId="2" fillId="0" borderId="0" xfId="0" applyNumberFormat="1" applyFont="1" applyAlignment="1">
      <alignment horizontal="left"/>
    </xf>
    <xf numFmtId="2" fontId="2" fillId="0" borderId="0" xfId="0" applyNumberFormat="1" applyFont="1"/>
    <xf numFmtId="166" fontId="9" fillId="0" borderId="0" xfId="2" quotePrefix="1" applyNumberFormat="1" applyFont="1" applyFill="1"/>
    <xf numFmtId="0" fontId="2" fillId="0" borderId="0" xfId="0" applyFont="1" applyFill="1" applyAlignment="1">
      <alignment horizontal="center"/>
    </xf>
    <xf numFmtId="39" fontId="2" fillId="0" borderId="0" xfId="0" applyNumberFormat="1" applyFont="1" applyFill="1"/>
    <xf numFmtId="0" fontId="1" fillId="0" borderId="0" xfId="0" quotePrefix="1" applyFont="1" applyFill="1" applyAlignment="1">
      <alignment horizontal="left"/>
    </xf>
    <xf numFmtId="0" fontId="15" fillId="0" borderId="0" xfId="0" applyFont="1" applyFill="1"/>
    <xf numFmtId="1" fontId="4" fillId="0" borderId="0" xfId="1" applyNumberFormat="1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Border="1"/>
    <xf numFmtId="0" fontId="7" fillId="0" borderId="0" xfId="0" applyFont="1" applyFill="1" applyAlignment="1">
      <alignment horizontal="left"/>
    </xf>
    <xf numFmtId="0" fontId="4" fillId="0" borderId="0" xfId="0" quotePrefix="1" applyFont="1" applyFill="1" applyBorder="1"/>
    <xf numFmtId="39" fontId="2" fillId="0" borderId="0" xfId="0" quotePrefix="1" applyNumberFormat="1" applyFont="1" applyFill="1"/>
    <xf numFmtId="0" fontId="4" fillId="0" borderId="0" xfId="0" quotePrefix="1" applyFont="1" applyFill="1" applyBorder="1" applyAlignment="1">
      <alignment horizontal="left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6" fillId="0" borderId="0" xfId="0" quotePrefix="1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2" fillId="0" borderId="0" xfId="3" quotePrefix="1" applyNumberFormat="1" applyFont="1" applyFill="1"/>
    <xf numFmtId="9" fontId="2" fillId="0" borderId="0" xfId="3" quotePrefix="1" applyFont="1" applyFill="1"/>
    <xf numFmtId="9" fontId="6" fillId="0" borderId="0" xfId="3" applyFont="1" applyFill="1"/>
    <xf numFmtId="0" fontId="6" fillId="0" borderId="0" xfId="0" quotePrefix="1" applyFont="1" applyFill="1" applyAlignment="1">
      <alignment horizontal="center" wrapText="1"/>
    </xf>
    <xf numFmtId="9" fontId="2" fillId="0" borderId="0" xfId="3" quotePrefix="1" applyFont="1" applyFill="1" applyAlignment="1">
      <alignment horizontal="center"/>
    </xf>
    <xf numFmtId="17" fontId="4" fillId="0" borderId="0" xfId="0" applyNumberFormat="1" applyFont="1" applyFill="1"/>
    <xf numFmtId="17" fontId="6" fillId="0" borderId="0" xfId="0" quotePrefix="1" applyNumberFormat="1" applyFont="1" applyFill="1" applyAlignment="1">
      <alignment horizontal="left"/>
    </xf>
    <xf numFmtId="3" fontId="2" fillId="0" borderId="0" xfId="0" quotePrefix="1" applyNumberFormat="1" applyFont="1" applyFill="1" applyBorder="1"/>
    <xf numFmtId="17" fontId="2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7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0" xfId="0" applyFont="1" applyFill="1" applyAlignment="1"/>
    <xf numFmtId="0" fontId="2" fillId="0" borderId="4" xfId="0" applyFont="1" applyFill="1" applyBorder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" fontId="2" fillId="0" borderId="4" xfId="0" applyNumberFormat="1" applyFont="1" applyFill="1" applyBorder="1"/>
    <xf numFmtId="3" fontId="2" fillId="0" borderId="0" xfId="0" applyNumberFormat="1" applyFont="1" applyFill="1" applyBorder="1"/>
    <xf numFmtId="3" fontId="2" fillId="0" borderId="0" xfId="0" quotePrefix="1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0" fontId="2" fillId="0" borderId="5" xfId="0" applyFont="1" applyFill="1" applyBorder="1" applyAlignment="1"/>
    <xf numFmtId="0" fontId="7" fillId="0" borderId="0" xfId="0" quotePrefix="1" applyFont="1" applyFill="1" applyAlignment="1">
      <alignment horizontal="left"/>
    </xf>
    <xf numFmtId="0" fontId="2" fillId="0" borderId="0" xfId="0" quotePrefix="1" applyFont="1" applyFill="1" applyBorder="1" applyAlignment="1">
      <alignment horizontal="right"/>
    </xf>
    <xf numFmtId="166" fontId="2" fillId="0" borderId="0" xfId="2" applyNumberFormat="1" applyFont="1" applyFill="1" applyBorder="1"/>
    <xf numFmtId="44" fontId="2" fillId="0" borderId="0" xfId="0" applyNumberFormat="1" applyFont="1" applyFill="1" applyBorder="1"/>
    <xf numFmtId="44" fontId="2" fillId="0" borderId="0" xfId="2" applyFont="1" applyFill="1"/>
    <xf numFmtId="166" fontId="2" fillId="0" borderId="0" xfId="0" applyNumberFormat="1" applyFont="1" applyFill="1" applyBorder="1"/>
    <xf numFmtId="166" fontId="10" fillId="0" borderId="0" xfId="0" applyNumberFormat="1" applyFont="1" applyFill="1"/>
    <xf numFmtId="167" fontId="9" fillId="0" borderId="0" xfId="0" applyNumberFormat="1" applyFont="1" applyFill="1" applyAlignment="1">
      <alignment horizontal="right"/>
    </xf>
    <xf numFmtId="14" fontId="2" fillId="0" borderId="0" xfId="1" applyNumberFormat="1" applyFont="1" applyFill="1"/>
    <xf numFmtId="168" fontId="2" fillId="0" borderId="0" xfId="0" applyNumberFormat="1" applyFont="1" applyFill="1" applyAlignment="1">
      <alignment horizontal="right"/>
    </xf>
    <xf numFmtId="43" fontId="2" fillId="0" borderId="0" xfId="1" applyFont="1" applyFill="1"/>
    <xf numFmtId="43" fontId="10" fillId="0" borderId="0" xfId="0" applyNumberFormat="1" applyFont="1" applyFill="1"/>
    <xf numFmtId="43" fontId="2" fillId="0" borderId="0" xfId="0" applyNumberFormat="1" applyFont="1" applyFill="1"/>
    <xf numFmtId="14" fontId="2" fillId="0" borderId="0" xfId="0" applyNumberFormat="1" applyFont="1" applyFill="1"/>
    <xf numFmtId="0" fontId="9" fillId="0" borderId="0" xfId="0" quotePrefix="1" applyFont="1" applyFill="1" applyAlignment="1">
      <alignment horizontal="left"/>
    </xf>
    <xf numFmtId="0" fontId="9" fillId="0" borderId="0" xfId="0" applyFont="1" applyFill="1" applyAlignment="1">
      <alignment horizontal="left"/>
    </xf>
    <xf numFmtId="44" fontId="2" fillId="0" borderId="0" xfId="2" applyNumberFormat="1" applyFont="1" applyFill="1"/>
    <xf numFmtId="0" fontId="7" fillId="0" borderId="0" xfId="0" applyFont="1" applyFill="1"/>
    <xf numFmtId="17" fontId="9" fillId="0" borderId="0" xfId="0" applyNumberFormat="1" applyFont="1" applyFill="1" applyAlignment="1">
      <alignment horizontal="left"/>
    </xf>
    <xf numFmtId="43" fontId="2" fillId="0" borderId="0" xfId="1" quotePrefix="1" applyFont="1" applyFill="1" applyBorder="1"/>
    <xf numFmtId="43" fontId="4" fillId="0" borderId="0" xfId="1" quotePrefix="1" applyFont="1" applyFill="1" applyBorder="1"/>
    <xf numFmtId="173" fontId="2" fillId="0" borderId="0" xfId="1" quotePrefix="1" applyNumberFormat="1" applyFont="1" applyFill="1"/>
    <xf numFmtId="0" fontId="4" fillId="0" borderId="4" xfId="0" applyFont="1" applyFill="1" applyBorder="1"/>
    <xf numFmtId="171" fontId="4" fillId="0" borderId="0" xfId="0" applyNumberFormat="1" applyFont="1" applyFill="1"/>
    <xf numFmtId="0" fontId="9" fillId="0" borderId="4" xfId="0" quotePrefix="1" applyFont="1" applyFill="1" applyBorder="1" applyAlignment="1">
      <alignment horizontal="left"/>
    </xf>
    <xf numFmtId="17" fontId="2" fillId="0" borderId="0" xfId="0" quotePrefix="1" applyNumberFormat="1" applyFont="1" applyFill="1" applyAlignment="1">
      <alignment horizontal="right"/>
    </xf>
    <xf numFmtId="44" fontId="4" fillId="0" borderId="0" xfId="0" applyNumberFormat="1" applyFont="1" applyFill="1"/>
    <xf numFmtId="0" fontId="2" fillId="0" borderId="4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left"/>
    </xf>
    <xf numFmtId="17" fontId="9" fillId="0" borderId="0" xfId="0" quotePrefix="1" applyNumberFormat="1" applyFont="1" applyFill="1" applyAlignment="1">
      <alignment horizontal="left"/>
    </xf>
    <xf numFmtId="0" fontId="8" fillId="0" borderId="0" xfId="0" quotePrefix="1" applyFont="1" applyFill="1" applyAlignment="1">
      <alignment horizontal="right"/>
    </xf>
    <xf numFmtId="173" fontId="4" fillId="0" borderId="0" xfId="0" applyNumberFormat="1" applyFont="1" applyFill="1"/>
    <xf numFmtId="173" fontId="2" fillId="0" borderId="0" xfId="0" applyNumberFormat="1" applyFont="1" applyFill="1"/>
    <xf numFmtId="0" fontId="9" fillId="0" borderId="0" xfId="0" quotePrefix="1" applyFont="1" applyFill="1" applyAlignment="1">
      <alignment horizontal="center"/>
    </xf>
    <xf numFmtId="174" fontId="4" fillId="0" borderId="0" xfId="1" applyNumberFormat="1" applyFont="1" applyFill="1"/>
    <xf numFmtId="43" fontId="4" fillId="0" borderId="0" xfId="1" applyFont="1" applyFill="1"/>
    <xf numFmtId="0" fontId="2" fillId="0" borderId="5" xfId="0" applyFont="1" applyFill="1" applyBorder="1" applyAlignment="1">
      <alignment horizontal="right"/>
    </xf>
    <xf numFmtId="0" fontId="6" fillId="0" borderId="0" xfId="0" applyFont="1" applyFill="1" applyAlignment="1"/>
    <xf numFmtId="0" fontId="4" fillId="0" borderId="0" xfId="0" applyFont="1" applyFill="1" applyAlignment="1">
      <alignment horizontal="left"/>
    </xf>
    <xf numFmtId="0" fontId="8" fillId="0" borderId="5" xfId="0" applyFont="1" applyFill="1" applyBorder="1" applyAlignment="1">
      <alignment horizontal="right"/>
    </xf>
    <xf numFmtId="164" fontId="9" fillId="0" borderId="0" xfId="3" applyNumberFormat="1" applyFont="1" applyFill="1"/>
    <xf numFmtId="0" fontId="9" fillId="0" borderId="0" xfId="0" applyFont="1" applyFill="1" applyAlignment="1">
      <alignment horizontal="right"/>
    </xf>
    <xf numFmtId="0" fontId="10" fillId="0" borderId="6" xfId="0" applyFont="1" applyFill="1" applyBorder="1"/>
    <xf numFmtId="2" fontId="2" fillId="0" borderId="7" xfId="0" applyNumberFormat="1" applyFont="1" applyFill="1" applyBorder="1"/>
    <xf numFmtId="0" fontId="2" fillId="0" borderId="8" xfId="0" applyFont="1" applyFill="1" applyBorder="1"/>
    <xf numFmtId="0" fontId="10" fillId="0" borderId="9" xfId="0" applyFont="1" applyFill="1" applyBorder="1"/>
    <xf numFmtId="175" fontId="2" fillId="0" borderId="0" xfId="0" applyNumberFormat="1" applyFont="1" applyFill="1" applyBorder="1"/>
    <xf numFmtId="0" fontId="2" fillId="0" borderId="10" xfId="0" applyFont="1" applyFill="1" applyBorder="1"/>
    <xf numFmtId="169" fontId="2" fillId="0" borderId="0" xfId="1" applyNumberFormat="1" applyFont="1" applyFill="1"/>
    <xf numFmtId="0" fontId="2" fillId="0" borderId="9" xfId="0" applyFont="1" applyFill="1" applyBorder="1"/>
    <xf numFmtId="176" fontId="2" fillId="0" borderId="0" xfId="0" applyNumberFormat="1" applyFont="1" applyFill="1" applyBorder="1"/>
    <xf numFmtId="0" fontId="10" fillId="0" borderId="11" xfId="0" applyFont="1" applyFill="1" applyBorder="1"/>
    <xf numFmtId="2" fontId="2" fillId="0" borderId="12" xfId="0" applyNumberFormat="1" applyFont="1" applyFill="1" applyBorder="1"/>
    <xf numFmtId="0" fontId="2" fillId="0" borderId="13" xfId="0" applyFont="1" applyFill="1" applyBorder="1"/>
    <xf numFmtId="2" fontId="2" fillId="0" borderId="0" xfId="0" applyNumberFormat="1" applyFont="1" applyFill="1" applyBorder="1"/>
    <xf numFmtId="0" fontId="16" fillId="0" borderId="14" xfId="0" applyFont="1" applyFill="1" applyBorder="1" applyAlignment="1">
      <alignment horizontal="left"/>
    </xf>
    <xf numFmtId="0" fontId="17" fillId="0" borderId="14" xfId="0" applyFont="1" applyFill="1" applyBorder="1"/>
    <xf numFmtId="0" fontId="18" fillId="0" borderId="0" xfId="0" quotePrefix="1" applyFont="1" applyFill="1" applyAlignment="1">
      <alignment horizontal="left"/>
    </xf>
    <xf numFmtId="0" fontId="16" fillId="0" borderId="0" xfId="0" quotePrefix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quotePrefix="1" applyFont="1" applyFill="1" applyAlignment="1">
      <alignment horizontal="left"/>
    </xf>
    <xf numFmtId="44" fontId="19" fillId="0" borderId="0" xfId="0" applyNumberFormat="1" applyFont="1" applyFill="1"/>
    <xf numFmtId="44" fontId="17" fillId="0" borderId="0" xfId="0" applyNumberFormat="1" applyFont="1" applyFill="1"/>
    <xf numFmtId="44" fontId="20" fillId="0" borderId="0" xfId="0" applyNumberFormat="1" applyFont="1" applyFill="1"/>
    <xf numFmtId="39" fontId="17" fillId="0" borderId="0" xfId="0" applyNumberFormat="1" applyFont="1" applyFill="1"/>
    <xf numFmtId="0" fontId="22" fillId="0" borderId="0" xfId="0" applyFont="1" applyFill="1" applyAlignment="1">
      <alignment horizontal="left"/>
    </xf>
    <xf numFmtId="43" fontId="17" fillId="0" borderId="0" xfId="1" quotePrefix="1" applyFont="1" applyFill="1"/>
    <xf numFmtId="0" fontId="16" fillId="0" borderId="0" xfId="0" applyFont="1" applyFill="1"/>
    <xf numFmtId="44" fontId="17" fillId="0" borderId="0" xfId="2" quotePrefix="1" applyFont="1" applyFill="1"/>
    <xf numFmtId="177" fontId="17" fillId="0" borderId="0" xfId="1" quotePrefix="1" applyNumberFormat="1" applyFont="1" applyFill="1"/>
    <xf numFmtId="174" fontId="17" fillId="0" borderId="0" xfId="1" quotePrefix="1" applyNumberFormat="1" applyFont="1" applyFill="1"/>
    <xf numFmtId="0" fontId="17" fillId="0" borderId="0" xfId="0" applyFont="1" applyFill="1" applyAlignment="1">
      <alignment horizontal="center"/>
    </xf>
    <xf numFmtId="166" fontId="17" fillId="0" borderId="0" xfId="2" quotePrefix="1" applyNumberFormat="1" applyFont="1" applyFill="1"/>
    <xf numFmtId="166" fontId="19" fillId="0" borderId="0" xfId="2" quotePrefix="1" applyNumberFormat="1" applyFont="1" applyFill="1"/>
    <xf numFmtId="43" fontId="17" fillId="0" borderId="0" xfId="0" applyNumberFormat="1" applyFont="1" applyFill="1"/>
    <xf numFmtId="43" fontId="17" fillId="0" borderId="0" xfId="1" applyFont="1" applyFill="1"/>
  </cellXfs>
  <cellStyles count="8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6"/>
    <cellStyle name="Percent" xfId="3" builtinId="5"/>
    <cellStyle name="Percent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08"/>
  <sheetViews>
    <sheetView tabSelected="1" zoomScale="130" zoomScaleNormal="130" zoomScaleSheetLayoutView="70" workbookViewId="0">
      <selection activeCell="B6" sqref="B6"/>
    </sheetView>
  </sheetViews>
  <sheetFormatPr defaultRowHeight="12.75"/>
  <cols>
    <col min="1" max="1" width="10.7109375" style="174" customWidth="1"/>
    <col min="2" max="2" width="27.85546875" style="28" customWidth="1"/>
    <col min="3" max="3" width="13.5703125" style="28" customWidth="1"/>
    <col min="4" max="5" width="12.7109375" style="28" customWidth="1"/>
    <col min="6" max="7" width="13.42578125" style="28" customWidth="1"/>
    <col min="8" max="8" width="12.7109375" style="28" customWidth="1"/>
    <col min="9" max="9" width="14.85546875" style="28" customWidth="1"/>
    <col min="10" max="10" width="12.7109375" style="28" customWidth="1"/>
    <col min="11" max="11" width="17.28515625" style="28" customWidth="1"/>
    <col min="12" max="12" width="15.140625" style="28" bestFit="1" customWidth="1"/>
    <col min="13" max="13" width="14.85546875" style="28" bestFit="1" customWidth="1"/>
    <col min="14" max="14" width="12" style="28" customWidth="1"/>
    <col min="15" max="15" width="11.140625" style="28" customWidth="1"/>
    <col min="16" max="16" width="9.85546875" style="28" bestFit="1" customWidth="1"/>
    <col min="17" max="17" width="10.42578125" style="28" bestFit="1" customWidth="1"/>
    <col min="18" max="18" width="9.85546875" style="28" bestFit="1" customWidth="1"/>
    <col min="19" max="19" width="10.7109375" style="28" customWidth="1"/>
    <col min="20" max="22" width="11.7109375" style="28" customWidth="1"/>
    <col min="23" max="23" width="9.140625" style="28"/>
    <col min="24" max="24" width="11" style="28" bestFit="1" customWidth="1"/>
    <col min="25" max="16384" width="9.140625" style="28"/>
  </cols>
  <sheetData>
    <row r="1" spans="1:28" ht="15.75">
      <c r="B1" s="181" t="str">
        <f>"Development of BGS Cost and Bid Factors for Rates Effective June 1, " &amp;M1</f>
        <v>Development of BGS Cost and Bid Factors for Rates Effective June 1, 2013</v>
      </c>
      <c r="G1" s="182"/>
      <c r="M1" s="183">
        <v>2013</v>
      </c>
      <c r="N1" s="28" t="s">
        <v>0</v>
      </c>
    </row>
    <row r="2" spans="1:28" ht="15">
      <c r="A2" s="184"/>
      <c r="B2" s="41"/>
      <c r="I2" s="185"/>
    </row>
    <row r="3" spans="1:28">
      <c r="E3" s="2" t="str">
        <f>"Based on " &amp;M1-2  &amp;" Load Profile Information"</f>
        <v>Based on 2011 Load Profile Information</v>
      </c>
    </row>
    <row r="4" spans="1:28">
      <c r="A4" s="186" t="s">
        <v>1</v>
      </c>
      <c r="B4" s="187" t="s">
        <v>2</v>
      </c>
      <c r="C4" s="188"/>
      <c r="E4" s="23" t="s">
        <v>3</v>
      </c>
      <c r="L4" s="187"/>
      <c r="M4" s="189" t="s">
        <v>4</v>
      </c>
    </row>
    <row r="5" spans="1:28" ht="38.25">
      <c r="A5" s="13"/>
      <c r="C5" s="190" t="s">
        <v>5</v>
      </c>
      <c r="D5" s="190" t="s">
        <v>5</v>
      </c>
      <c r="E5" s="190" t="s">
        <v>5</v>
      </c>
      <c r="F5" s="190" t="s">
        <v>5</v>
      </c>
      <c r="G5" s="23" t="s">
        <v>6</v>
      </c>
      <c r="H5" s="191"/>
      <c r="I5" s="190" t="s">
        <v>5</v>
      </c>
      <c r="J5" s="190"/>
      <c r="K5" s="190"/>
      <c r="L5" s="23"/>
      <c r="M5" s="190" t="s">
        <v>5</v>
      </c>
      <c r="N5" s="190" t="s">
        <v>5</v>
      </c>
      <c r="O5" s="190" t="s">
        <v>5</v>
      </c>
      <c r="P5" s="190" t="s">
        <v>5</v>
      </c>
      <c r="Q5" s="23" t="s">
        <v>7</v>
      </c>
      <c r="R5" s="191"/>
      <c r="S5" s="190" t="s">
        <v>5</v>
      </c>
      <c r="T5" s="190"/>
    </row>
    <row r="6" spans="1:28">
      <c r="A6" s="13"/>
      <c r="B6" s="192"/>
      <c r="C6" s="193" t="s">
        <v>8</v>
      </c>
      <c r="D6" s="193" t="s">
        <v>9</v>
      </c>
      <c r="E6" s="193" t="s">
        <v>10</v>
      </c>
      <c r="F6" s="193" t="s">
        <v>11</v>
      </c>
      <c r="G6" s="193" t="s">
        <v>12</v>
      </c>
      <c r="H6" s="193" t="s">
        <v>13</v>
      </c>
      <c r="I6" s="193" t="s">
        <v>14</v>
      </c>
      <c r="J6" s="194"/>
      <c r="K6" s="194"/>
      <c r="L6" s="195"/>
      <c r="M6" s="194" t="str">
        <f t="shared" ref="M6:S6" si="0">+C6</f>
        <v>SC1</v>
      </c>
      <c r="N6" s="194" t="str">
        <f t="shared" si="0"/>
        <v>SC5</v>
      </c>
      <c r="O6" s="194" t="str">
        <f t="shared" si="0"/>
        <v>SC3</v>
      </c>
      <c r="P6" s="194" t="str">
        <f t="shared" si="0"/>
        <v>SC2 ND</v>
      </c>
      <c r="Q6" s="194" t="str">
        <f t="shared" si="0"/>
        <v>SC4</v>
      </c>
      <c r="R6" s="194" t="str">
        <f t="shared" si="0"/>
        <v>SC6</v>
      </c>
      <c r="S6" s="194" t="str">
        <f t="shared" si="0"/>
        <v>SC2 Dem</v>
      </c>
      <c r="T6" s="194"/>
    </row>
    <row r="7" spans="1:28">
      <c r="A7" s="13"/>
    </row>
    <row r="8" spans="1:28">
      <c r="A8" s="13"/>
      <c r="B8" s="136" t="s">
        <v>15</v>
      </c>
      <c r="C8" s="7">
        <v>0.48789751887244404</v>
      </c>
      <c r="D8" s="7">
        <v>0.46674295214133465</v>
      </c>
      <c r="E8" s="7">
        <v>0.4591611124709587</v>
      </c>
      <c r="F8" s="7">
        <v>0.47606059744846935</v>
      </c>
      <c r="G8" s="7">
        <v>0.28897662330609408</v>
      </c>
      <c r="H8" s="7">
        <f>G8</f>
        <v>0.28897662330609408</v>
      </c>
      <c r="I8" s="7">
        <v>0.51210055666683962</v>
      </c>
      <c r="J8" s="196"/>
      <c r="K8" s="196"/>
      <c r="L8" s="197"/>
      <c r="M8" s="196">
        <f t="shared" ref="M8:S19" si="1">1-C8</f>
        <v>0.51210248112755596</v>
      </c>
      <c r="N8" s="196">
        <f t="shared" si="1"/>
        <v>0.53325704785866535</v>
      </c>
      <c r="O8" s="196">
        <f t="shared" si="1"/>
        <v>0.5408388875290413</v>
      </c>
      <c r="P8" s="196">
        <f t="shared" si="1"/>
        <v>0.52393940255153071</v>
      </c>
      <c r="Q8" s="196">
        <f t="shared" si="1"/>
        <v>0.71102337669390592</v>
      </c>
      <c r="R8" s="196">
        <f t="shared" si="1"/>
        <v>0.71102337669390592</v>
      </c>
      <c r="S8" s="196">
        <f t="shared" si="1"/>
        <v>0.48789944333316038</v>
      </c>
      <c r="T8" s="197"/>
      <c r="U8" s="33"/>
      <c r="V8" s="33"/>
      <c r="W8" s="33"/>
      <c r="X8" s="33"/>
      <c r="Y8" s="33"/>
      <c r="Z8" s="33"/>
      <c r="AA8" s="33"/>
      <c r="AB8" s="33"/>
    </row>
    <row r="9" spans="1:28">
      <c r="A9" s="13"/>
      <c r="B9" s="136" t="s">
        <v>16</v>
      </c>
      <c r="C9" s="7">
        <v>0.5178070899876196</v>
      </c>
      <c r="D9" s="7">
        <v>0.49209608445800751</v>
      </c>
      <c r="E9" s="7">
        <v>0.4837970684614325</v>
      </c>
      <c r="F9" s="7">
        <v>0.49193677958598192</v>
      </c>
      <c r="G9" s="7">
        <v>0.30307150665588922</v>
      </c>
      <c r="H9" s="7">
        <f t="shared" ref="H9:H19" si="2">G9</f>
        <v>0.30307150665588922</v>
      </c>
      <c r="I9" s="7">
        <v>0.54158829583030432</v>
      </c>
      <c r="J9" s="196"/>
      <c r="K9" s="196"/>
      <c r="L9" s="197"/>
      <c r="M9" s="196">
        <f t="shared" si="1"/>
        <v>0.4821929100123804</v>
      </c>
      <c r="N9" s="196">
        <f t="shared" si="1"/>
        <v>0.50790391554199243</v>
      </c>
      <c r="O9" s="196">
        <f t="shared" si="1"/>
        <v>0.51620293153856744</v>
      </c>
      <c r="P9" s="196">
        <f t="shared" si="1"/>
        <v>0.50806322041401808</v>
      </c>
      <c r="Q9" s="196">
        <f t="shared" si="1"/>
        <v>0.69692849334411078</v>
      </c>
      <c r="R9" s="196">
        <f t="shared" si="1"/>
        <v>0.69692849334411078</v>
      </c>
      <c r="S9" s="196">
        <f t="shared" si="1"/>
        <v>0.45841170416969568</v>
      </c>
      <c r="T9" s="197"/>
      <c r="U9" s="33"/>
      <c r="V9" s="33"/>
      <c r="W9" s="33"/>
      <c r="X9" s="33"/>
      <c r="Y9" s="33"/>
      <c r="Z9" s="33"/>
      <c r="AA9" s="33"/>
      <c r="AB9" s="33"/>
    </row>
    <row r="10" spans="1:28">
      <c r="A10" s="13"/>
      <c r="B10" s="136" t="s">
        <v>17</v>
      </c>
      <c r="C10" s="7">
        <v>0.50939084867560236</v>
      </c>
      <c r="D10" s="7">
        <v>0.48128476634170947</v>
      </c>
      <c r="E10" s="7">
        <v>0.48522882841387427</v>
      </c>
      <c r="F10" s="7">
        <v>0.51356080608462895</v>
      </c>
      <c r="G10" s="7">
        <v>0.29240718374819963</v>
      </c>
      <c r="H10" s="7">
        <f t="shared" si="2"/>
        <v>0.29240718374819963</v>
      </c>
      <c r="I10" s="7">
        <v>0.53513956649164474</v>
      </c>
      <c r="J10" s="196"/>
      <c r="K10" s="196"/>
      <c r="L10" s="197"/>
      <c r="M10" s="196">
        <f t="shared" si="1"/>
        <v>0.49060915132439764</v>
      </c>
      <c r="N10" s="196">
        <f t="shared" si="1"/>
        <v>0.51871523365829053</v>
      </c>
      <c r="O10" s="196">
        <f t="shared" si="1"/>
        <v>0.51477117158612573</v>
      </c>
      <c r="P10" s="196">
        <f t="shared" si="1"/>
        <v>0.48643919391537105</v>
      </c>
      <c r="Q10" s="196">
        <f t="shared" si="1"/>
        <v>0.70759281625180037</v>
      </c>
      <c r="R10" s="196">
        <f t="shared" si="1"/>
        <v>0.70759281625180037</v>
      </c>
      <c r="S10" s="196">
        <f t="shared" si="1"/>
        <v>0.46486043350835526</v>
      </c>
      <c r="T10" s="197"/>
      <c r="U10" s="33"/>
      <c r="V10" s="33"/>
      <c r="W10" s="33"/>
      <c r="X10" s="33"/>
      <c r="Y10" s="33"/>
      <c r="Z10" s="33"/>
      <c r="AA10" s="33"/>
      <c r="AB10" s="33"/>
    </row>
    <row r="11" spans="1:28">
      <c r="A11" s="13"/>
      <c r="B11" s="136" t="s">
        <v>18</v>
      </c>
      <c r="C11" s="7">
        <v>0.50331463077847383</v>
      </c>
      <c r="D11" s="7">
        <v>0.48109358732497703</v>
      </c>
      <c r="E11" s="7">
        <v>0.4818124742490531</v>
      </c>
      <c r="F11" s="7">
        <v>0.53525000763823749</v>
      </c>
      <c r="G11" s="7">
        <v>0.26877132899672151</v>
      </c>
      <c r="H11" s="7">
        <f t="shared" si="2"/>
        <v>0.26877132899672151</v>
      </c>
      <c r="I11" s="7">
        <v>0.53630153567533734</v>
      </c>
      <c r="J11" s="196"/>
      <c r="K11" s="196"/>
      <c r="L11" s="197"/>
      <c r="M11" s="196">
        <f t="shared" si="1"/>
        <v>0.49668536922152617</v>
      </c>
      <c r="N11" s="196">
        <f t="shared" si="1"/>
        <v>0.51890641267502291</v>
      </c>
      <c r="O11" s="196">
        <f t="shared" si="1"/>
        <v>0.51818752575094695</v>
      </c>
      <c r="P11" s="196">
        <f t="shared" si="1"/>
        <v>0.46474999236176251</v>
      </c>
      <c r="Q11" s="196">
        <f t="shared" si="1"/>
        <v>0.73122867100327849</v>
      </c>
      <c r="R11" s="196">
        <f t="shared" si="1"/>
        <v>0.73122867100327849</v>
      </c>
      <c r="S11" s="196">
        <f t="shared" si="1"/>
        <v>0.46369846432466266</v>
      </c>
      <c r="T11" s="197"/>
      <c r="U11" s="33"/>
      <c r="V11" s="33"/>
      <c r="W11" s="33"/>
      <c r="X11" s="33"/>
      <c r="Y11" s="33"/>
      <c r="Z11" s="33"/>
      <c r="AA11" s="33"/>
      <c r="AB11" s="33"/>
    </row>
    <row r="12" spans="1:28">
      <c r="A12" s="13"/>
      <c r="B12" s="136" t="s">
        <v>19</v>
      </c>
      <c r="C12" s="7">
        <v>0.50645938695526505</v>
      </c>
      <c r="D12" s="7">
        <v>0.49523511588378666</v>
      </c>
      <c r="E12" s="7">
        <v>0.50897624980928668</v>
      </c>
      <c r="F12" s="7">
        <v>0.57479351753925889</v>
      </c>
      <c r="G12" s="7">
        <v>0.23346408630353069</v>
      </c>
      <c r="H12" s="7">
        <f t="shared" si="2"/>
        <v>0.23346408630353069</v>
      </c>
      <c r="I12" s="7">
        <v>0.54762610278835377</v>
      </c>
      <c r="J12" s="196"/>
      <c r="K12" s="196"/>
      <c r="L12" s="197"/>
      <c r="M12" s="196">
        <f t="shared" si="1"/>
        <v>0.49354061304473495</v>
      </c>
      <c r="N12" s="196">
        <f t="shared" si="1"/>
        <v>0.50476488411621334</v>
      </c>
      <c r="O12" s="196">
        <f t="shared" si="1"/>
        <v>0.49102375019071332</v>
      </c>
      <c r="P12" s="196">
        <f t="shared" si="1"/>
        <v>0.42520648246074111</v>
      </c>
      <c r="Q12" s="196">
        <f t="shared" si="1"/>
        <v>0.76653591369646934</v>
      </c>
      <c r="R12" s="196">
        <f t="shared" si="1"/>
        <v>0.76653591369646934</v>
      </c>
      <c r="S12" s="196">
        <f t="shared" si="1"/>
        <v>0.45237389721164623</v>
      </c>
      <c r="T12" s="197"/>
      <c r="U12" s="33"/>
      <c r="V12" s="33"/>
      <c r="W12" s="33"/>
      <c r="X12" s="33"/>
      <c r="Y12" s="33"/>
      <c r="Z12" s="33"/>
      <c r="AA12" s="33"/>
      <c r="AB12" s="33"/>
    </row>
    <row r="13" spans="1:28">
      <c r="A13" s="13"/>
      <c r="B13" s="136" t="s">
        <v>20</v>
      </c>
      <c r="C13" s="7">
        <v>0.55463052355792253</v>
      </c>
      <c r="D13" s="7">
        <v>0.52142792418369277</v>
      </c>
      <c r="E13" s="7">
        <v>0.52735884804850364</v>
      </c>
      <c r="F13" s="7">
        <v>0.59030208336991496</v>
      </c>
      <c r="G13" s="7">
        <v>0.20967849333381763</v>
      </c>
      <c r="H13" s="7">
        <f t="shared" si="2"/>
        <v>0.20967849333381763</v>
      </c>
      <c r="I13" s="7">
        <v>0.55171536607401361</v>
      </c>
      <c r="J13" s="196"/>
      <c r="K13" s="196"/>
      <c r="L13" s="197"/>
      <c r="M13" s="196">
        <f t="shared" si="1"/>
        <v>0.44536947644207747</v>
      </c>
      <c r="N13" s="196">
        <f t="shared" si="1"/>
        <v>0.47857207581630723</v>
      </c>
      <c r="O13" s="196">
        <f t="shared" si="1"/>
        <v>0.47264115195149636</v>
      </c>
      <c r="P13" s="196">
        <f t="shared" si="1"/>
        <v>0.40969791663008504</v>
      </c>
      <c r="Q13" s="196">
        <f t="shared" si="1"/>
        <v>0.79032150666618239</v>
      </c>
      <c r="R13" s="196">
        <f t="shared" si="1"/>
        <v>0.79032150666618239</v>
      </c>
      <c r="S13" s="196">
        <f t="shared" si="1"/>
        <v>0.44828463392598639</v>
      </c>
      <c r="T13" s="197"/>
      <c r="U13" s="33"/>
      <c r="V13" s="33"/>
      <c r="W13" s="33"/>
      <c r="X13" s="33"/>
      <c r="Y13" s="33"/>
      <c r="Z13" s="33"/>
      <c r="AA13" s="33"/>
      <c r="AB13" s="33"/>
    </row>
    <row r="14" spans="1:28">
      <c r="A14" s="13"/>
      <c r="B14" s="136" t="s">
        <v>21</v>
      </c>
      <c r="C14" s="7">
        <v>0.5306001045943386</v>
      </c>
      <c r="D14" s="7">
        <v>0.50097313544611954</v>
      </c>
      <c r="E14" s="7">
        <v>0.50550750571627345</v>
      </c>
      <c r="F14" s="7">
        <v>0.5445669020871069</v>
      </c>
      <c r="G14" s="7">
        <v>0.19320081079439475</v>
      </c>
      <c r="H14" s="7">
        <f t="shared" si="2"/>
        <v>0.19320081079439475</v>
      </c>
      <c r="I14" s="7">
        <v>0.52724949252488817</v>
      </c>
      <c r="J14" s="196"/>
      <c r="K14" s="196"/>
      <c r="L14" s="197"/>
      <c r="M14" s="196">
        <f t="shared" si="1"/>
        <v>0.4693998954056614</v>
      </c>
      <c r="N14" s="196">
        <f t="shared" si="1"/>
        <v>0.49902686455388046</v>
      </c>
      <c r="O14" s="196">
        <f t="shared" si="1"/>
        <v>0.49449249428372655</v>
      </c>
      <c r="P14" s="196">
        <f t="shared" si="1"/>
        <v>0.4554330979128931</v>
      </c>
      <c r="Q14" s="196">
        <f t="shared" si="1"/>
        <v>0.80679918920560523</v>
      </c>
      <c r="R14" s="196">
        <f t="shared" si="1"/>
        <v>0.80679918920560523</v>
      </c>
      <c r="S14" s="196">
        <f t="shared" si="1"/>
        <v>0.47275050747511183</v>
      </c>
      <c r="T14" s="197"/>
      <c r="U14" s="33"/>
      <c r="V14" s="33"/>
      <c r="W14" s="33"/>
      <c r="X14" s="33"/>
      <c r="Y14" s="33"/>
      <c r="Z14" s="33"/>
      <c r="AA14" s="33"/>
      <c r="AB14" s="33"/>
    </row>
    <row r="15" spans="1:28">
      <c r="A15" s="13"/>
      <c r="B15" s="136" t="s">
        <v>22</v>
      </c>
      <c r="C15" s="7">
        <v>0.56845381331866385</v>
      </c>
      <c r="D15" s="7">
        <v>0.55019681708424861</v>
      </c>
      <c r="E15" s="7">
        <v>0.55506190737861094</v>
      </c>
      <c r="F15" s="7">
        <v>0.60244814968684168</v>
      </c>
      <c r="G15" s="7">
        <v>0.23767091118954203</v>
      </c>
      <c r="H15" s="7">
        <f t="shared" si="2"/>
        <v>0.23767091118954203</v>
      </c>
      <c r="I15" s="7">
        <v>0.57013896380286799</v>
      </c>
      <c r="J15" s="196"/>
      <c r="K15" s="196"/>
      <c r="L15" s="197"/>
      <c r="M15" s="196">
        <f t="shared" si="1"/>
        <v>0.43154618668133615</v>
      </c>
      <c r="N15" s="196">
        <f t="shared" si="1"/>
        <v>0.44980318291575139</v>
      </c>
      <c r="O15" s="196">
        <f t="shared" si="1"/>
        <v>0.44493809262138906</v>
      </c>
      <c r="P15" s="196">
        <f t="shared" si="1"/>
        <v>0.39755185031315832</v>
      </c>
      <c r="Q15" s="196">
        <f t="shared" si="1"/>
        <v>0.76232908881045791</v>
      </c>
      <c r="R15" s="196">
        <f t="shared" si="1"/>
        <v>0.76232908881045791</v>
      </c>
      <c r="S15" s="196">
        <f t="shared" si="1"/>
        <v>0.42986103619713201</v>
      </c>
      <c r="T15" s="197"/>
      <c r="U15" s="33"/>
      <c r="V15" s="33"/>
      <c r="W15" s="33"/>
      <c r="X15" s="33"/>
      <c r="Y15" s="33"/>
      <c r="Z15" s="33"/>
      <c r="AA15" s="33"/>
      <c r="AB15" s="33"/>
    </row>
    <row r="16" spans="1:28">
      <c r="A16" s="13"/>
      <c r="B16" s="136" t="s">
        <v>23</v>
      </c>
      <c r="C16" s="7">
        <v>0.45826818466682057</v>
      </c>
      <c r="D16" s="7">
        <v>0.43430877973232662</v>
      </c>
      <c r="E16" s="7">
        <v>0.45007797438510766</v>
      </c>
      <c r="F16" s="7">
        <v>0.52724389688353146</v>
      </c>
      <c r="G16" s="7">
        <v>0.25325413842197103</v>
      </c>
      <c r="H16" s="7">
        <f t="shared" si="2"/>
        <v>0.25325413842197103</v>
      </c>
      <c r="I16" s="7">
        <v>0.49403109192598021</v>
      </c>
      <c r="J16" s="196"/>
      <c r="K16" s="196"/>
      <c r="L16" s="197"/>
      <c r="M16" s="196">
        <f t="shared" si="1"/>
        <v>0.54173181533317938</v>
      </c>
      <c r="N16" s="196">
        <f t="shared" si="1"/>
        <v>0.56569122026767338</v>
      </c>
      <c r="O16" s="196">
        <f t="shared" si="1"/>
        <v>0.54992202561489234</v>
      </c>
      <c r="P16" s="196">
        <f t="shared" si="1"/>
        <v>0.47275610311646854</v>
      </c>
      <c r="Q16" s="196">
        <f t="shared" si="1"/>
        <v>0.74674586157802891</v>
      </c>
      <c r="R16" s="196">
        <f t="shared" si="1"/>
        <v>0.74674586157802891</v>
      </c>
      <c r="S16" s="196">
        <f t="shared" si="1"/>
        <v>0.50596890807401973</v>
      </c>
      <c r="T16" s="197"/>
      <c r="U16" s="33"/>
      <c r="V16" s="33"/>
      <c r="W16" s="33"/>
      <c r="X16" s="33"/>
      <c r="Y16" s="33"/>
      <c r="Z16" s="33"/>
      <c r="AA16" s="33"/>
      <c r="AB16" s="33"/>
    </row>
    <row r="17" spans="1:28">
      <c r="A17" s="13"/>
      <c r="B17" s="136" t="s">
        <v>24</v>
      </c>
      <c r="C17" s="7">
        <v>0.54900077287198379</v>
      </c>
      <c r="D17" s="7">
        <v>0.51196262200480813</v>
      </c>
      <c r="E17" s="7">
        <v>0.51721690216299443</v>
      </c>
      <c r="F17" s="7">
        <v>0.53482746115360791</v>
      </c>
      <c r="G17" s="122">
        <v>0.30454171067734603</v>
      </c>
      <c r="H17" s="7">
        <f t="shared" si="2"/>
        <v>0.30454171067734603</v>
      </c>
      <c r="I17" s="7">
        <v>0.5724215009278294</v>
      </c>
      <c r="J17" s="196"/>
      <c r="K17" s="196"/>
      <c r="L17" s="197"/>
      <c r="M17" s="196">
        <f t="shared" si="1"/>
        <v>0.45099922712801621</v>
      </c>
      <c r="N17" s="196">
        <f t="shared" si="1"/>
        <v>0.48803737799519187</v>
      </c>
      <c r="O17" s="196">
        <f t="shared" si="1"/>
        <v>0.48278309783700557</v>
      </c>
      <c r="P17" s="196">
        <f t="shared" si="1"/>
        <v>0.46517253884639209</v>
      </c>
      <c r="Q17" s="196">
        <f t="shared" si="1"/>
        <v>0.69545828932265397</v>
      </c>
      <c r="R17" s="196">
        <f t="shared" si="1"/>
        <v>0.69545828932265397</v>
      </c>
      <c r="S17" s="196">
        <f t="shared" si="1"/>
        <v>0.4275784990721706</v>
      </c>
      <c r="T17" s="197"/>
      <c r="U17" s="33"/>
      <c r="V17" s="33"/>
      <c r="W17" s="33"/>
      <c r="X17" s="33"/>
      <c r="Y17" s="33"/>
      <c r="Z17" s="33"/>
      <c r="AA17" s="33"/>
      <c r="AB17" s="33"/>
    </row>
    <row r="18" spans="1:28">
      <c r="A18" s="13"/>
      <c r="B18" s="136" t="s">
        <v>25</v>
      </c>
      <c r="C18" s="7">
        <v>0.50485187507931062</v>
      </c>
      <c r="D18" s="7">
        <v>0.46653567963058618</v>
      </c>
      <c r="E18" s="7">
        <v>0.45955732567747154</v>
      </c>
      <c r="F18" s="7">
        <v>0.4989403265257909</v>
      </c>
      <c r="G18" s="7">
        <v>0.2970845345182373</v>
      </c>
      <c r="H18" s="7">
        <f t="shared" si="2"/>
        <v>0.2970845345182373</v>
      </c>
      <c r="I18" s="7">
        <v>0.52955905346465304</v>
      </c>
      <c r="J18" s="196"/>
      <c r="K18" s="196"/>
      <c r="L18" s="197"/>
      <c r="M18" s="196">
        <f t="shared" si="1"/>
        <v>0.49514812492068938</v>
      </c>
      <c r="N18" s="196">
        <f t="shared" si="1"/>
        <v>0.53346432036941382</v>
      </c>
      <c r="O18" s="196">
        <f t="shared" si="1"/>
        <v>0.54044267432252846</v>
      </c>
      <c r="P18" s="196">
        <f t="shared" si="1"/>
        <v>0.5010596734742091</v>
      </c>
      <c r="Q18" s="196">
        <f t="shared" si="1"/>
        <v>0.70291546548176265</v>
      </c>
      <c r="R18" s="196">
        <f t="shared" si="1"/>
        <v>0.70291546548176265</v>
      </c>
      <c r="S18" s="196">
        <f t="shared" si="1"/>
        <v>0.47044094653534696</v>
      </c>
      <c r="T18" s="197"/>
      <c r="U18" s="33"/>
      <c r="V18" s="33"/>
      <c r="W18" s="33"/>
      <c r="X18" s="33"/>
      <c r="Y18" s="33"/>
      <c r="Z18" s="33"/>
      <c r="AA18" s="33"/>
      <c r="AB18" s="33"/>
    </row>
    <row r="19" spans="1:28">
      <c r="A19" s="13"/>
      <c r="B19" s="136" t="s">
        <v>26</v>
      </c>
      <c r="C19" s="7">
        <v>0.4665672166436946</v>
      </c>
      <c r="D19" s="7">
        <v>0.44819669427903436</v>
      </c>
      <c r="E19" s="7">
        <v>0.43976126605764515</v>
      </c>
      <c r="F19" s="7">
        <v>0.4568971038123506</v>
      </c>
      <c r="G19" s="7">
        <v>0.28133127430826854</v>
      </c>
      <c r="H19" s="7">
        <f t="shared" si="2"/>
        <v>0.28133127430826854</v>
      </c>
      <c r="I19" s="7">
        <v>0.48789628520275335</v>
      </c>
      <c r="J19" s="196"/>
      <c r="K19" s="196"/>
      <c r="L19" s="197"/>
      <c r="M19" s="196">
        <f t="shared" si="1"/>
        <v>0.5334327833563054</v>
      </c>
      <c r="N19" s="196">
        <f t="shared" si="1"/>
        <v>0.5518033057209657</v>
      </c>
      <c r="O19" s="196">
        <f t="shared" si="1"/>
        <v>0.56023873394235491</v>
      </c>
      <c r="P19" s="196">
        <f t="shared" si="1"/>
        <v>0.5431028961876494</v>
      </c>
      <c r="Q19" s="196">
        <f t="shared" si="1"/>
        <v>0.71866872569173146</v>
      </c>
      <c r="R19" s="196">
        <f t="shared" si="1"/>
        <v>0.71866872569173146</v>
      </c>
      <c r="S19" s="196">
        <f t="shared" si="1"/>
        <v>0.5121037147972467</v>
      </c>
      <c r="T19" s="197"/>
      <c r="U19" s="33"/>
      <c r="V19" s="33"/>
      <c r="W19" s="33"/>
      <c r="X19" s="33"/>
      <c r="Y19" s="33"/>
      <c r="Z19" s="33"/>
      <c r="AA19" s="33"/>
      <c r="AB19" s="33"/>
    </row>
    <row r="20" spans="1:28">
      <c r="A20" s="13"/>
      <c r="B20" s="136"/>
      <c r="C20" s="197"/>
      <c r="D20" s="197"/>
      <c r="E20" s="197"/>
      <c r="F20" s="197"/>
      <c r="G20" s="66"/>
      <c r="H20" s="66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</row>
    <row r="21" spans="1:28">
      <c r="A21" s="13"/>
      <c r="B21" s="136"/>
      <c r="C21" s="197"/>
      <c r="D21" s="197"/>
      <c r="E21" s="197"/>
      <c r="F21" s="197"/>
      <c r="G21" s="66"/>
      <c r="H21" s="66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</row>
    <row r="22" spans="1:28">
      <c r="A22" s="186" t="s">
        <v>27</v>
      </c>
      <c r="B22" s="189" t="s">
        <v>28</v>
      </c>
      <c r="C22" s="197"/>
      <c r="D22" s="197"/>
      <c r="E22" s="197"/>
      <c r="F22" s="198" t="s">
        <v>29</v>
      </c>
      <c r="G22" s="66"/>
      <c r="H22" s="66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</row>
    <row r="23" spans="1:28" ht="38.25">
      <c r="A23" s="13"/>
      <c r="C23" s="190" t="s">
        <v>30</v>
      </c>
      <c r="D23" s="190" t="s">
        <v>30</v>
      </c>
      <c r="E23" s="190"/>
      <c r="F23" s="190" t="s">
        <v>30</v>
      </c>
      <c r="G23" s="190" t="s">
        <v>30</v>
      </c>
      <c r="H23" s="190" t="s">
        <v>30</v>
      </c>
      <c r="I23" s="190" t="s">
        <v>30</v>
      </c>
      <c r="J23" s="190"/>
      <c r="K23" s="190"/>
      <c r="L23" s="23"/>
      <c r="M23" s="190" t="s">
        <v>30</v>
      </c>
      <c r="N23" s="190" t="s">
        <v>30</v>
      </c>
      <c r="O23" s="199" t="s">
        <v>31</v>
      </c>
      <c r="P23" s="190" t="s">
        <v>30</v>
      </c>
      <c r="Q23" s="190" t="s">
        <v>30</v>
      </c>
      <c r="R23" s="190" t="s">
        <v>30</v>
      </c>
      <c r="S23" s="190" t="s">
        <v>30</v>
      </c>
      <c r="T23" s="190"/>
    </row>
    <row r="24" spans="1:28">
      <c r="A24" s="13"/>
      <c r="B24" s="192" t="s">
        <v>32</v>
      </c>
      <c r="C24" s="193" t="str">
        <f>+C6</f>
        <v>SC1</v>
      </c>
      <c r="D24" s="193" t="str">
        <f t="shared" ref="D24:I24" si="3">+D6</f>
        <v>SC5</v>
      </c>
      <c r="E24" s="193" t="str">
        <f t="shared" si="3"/>
        <v>SC3</v>
      </c>
      <c r="F24" s="193" t="str">
        <f t="shared" si="3"/>
        <v>SC2 ND</v>
      </c>
      <c r="G24" s="193" t="str">
        <f t="shared" si="3"/>
        <v>SC4</v>
      </c>
      <c r="H24" s="193" t="str">
        <f t="shared" si="3"/>
        <v>SC6</v>
      </c>
      <c r="I24" s="193" t="str">
        <f t="shared" si="3"/>
        <v>SC2 Dem</v>
      </c>
      <c r="J24" s="194"/>
      <c r="K24" s="194"/>
      <c r="L24" s="195"/>
      <c r="M24" s="194" t="str">
        <f t="shared" ref="M24:S24" si="4">+C6</f>
        <v>SC1</v>
      </c>
      <c r="N24" s="194" t="str">
        <f t="shared" si="4"/>
        <v>SC5</v>
      </c>
      <c r="O24" s="194" t="str">
        <f t="shared" si="4"/>
        <v>SC3</v>
      </c>
      <c r="P24" s="194" t="str">
        <f t="shared" si="4"/>
        <v>SC2 ND</v>
      </c>
      <c r="Q24" s="194" t="str">
        <f t="shared" si="4"/>
        <v>SC4</v>
      </c>
      <c r="R24" s="194" t="str">
        <f t="shared" si="4"/>
        <v>SC6</v>
      </c>
      <c r="S24" s="194" t="str">
        <f t="shared" si="4"/>
        <v>SC2 Dem</v>
      </c>
      <c r="T24" s="194"/>
    </row>
    <row r="25" spans="1:28">
      <c r="A25" s="13"/>
    </row>
    <row r="26" spans="1:28">
      <c r="A26" s="13"/>
      <c r="B26" s="136" t="s">
        <v>15</v>
      </c>
      <c r="C26" s="200" t="s">
        <v>33</v>
      </c>
      <c r="D26" s="200" t="s">
        <v>33</v>
      </c>
      <c r="E26" s="123">
        <v>0.32935446250943268</v>
      </c>
      <c r="F26" s="200" t="s">
        <v>33</v>
      </c>
      <c r="G26" s="200" t="s">
        <v>33</v>
      </c>
      <c r="H26" s="200" t="s">
        <v>33</v>
      </c>
      <c r="I26" s="200" t="s">
        <v>33</v>
      </c>
      <c r="J26" s="196"/>
      <c r="K26" s="196"/>
      <c r="L26" s="197"/>
      <c r="M26" s="197" t="e">
        <f t="shared" ref="M26:S37" si="5">1-C26</f>
        <v>#VALUE!</v>
      </c>
      <c r="N26" s="197" t="e">
        <f t="shared" si="5"/>
        <v>#VALUE!</v>
      </c>
      <c r="O26" s="197">
        <f t="shared" si="5"/>
        <v>0.67064553749056732</v>
      </c>
      <c r="P26" s="197" t="e">
        <f t="shared" si="5"/>
        <v>#VALUE!</v>
      </c>
      <c r="Q26" s="197" t="e">
        <f t="shared" si="5"/>
        <v>#VALUE!</v>
      </c>
      <c r="R26" s="197" t="e">
        <f t="shared" si="5"/>
        <v>#VALUE!</v>
      </c>
      <c r="S26" s="197" t="e">
        <f t="shared" si="5"/>
        <v>#VALUE!</v>
      </c>
      <c r="T26" s="197"/>
    </row>
    <row r="27" spans="1:28">
      <c r="A27" s="13"/>
      <c r="B27" s="136" t="s">
        <v>16</v>
      </c>
      <c r="C27" s="200" t="s">
        <v>33</v>
      </c>
      <c r="D27" s="200" t="s">
        <v>33</v>
      </c>
      <c r="E27" s="123">
        <v>0.35262732417138237</v>
      </c>
      <c r="F27" s="200" t="s">
        <v>33</v>
      </c>
      <c r="G27" s="200" t="s">
        <v>33</v>
      </c>
      <c r="H27" s="200" t="s">
        <v>33</v>
      </c>
      <c r="I27" s="200" t="s">
        <v>33</v>
      </c>
      <c r="J27" s="196"/>
      <c r="K27" s="196"/>
      <c r="L27" s="197"/>
      <c r="M27" s="197" t="e">
        <f t="shared" si="5"/>
        <v>#VALUE!</v>
      </c>
      <c r="N27" s="197" t="e">
        <f t="shared" si="5"/>
        <v>#VALUE!</v>
      </c>
      <c r="O27" s="197">
        <f t="shared" si="5"/>
        <v>0.64737267582861757</v>
      </c>
      <c r="P27" s="197" t="e">
        <f t="shared" si="5"/>
        <v>#VALUE!</v>
      </c>
      <c r="Q27" s="197" t="e">
        <f t="shared" si="5"/>
        <v>#VALUE!</v>
      </c>
      <c r="R27" s="197" t="e">
        <f t="shared" si="5"/>
        <v>#VALUE!</v>
      </c>
      <c r="S27" s="197" t="e">
        <f t="shared" si="5"/>
        <v>#VALUE!</v>
      </c>
      <c r="T27" s="197"/>
    </row>
    <row r="28" spans="1:28">
      <c r="A28" s="13"/>
      <c r="B28" s="136" t="s">
        <v>17</v>
      </c>
      <c r="C28" s="200" t="s">
        <v>33</v>
      </c>
      <c r="D28" s="200" t="s">
        <v>33</v>
      </c>
      <c r="E28" s="123">
        <v>0.33114163476694436</v>
      </c>
      <c r="F28" s="200" t="s">
        <v>33</v>
      </c>
      <c r="G28" s="200" t="s">
        <v>33</v>
      </c>
      <c r="H28" s="200" t="s">
        <v>33</v>
      </c>
      <c r="I28" s="200" t="s">
        <v>33</v>
      </c>
      <c r="J28" s="196"/>
      <c r="K28" s="196"/>
      <c r="L28" s="197"/>
      <c r="M28" s="197" t="e">
        <f t="shared" si="5"/>
        <v>#VALUE!</v>
      </c>
      <c r="N28" s="197" t="e">
        <f t="shared" si="5"/>
        <v>#VALUE!</v>
      </c>
      <c r="O28" s="197">
        <f t="shared" si="5"/>
        <v>0.66885836523305564</v>
      </c>
      <c r="P28" s="197" t="e">
        <f t="shared" si="5"/>
        <v>#VALUE!</v>
      </c>
      <c r="Q28" s="197" t="e">
        <f t="shared" si="5"/>
        <v>#VALUE!</v>
      </c>
      <c r="R28" s="197" t="e">
        <f t="shared" si="5"/>
        <v>#VALUE!</v>
      </c>
      <c r="S28" s="197" t="e">
        <f t="shared" si="5"/>
        <v>#VALUE!</v>
      </c>
      <c r="T28" s="197"/>
    </row>
    <row r="29" spans="1:28">
      <c r="A29" s="13"/>
      <c r="B29" s="136" t="s">
        <v>18</v>
      </c>
      <c r="C29" s="200" t="s">
        <v>33</v>
      </c>
      <c r="D29" s="200" t="s">
        <v>33</v>
      </c>
      <c r="E29" s="123">
        <v>0.33279392891021709</v>
      </c>
      <c r="F29" s="200" t="s">
        <v>33</v>
      </c>
      <c r="G29" s="200" t="s">
        <v>33</v>
      </c>
      <c r="H29" s="200" t="s">
        <v>33</v>
      </c>
      <c r="I29" s="200" t="s">
        <v>33</v>
      </c>
      <c r="J29" s="196"/>
      <c r="K29" s="196"/>
      <c r="L29" s="197"/>
      <c r="M29" s="197" t="e">
        <f t="shared" si="5"/>
        <v>#VALUE!</v>
      </c>
      <c r="N29" s="197" t="e">
        <f t="shared" si="5"/>
        <v>#VALUE!</v>
      </c>
      <c r="O29" s="197">
        <f t="shared" si="5"/>
        <v>0.66720607108978291</v>
      </c>
      <c r="P29" s="197" t="e">
        <f t="shared" si="5"/>
        <v>#VALUE!</v>
      </c>
      <c r="Q29" s="197" t="e">
        <f t="shared" si="5"/>
        <v>#VALUE!</v>
      </c>
      <c r="R29" s="197" t="e">
        <f t="shared" si="5"/>
        <v>#VALUE!</v>
      </c>
      <c r="S29" s="197" t="e">
        <f t="shared" si="5"/>
        <v>#VALUE!</v>
      </c>
      <c r="T29" s="197"/>
    </row>
    <row r="30" spans="1:28">
      <c r="A30" s="13"/>
      <c r="B30" s="136" t="s">
        <v>19</v>
      </c>
      <c r="C30" s="200" t="s">
        <v>33</v>
      </c>
      <c r="D30" s="200" t="s">
        <v>33</v>
      </c>
      <c r="E30" s="123">
        <v>0.34464085646707332</v>
      </c>
      <c r="F30" s="200" t="s">
        <v>33</v>
      </c>
      <c r="G30" s="200" t="s">
        <v>33</v>
      </c>
      <c r="H30" s="200" t="s">
        <v>33</v>
      </c>
      <c r="I30" s="200" t="s">
        <v>33</v>
      </c>
      <c r="J30" s="196"/>
      <c r="K30" s="196"/>
      <c r="L30" s="197"/>
      <c r="M30" s="197" t="e">
        <f t="shared" si="5"/>
        <v>#VALUE!</v>
      </c>
      <c r="N30" s="197" t="e">
        <f t="shared" si="5"/>
        <v>#VALUE!</v>
      </c>
      <c r="O30" s="197">
        <f t="shared" si="5"/>
        <v>0.65535914353292668</v>
      </c>
      <c r="P30" s="197" t="e">
        <f t="shared" si="5"/>
        <v>#VALUE!</v>
      </c>
      <c r="Q30" s="197" t="e">
        <f t="shared" si="5"/>
        <v>#VALUE!</v>
      </c>
      <c r="R30" s="197" t="e">
        <f t="shared" si="5"/>
        <v>#VALUE!</v>
      </c>
      <c r="S30" s="197" t="e">
        <f t="shared" si="5"/>
        <v>#VALUE!</v>
      </c>
      <c r="T30" s="197"/>
    </row>
    <row r="31" spans="1:28">
      <c r="A31" s="13"/>
      <c r="B31" s="136" t="s">
        <v>20</v>
      </c>
      <c r="C31" s="200" t="s">
        <v>33</v>
      </c>
      <c r="D31" s="200" t="s">
        <v>33</v>
      </c>
      <c r="E31" s="123">
        <v>0.35701267325054042</v>
      </c>
      <c r="F31" s="200" t="s">
        <v>33</v>
      </c>
      <c r="G31" s="200" t="s">
        <v>33</v>
      </c>
      <c r="H31" s="200" t="s">
        <v>33</v>
      </c>
      <c r="I31" s="200" t="s">
        <v>33</v>
      </c>
      <c r="J31" s="196"/>
      <c r="K31" s="196"/>
      <c r="L31" s="197"/>
      <c r="M31" s="197" t="e">
        <f t="shared" si="5"/>
        <v>#VALUE!</v>
      </c>
      <c r="N31" s="197" t="e">
        <f t="shared" si="5"/>
        <v>#VALUE!</v>
      </c>
      <c r="O31" s="197">
        <f t="shared" si="5"/>
        <v>0.64298732674945958</v>
      </c>
      <c r="P31" s="197" t="e">
        <f t="shared" si="5"/>
        <v>#VALUE!</v>
      </c>
      <c r="Q31" s="197" t="e">
        <f t="shared" si="5"/>
        <v>#VALUE!</v>
      </c>
      <c r="R31" s="197" t="e">
        <f t="shared" si="5"/>
        <v>#VALUE!</v>
      </c>
      <c r="S31" s="197" t="e">
        <f t="shared" si="5"/>
        <v>#VALUE!</v>
      </c>
      <c r="T31" s="197"/>
    </row>
    <row r="32" spans="1:28">
      <c r="A32" s="13"/>
      <c r="B32" s="136" t="s">
        <v>21</v>
      </c>
      <c r="C32" s="200" t="s">
        <v>33</v>
      </c>
      <c r="D32" s="200" t="s">
        <v>33</v>
      </c>
      <c r="E32" s="123">
        <v>0.37240263322422862</v>
      </c>
      <c r="F32" s="200" t="s">
        <v>33</v>
      </c>
      <c r="G32" s="200" t="s">
        <v>33</v>
      </c>
      <c r="H32" s="200" t="s">
        <v>33</v>
      </c>
      <c r="I32" s="200" t="s">
        <v>33</v>
      </c>
      <c r="J32" s="196"/>
      <c r="K32" s="196"/>
      <c r="L32" s="197"/>
      <c r="M32" s="197" t="e">
        <f t="shared" si="5"/>
        <v>#VALUE!</v>
      </c>
      <c r="N32" s="197" t="e">
        <f t="shared" si="5"/>
        <v>#VALUE!</v>
      </c>
      <c r="O32" s="197">
        <f t="shared" si="5"/>
        <v>0.62759736677577138</v>
      </c>
      <c r="P32" s="197" t="e">
        <f t="shared" si="5"/>
        <v>#VALUE!</v>
      </c>
      <c r="Q32" s="197" t="e">
        <f t="shared" si="5"/>
        <v>#VALUE!</v>
      </c>
      <c r="R32" s="197" t="e">
        <f t="shared" si="5"/>
        <v>#VALUE!</v>
      </c>
      <c r="S32" s="197" t="e">
        <f t="shared" si="5"/>
        <v>#VALUE!</v>
      </c>
      <c r="T32" s="197"/>
    </row>
    <row r="33" spans="1:20">
      <c r="A33" s="13"/>
      <c r="B33" s="136" t="s">
        <v>22</v>
      </c>
      <c r="C33" s="200" t="s">
        <v>33</v>
      </c>
      <c r="D33" s="200" t="s">
        <v>33</v>
      </c>
      <c r="E33" s="123">
        <v>0.39694287414459983</v>
      </c>
      <c r="F33" s="200" t="s">
        <v>33</v>
      </c>
      <c r="G33" s="200" t="s">
        <v>33</v>
      </c>
      <c r="H33" s="200" t="s">
        <v>33</v>
      </c>
      <c r="I33" s="200" t="s">
        <v>33</v>
      </c>
      <c r="J33" s="196"/>
      <c r="K33" s="196"/>
      <c r="L33" s="197"/>
      <c r="M33" s="197" t="e">
        <f t="shared" si="5"/>
        <v>#VALUE!</v>
      </c>
      <c r="N33" s="197" t="e">
        <f t="shared" si="5"/>
        <v>#VALUE!</v>
      </c>
      <c r="O33" s="197">
        <f t="shared" si="5"/>
        <v>0.60305712585540017</v>
      </c>
      <c r="P33" s="197" t="e">
        <f t="shared" si="5"/>
        <v>#VALUE!</v>
      </c>
      <c r="Q33" s="197" t="e">
        <f t="shared" si="5"/>
        <v>#VALUE!</v>
      </c>
      <c r="R33" s="197" t="e">
        <f t="shared" si="5"/>
        <v>#VALUE!</v>
      </c>
      <c r="S33" s="197" t="e">
        <f t="shared" si="5"/>
        <v>#VALUE!</v>
      </c>
      <c r="T33" s="197"/>
    </row>
    <row r="34" spans="1:20">
      <c r="A34" s="13"/>
      <c r="B34" s="136" t="s">
        <v>23</v>
      </c>
      <c r="C34" s="200" t="s">
        <v>33</v>
      </c>
      <c r="D34" s="200" t="s">
        <v>33</v>
      </c>
      <c r="E34" s="123">
        <v>0.35647165807820552</v>
      </c>
      <c r="F34" s="200" t="s">
        <v>33</v>
      </c>
      <c r="G34" s="200" t="s">
        <v>33</v>
      </c>
      <c r="H34" s="200" t="s">
        <v>33</v>
      </c>
      <c r="I34" s="200" t="s">
        <v>33</v>
      </c>
      <c r="J34" s="196"/>
      <c r="K34" s="196"/>
      <c r="L34" s="197"/>
      <c r="M34" s="197" t="e">
        <f t="shared" si="5"/>
        <v>#VALUE!</v>
      </c>
      <c r="N34" s="197" t="e">
        <f t="shared" si="5"/>
        <v>#VALUE!</v>
      </c>
      <c r="O34" s="197">
        <f t="shared" si="5"/>
        <v>0.64352834192179453</v>
      </c>
      <c r="P34" s="197" t="e">
        <f t="shared" si="5"/>
        <v>#VALUE!</v>
      </c>
      <c r="Q34" s="197" t="e">
        <f t="shared" si="5"/>
        <v>#VALUE!</v>
      </c>
      <c r="R34" s="197" t="e">
        <f t="shared" si="5"/>
        <v>#VALUE!</v>
      </c>
      <c r="S34" s="197" t="e">
        <f t="shared" si="5"/>
        <v>#VALUE!</v>
      </c>
      <c r="T34" s="197"/>
    </row>
    <row r="35" spans="1:20">
      <c r="A35" s="13"/>
      <c r="B35" s="136" t="s">
        <v>24</v>
      </c>
      <c r="C35" s="200" t="s">
        <v>33</v>
      </c>
      <c r="D35" s="200" t="s">
        <v>33</v>
      </c>
      <c r="E35" s="123">
        <v>0.34750409859234554</v>
      </c>
      <c r="F35" s="200" t="s">
        <v>33</v>
      </c>
      <c r="G35" s="200" t="s">
        <v>33</v>
      </c>
      <c r="H35" s="200" t="s">
        <v>33</v>
      </c>
      <c r="I35" s="200" t="s">
        <v>33</v>
      </c>
      <c r="J35" s="196"/>
      <c r="K35" s="196"/>
      <c r="L35" s="197"/>
      <c r="M35" s="197" t="e">
        <f t="shared" si="5"/>
        <v>#VALUE!</v>
      </c>
      <c r="N35" s="197" t="e">
        <f t="shared" si="5"/>
        <v>#VALUE!</v>
      </c>
      <c r="O35" s="197">
        <f t="shared" si="5"/>
        <v>0.65249590140765446</v>
      </c>
      <c r="P35" s="197" t="e">
        <f t="shared" si="5"/>
        <v>#VALUE!</v>
      </c>
      <c r="Q35" s="197" t="e">
        <f t="shared" si="5"/>
        <v>#VALUE!</v>
      </c>
      <c r="R35" s="197" t="e">
        <f t="shared" si="5"/>
        <v>#VALUE!</v>
      </c>
      <c r="S35" s="197" t="e">
        <f t="shared" si="5"/>
        <v>#VALUE!</v>
      </c>
      <c r="T35" s="197"/>
    </row>
    <row r="36" spans="1:20">
      <c r="A36" s="13"/>
      <c r="B36" s="136" t="s">
        <v>25</v>
      </c>
      <c r="C36" s="200" t="s">
        <v>33</v>
      </c>
      <c r="D36" s="200" t="s">
        <v>33</v>
      </c>
      <c r="E36" s="123">
        <v>0.35432125709297252</v>
      </c>
      <c r="F36" s="200" t="s">
        <v>33</v>
      </c>
      <c r="G36" s="200" t="s">
        <v>33</v>
      </c>
      <c r="H36" s="200" t="s">
        <v>33</v>
      </c>
      <c r="I36" s="200" t="s">
        <v>33</v>
      </c>
      <c r="J36" s="196"/>
      <c r="K36" s="196"/>
      <c r="L36" s="197"/>
      <c r="M36" s="197" t="e">
        <f t="shared" si="5"/>
        <v>#VALUE!</v>
      </c>
      <c r="N36" s="197" t="e">
        <f t="shared" si="5"/>
        <v>#VALUE!</v>
      </c>
      <c r="O36" s="197">
        <f t="shared" si="5"/>
        <v>0.64567874290702743</v>
      </c>
      <c r="P36" s="197" t="e">
        <f t="shared" si="5"/>
        <v>#VALUE!</v>
      </c>
      <c r="Q36" s="197" t="e">
        <f t="shared" si="5"/>
        <v>#VALUE!</v>
      </c>
      <c r="R36" s="197" t="e">
        <f t="shared" si="5"/>
        <v>#VALUE!</v>
      </c>
      <c r="S36" s="197" t="e">
        <f t="shared" si="5"/>
        <v>#VALUE!</v>
      </c>
      <c r="T36" s="197"/>
    </row>
    <row r="37" spans="1:20">
      <c r="A37" s="13"/>
      <c r="B37" s="136" t="s">
        <v>26</v>
      </c>
      <c r="C37" s="200" t="s">
        <v>33</v>
      </c>
      <c r="D37" s="200" t="s">
        <v>33</v>
      </c>
      <c r="E37" s="123">
        <v>0.33351762854591077</v>
      </c>
      <c r="F37" s="200" t="s">
        <v>33</v>
      </c>
      <c r="G37" s="200" t="s">
        <v>33</v>
      </c>
      <c r="H37" s="200" t="s">
        <v>33</v>
      </c>
      <c r="I37" s="200" t="s">
        <v>33</v>
      </c>
      <c r="J37" s="196"/>
      <c r="K37" s="196"/>
      <c r="L37" s="197"/>
      <c r="M37" s="197" t="e">
        <f t="shared" si="5"/>
        <v>#VALUE!</v>
      </c>
      <c r="N37" s="197" t="e">
        <f t="shared" si="5"/>
        <v>#VALUE!</v>
      </c>
      <c r="O37" s="197">
        <f t="shared" si="5"/>
        <v>0.66648237145408928</v>
      </c>
      <c r="P37" s="197" t="e">
        <f t="shared" si="5"/>
        <v>#VALUE!</v>
      </c>
      <c r="Q37" s="197" t="e">
        <f t="shared" si="5"/>
        <v>#VALUE!</v>
      </c>
      <c r="R37" s="197" t="e">
        <f t="shared" si="5"/>
        <v>#VALUE!</v>
      </c>
      <c r="S37" s="197" t="e">
        <f t="shared" si="5"/>
        <v>#VALUE!</v>
      </c>
      <c r="T37" s="197"/>
    </row>
    <row r="38" spans="1:20">
      <c r="A38" s="13"/>
      <c r="B38" s="136"/>
      <c r="C38" s="197"/>
      <c r="D38" s="197"/>
      <c r="E38" s="197"/>
      <c r="F38" s="197"/>
      <c r="G38" s="66"/>
      <c r="H38" s="66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</row>
    <row r="39" spans="1:20">
      <c r="A39" s="13"/>
      <c r="B39" s="136"/>
      <c r="C39" s="197"/>
      <c r="D39" s="197"/>
      <c r="E39" s="197"/>
      <c r="F39" s="197"/>
      <c r="G39" s="66"/>
      <c r="H39" s="66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</row>
    <row r="40" spans="1:20">
      <c r="A40" s="186" t="s">
        <v>34</v>
      </c>
      <c r="B40" s="201" t="s">
        <v>35</v>
      </c>
      <c r="M40" s="41" t="s">
        <v>36</v>
      </c>
    </row>
    <row r="41" spans="1:20">
      <c r="A41" s="13"/>
      <c r="B41" s="202" t="str">
        <f>"Calendar month billed sales forecasted for " &amp;M1-1</f>
        <v>Calendar month billed sales forecasted for 2012</v>
      </c>
    </row>
    <row r="42" spans="1:20">
      <c r="A42" s="13"/>
      <c r="B42" s="23" t="s">
        <v>37</v>
      </c>
      <c r="C42" s="69" t="str">
        <f>+C6</f>
        <v>SC1</v>
      </c>
      <c r="D42" s="69" t="str">
        <f t="shared" ref="D42:I42" si="6">+D6</f>
        <v>SC5</v>
      </c>
      <c r="E42" s="69" t="str">
        <f t="shared" si="6"/>
        <v>SC3</v>
      </c>
      <c r="F42" s="69" t="str">
        <f t="shared" si="6"/>
        <v>SC2 ND</v>
      </c>
      <c r="G42" s="69" t="str">
        <f t="shared" si="6"/>
        <v>SC4</v>
      </c>
      <c r="H42" s="69" t="str">
        <f t="shared" si="6"/>
        <v>SC6</v>
      </c>
      <c r="I42" s="69" t="str">
        <f t="shared" si="6"/>
        <v>SC2 Dem</v>
      </c>
      <c r="J42" s="69" t="s">
        <v>38</v>
      </c>
      <c r="K42" s="194"/>
      <c r="L42" s="194"/>
      <c r="M42" s="194" t="str">
        <f t="shared" ref="M42:S42" si="7">+C6</f>
        <v>SC1</v>
      </c>
      <c r="N42" s="194" t="str">
        <f t="shared" si="7"/>
        <v>SC5</v>
      </c>
      <c r="O42" s="194" t="str">
        <f t="shared" si="7"/>
        <v>SC3</v>
      </c>
      <c r="P42" s="194" t="str">
        <f t="shared" si="7"/>
        <v>SC2 ND</v>
      </c>
      <c r="Q42" s="194" t="str">
        <f t="shared" si="7"/>
        <v>SC4</v>
      </c>
      <c r="R42" s="194" t="str">
        <f t="shared" si="7"/>
        <v>SC6</v>
      </c>
      <c r="S42" s="194" t="str">
        <f t="shared" si="7"/>
        <v>SC2 Dem</v>
      </c>
      <c r="T42" s="194"/>
    </row>
    <row r="43" spans="1:20">
      <c r="A43" s="13"/>
    </row>
    <row r="44" spans="1:20">
      <c r="A44" s="13"/>
      <c r="B44" s="136" t="s">
        <v>15</v>
      </c>
      <c r="C44" s="9">
        <v>64065</v>
      </c>
      <c r="D44" s="9">
        <v>2076</v>
      </c>
      <c r="E44" s="9">
        <v>31</v>
      </c>
      <c r="F44" s="9">
        <v>4722</v>
      </c>
      <c r="G44" s="9">
        <v>668</v>
      </c>
      <c r="H44" s="9">
        <v>502</v>
      </c>
      <c r="I44" s="9">
        <v>40871</v>
      </c>
      <c r="J44" s="9">
        <f>SUM(C44:I44)</f>
        <v>112935</v>
      </c>
      <c r="K44" s="9"/>
      <c r="L44" s="29" t="s">
        <v>39</v>
      </c>
      <c r="M44" s="124">
        <f t="shared" ref="M44:S44" si="8">SUM(C44:C48,C53:C55)</f>
        <v>423011</v>
      </c>
      <c r="N44" s="9">
        <f t="shared" si="8"/>
        <v>11627</v>
      </c>
      <c r="O44" s="9">
        <f t="shared" si="8"/>
        <v>179</v>
      </c>
      <c r="P44" s="9">
        <f t="shared" si="8"/>
        <v>28113</v>
      </c>
      <c r="Q44" s="9">
        <f t="shared" si="8"/>
        <v>4505</v>
      </c>
      <c r="R44" s="9">
        <f t="shared" si="8"/>
        <v>3767</v>
      </c>
      <c r="S44" s="9">
        <f t="shared" si="8"/>
        <v>310845</v>
      </c>
      <c r="T44" s="9"/>
    </row>
    <row r="45" spans="1:20">
      <c r="A45" s="13"/>
      <c r="B45" s="136" t="s">
        <v>16</v>
      </c>
      <c r="C45" s="9">
        <v>55926</v>
      </c>
      <c r="D45" s="9">
        <v>1880</v>
      </c>
      <c r="E45" s="9">
        <v>28</v>
      </c>
      <c r="F45" s="9">
        <v>5002</v>
      </c>
      <c r="G45" s="9">
        <v>567</v>
      </c>
      <c r="H45" s="9">
        <v>442</v>
      </c>
      <c r="I45" s="9">
        <v>41607</v>
      </c>
      <c r="J45" s="9">
        <f t="shared" ref="J45:J55" si="9">SUM(C45:I45)</f>
        <v>105452</v>
      </c>
      <c r="K45" s="9"/>
      <c r="L45" s="29" t="s">
        <v>40</v>
      </c>
      <c r="M45" s="124"/>
      <c r="O45" s="9">
        <f>SUMPRODUCT(E26:E30,E44:E48)+SUMPRODUCT(E35:E37,E53:E55)</f>
        <v>60.807806017393041</v>
      </c>
      <c r="T45" s="9"/>
    </row>
    <row r="46" spans="1:20">
      <c r="A46" s="13"/>
      <c r="B46" s="136" t="s">
        <v>17</v>
      </c>
      <c r="C46" s="9">
        <v>48864</v>
      </c>
      <c r="D46" s="9">
        <v>1460</v>
      </c>
      <c r="E46" s="9">
        <v>26</v>
      </c>
      <c r="F46" s="9">
        <v>4165</v>
      </c>
      <c r="G46" s="9">
        <v>562</v>
      </c>
      <c r="H46" s="9">
        <v>427</v>
      </c>
      <c r="I46" s="9">
        <v>37182</v>
      </c>
      <c r="J46" s="9">
        <f t="shared" si="9"/>
        <v>92686</v>
      </c>
      <c r="K46" s="9"/>
      <c r="L46" s="29" t="s">
        <v>41</v>
      </c>
      <c r="M46" s="124"/>
      <c r="O46" s="9">
        <f>+O44-O45</f>
        <v>118.19219398260697</v>
      </c>
      <c r="T46" s="9"/>
    </row>
    <row r="47" spans="1:20">
      <c r="A47" s="13"/>
      <c r="B47" s="136" t="s">
        <v>18</v>
      </c>
      <c r="C47" s="9">
        <v>46772</v>
      </c>
      <c r="D47" s="9">
        <v>1257</v>
      </c>
      <c r="E47" s="9">
        <v>19</v>
      </c>
      <c r="F47" s="9">
        <v>3624</v>
      </c>
      <c r="G47" s="9">
        <v>465</v>
      </c>
      <c r="H47" s="9">
        <v>428</v>
      </c>
      <c r="I47" s="9">
        <v>36547</v>
      </c>
      <c r="J47" s="9">
        <f t="shared" si="9"/>
        <v>89112</v>
      </c>
      <c r="K47" s="9"/>
    </row>
    <row r="48" spans="1:20">
      <c r="A48" s="13"/>
      <c r="B48" s="136" t="s">
        <v>19</v>
      </c>
      <c r="C48" s="9">
        <v>47695</v>
      </c>
      <c r="D48" s="9">
        <v>1016</v>
      </c>
      <c r="E48" s="9">
        <v>18</v>
      </c>
      <c r="F48" s="9">
        <v>2688</v>
      </c>
      <c r="G48" s="9">
        <v>433</v>
      </c>
      <c r="H48" s="9">
        <v>419</v>
      </c>
      <c r="I48" s="9">
        <v>37400</v>
      </c>
      <c r="J48" s="9">
        <f t="shared" si="9"/>
        <v>89669</v>
      </c>
      <c r="K48" s="9"/>
      <c r="L48" s="29" t="s">
        <v>42</v>
      </c>
      <c r="M48" s="124">
        <f>SUM(C49:C52)</f>
        <v>304680</v>
      </c>
      <c r="N48" s="9">
        <f t="shared" ref="N48:S48" si="10">+SUM(D49:D52)</f>
        <v>5443</v>
      </c>
      <c r="O48" s="9">
        <f t="shared" si="10"/>
        <v>92</v>
      </c>
      <c r="P48" s="9">
        <f t="shared" si="10"/>
        <v>11630</v>
      </c>
      <c r="Q48" s="9">
        <f t="shared" si="10"/>
        <v>1772</v>
      </c>
      <c r="R48" s="9">
        <f t="shared" si="10"/>
        <v>1633</v>
      </c>
      <c r="S48" s="9">
        <f t="shared" si="10"/>
        <v>179990</v>
      </c>
      <c r="T48" s="9"/>
    </row>
    <row r="49" spans="1:24">
      <c r="A49" s="13"/>
      <c r="B49" s="136" t="s">
        <v>20</v>
      </c>
      <c r="C49" s="9">
        <v>64171</v>
      </c>
      <c r="D49" s="9">
        <v>1129</v>
      </c>
      <c r="E49" s="9">
        <v>22</v>
      </c>
      <c r="F49" s="9">
        <v>2565</v>
      </c>
      <c r="G49" s="9">
        <v>382</v>
      </c>
      <c r="H49" s="9">
        <v>404</v>
      </c>
      <c r="I49" s="9">
        <v>42074</v>
      </c>
      <c r="J49" s="9">
        <f t="shared" si="9"/>
        <v>110747</v>
      </c>
      <c r="K49" s="9"/>
      <c r="L49" s="29" t="s">
        <v>40</v>
      </c>
      <c r="M49" s="124"/>
      <c r="O49" s="9">
        <f>+SUMPRODUCT(E31:E34,E49:E52)</f>
        <v>34.217349657296708</v>
      </c>
      <c r="T49" s="9"/>
    </row>
    <row r="50" spans="1:24">
      <c r="A50" s="13"/>
      <c r="B50" s="136" t="s">
        <v>21</v>
      </c>
      <c r="C50" s="9">
        <v>80399</v>
      </c>
      <c r="D50" s="9">
        <v>1369</v>
      </c>
      <c r="E50" s="9">
        <v>25</v>
      </c>
      <c r="F50" s="9">
        <v>2997</v>
      </c>
      <c r="G50" s="9">
        <v>415</v>
      </c>
      <c r="H50" s="9">
        <v>395</v>
      </c>
      <c r="I50" s="9">
        <v>44504</v>
      </c>
      <c r="J50" s="9">
        <f t="shared" si="9"/>
        <v>130104</v>
      </c>
      <c r="K50" s="9"/>
      <c r="L50" s="29" t="s">
        <v>41</v>
      </c>
      <c r="M50" s="124"/>
      <c r="O50" s="9">
        <f>+O48-O49</f>
        <v>57.782650342703292</v>
      </c>
      <c r="T50" s="9"/>
    </row>
    <row r="51" spans="1:24">
      <c r="A51" s="13"/>
      <c r="B51" s="136" t="s">
        <v>22</v>
      </c>
      <c r="C51" s="9">
        <v>86299</v>
      </c>
      <c r="D51" s="9">
        <v>1571</v>
      </c>
      <c r="E51" s="9">
        <v>25</v>
      </c>
      <c r="F51" s="9">
        <v>3110</v>
      </c>
      <c r="G51" s="9">
        <v>460</v>
      </c>
      <c r="H51" s="9">
        <v>396</v>
      </c>
      <c r="I51" s="9">
        <v>46750</v>
      </c>
      <c r="J51" s="9">
        <f t="shared" si="9"/>
        <v>138611</v>
      </c>
      <c r="K51" s="9"/>
    </row>
    <row r="52" spans="1:24">
      <c r="A52" s="13"/>
      <c r="B52" s="136" t="s">
        <v>23</v>
      </c>
      <c r="C52" s="9">
        <v>73811</v>
      </c>
      <c r="D52" s="9">
        <v>1374</v>
      </c>
      <c r="E52" s="9">
        <v>20</v>
      </c>
      <c r="F52" s="9">
        <v>2958</v>
      </c>
      <c r="G52" s="9">
        <v>515</v>
      </c>
      <c r="H52" s="9">
        <v>438</v>
      </c>
      <c r="I52" s="9">
        <v>46662</v>
      </c>
      <c r="J52" s="9">
        <f t="shared" si="9"/>
        <v>125778</v>
      </c>
      <c r="K52" s="9"/>
      <c r="L52" s="29" t="s">
        <v>43</v>
      </c>
      <c r="M52" s="124">
        <f>ROUND(M48*E156,0)</f>
        <v>61728</v>
      </c>
      <c r="N52" s="124">
        <f>ROUND(N48*J156,0)</f>
        <v>1690</v>
      </c>
    </row>
    <row r="53" spans="1:24">
      <c r="A53" s="13"/>
      <c r="B53" s="136" t="s">
        <v>24</v>
      </c>
      <c r="C53" s="9">
        <v>55749</v>
      </c>
      <c r="D53" s="9">
        <v>1205</v>
      </c>
      <c r="E53" s="9">
        <v>16</v>
      </c>
      <c r="F53" s="9">
        <v>2653</v>
      </c>
      <c r="G53" s="9">
        <v>567</v>
      </c>
      <c r="H53" s="9">
        <v>487</v>
      </c>
      <c r="I53" s="9">
        <v>40267</v>
      </c>
      <c r="J53" s="9">
        <f t="shared" si="9"/>
        <v>100944</v>
      </c>
      <c r="K53" s="9"/>
      <c r="L53" s="31" t="s">
        <v>44</v>
      </c>
      <c r="M53" s="124">
        <f>M48-M52</f>
        <v>242952</v>
      </c>
      <c r="N53" s="124">
        <f>ROUND(N48*J157,0)</f>
        <v>1939</v>
      </c>
    </row>
    <row r="54" spans="1:24">
      <c r="A54" s="13"/>
      <c r="B54" s="136" t="s">
        <v>25</v>
      </c>
      <c r="C54" s="9">
        <v>47009</v>
      </c>
      <c r="D54" s="9">
        <v>1118</v>
      </c>
      <c r="E54" s="9">
        <v>17</v>
      </c>
      <c r="F54" s="9">
        <v>2252</v>
      </c>
      <c r="G54" s="9">
        <v>592</v>
      </c>
      <c r="H54" s="9">
        <v>538</v>
      </c>
      <c r="I54" s="9">
        <v>35298</v>
      </c>
      <c r="J54" s="9">
        <f t="shared" si="9"/>
        <v>86824</v>
      </c>
      <c r="K54" s="9"/>
      <c r="L54" s="31" t="s">
        <v>45</v>
      </c>
      <c r="M54" s="124"/>
      <c r="N54" s="124">
        <f>N48-N52-N53</f>
        <v>1814</v>
      </c>
    </row>
    <row r="55" spans="1:24">
      <c r="A55" s="13"/>
      <c r="B55" s="136" t="s">
        <v>26</v>
      </c>
      <c r="C55" s="10">
        <v>56931</v>
      </c>
      <c r="D55" s="10">
        <v>1615</v>
      </c>
      <c r="E55" s="10">
        <v>24</v>
      </c>
      <c r="F55" s="10">
        <v>3007</v>
      </c>
      <c r="G55" s="10">
        <v>651</v>
      </c>
      <c r="H55" s="10">
        <v>524</v>
      </c>
      <c r="I55" s="10">
        <v>41673</v>
      </c>
      <c r="J55" s="10">
        <f t="shared" si="9"/>
        <v>104425</v>
      </c>
      <c r="K55" s="9"/>
      <c r="N55" s="203"/>
    </row>
    <row r="56" spans="1:24">
      <c r="A56" s="13"/>
      <c r="B56" s="204" t="s">
        <v>38</v>
      </c>
      <c r="C56" s="9">
        <f>SUM(C44:C55)</f>
        <v>727691</v>
      </c>
      <c r="D56" s="9">
        <f t="shared" ref="D56:I56" si="11">SUM(D44:D55)</f>
        <v>17070</v>
      </c>
      <c r="E56" s="9">
        <f t="shared" si="11"/>
        <v>271</v>
      </c>
      <c r="F56" s="9">
        <f t="shared" si="11"/>
        <v>39743</v>
      </c>
      <c r="G56" s="9">
        <f>SUM(G44:G55)</f>
        <v>6277</v>
      </c>
      <c r="H56" s="9">
        <f>SUM(H44:H55)</f>
        <v>5400</v>
      </c>
      <c r="I56" s="9">
        <f t="shared" si="11"/>
        <v>490835</v>
      </c>
      <c r="J56" s="9">
        <f>SUM(J44:J55)</f>
        <v>1287287</v>
      </c>
      <c r="K56" s="9"/>
      <c r="N56" s="203"/>
    </row>
    <row r="57" spans="1:24">
      <c r="A57" s="13"/>
      <c r="B57" s="136"/>
      <c r="F57" s="9"/>
      <c r="G57" s="125"/>
      <c r="H57" s="125"/>
      <c r="N57" s="203"/>
      <c r="O57" s="41" t="s">
        <v>46</v>
      </c>
    </row>
    <row r="58" spans="1:24">
      <c r="A58" s="13"/>
      <c r="N58" s="27"/>
      <c r="O58" s="205"/>
      <c r="P58" s="206"/>
      <c r="Q58" s="206"/>
      <c r="R58" s="206"/>
      <c r="S58" s="206"/>
      <c r="T58" s="206"/>
      <c r="U58" s="206"/>
      <c r="V58" s="206"/>
      <c r="W58" s="207"/>
    </row>
    <row r="59" spans="1:24">
      <c r="A59" s="186" t="s">
        <v>47</v>
      </c>
      <c r="B59" s="41" t="s">
        <v>48</v>
      </c>
      <c r="G59" s="208"/>
      <c r="H59" s="41"/>
      <c r="N59" s="203"/>
      <c r="O59" s="209"/>
      <c r="P59" s="27" t="s">
        <v>49</v>
      </c>
      <c r="Q59" s="27"/>
      <c r="R59" s="27"/>
      <c r="S59" s="27"/>
      <c r="T59" s="27"/>
      <c r="U59" s="27"/>
      <c r="V59" s="27"/>
      <c r="W59" s="210"/>
    </row>
    <row r="60" spans="1:24" s="211" customFormat="1">
      <c r="A60" s="13"/>
      <c r="B60" s="2" t="s">
        <v>50</v>
      </c>
      <c r="G60" s="28"/>
      <c r="N60" s="203"/>
      <c r="O60" s="212"/>
      <c r="P60" s="213"/>
      <c r="Q60" s="213"/>
      <c r="R60" s="213"/>
      <c r="S60" s="214" t="str">
        <f>E6</f>
        <v>SC3</v>
      </c>
      <c r="T60" s="214"/>
      <c r="U60" s="214"/>
      <c r="V60" s="27"/>
      <c r="W60" s="215"/>
      <c r="X60" s="28"/>
    </row>
    <row r="61" spans="1:24">
      <c r="A61" s="13"/>
      <c r="C61" s="69" t="s">
        <v>51</v>
      </c>
      <c r="D61" s="69" t="s">
        <v>52</v>
      </c>
      <c r="G61" s="194"/>
      <c r="H61" s="194"/>
      <c r="I61" s="194"/>
      <c r="N61" s="203"/>
      <c r="O61" s="216"/>
      <c r="P61" s="27"/>
      <c r="Q61" s="27"/>
      <c r="R61" s="27"/>
      <c r="S61" s="27"/>
      <c r="T61" s="27"/>
      <c r="U61" s="27"/>
      <c r="V61" s="27"/>
      <c r="W61" s="210"/>
    </row>
    <row r="62" spans="1:24">
      <c r="A62" s="13"/>
      <c r="B62" s="136" t="s">
        <v>15</v>
      </c>
      <c r="C62" s="11">
        <f t="shared" ref="C62:D73" si="12">G428</f>
        <v>49.36</v>
      </c>
      <c r="D62" s="11">
        <f t="shared" si="12"/>
        <v>38.44</v>
      </c>
      <c r="H62" s="194"/>
      <c r="I62" s="194"/>
      <c r="M62" s="27"/>
      <c r="N62" s="27"/>
      <c r="O62" s="212"/>
      <c r="P62" s="217"/>
      <c r="Q62" s="30" t="s">
        <v>39</v>
      </c>
      <c r="R62" s="217"/>
      <c r="S62" s="218">
        <f>SUM(E44:E48,E53:E55)</f>
        <v>179</v>
      </c>
      <c r="T62" s="217"/>
      <c r="U62" s="218"/>
      <c r="V62" s="217"/>
      <c r="W62" s="210"/>
    </row>
    <row r="63" spans="1:24">
      <c r="A63" s="13"/>
      <c r="B63" s="136" t="s">
        <v>16</v>
      </c>
      <c r="C63" s="11">
        <f t="shared" si="12"/>
        <v>46.27</v>
      </c>
      <c r="D63" s="11">
        <f t="shared" si="12"/>
        <v>36.03</v>
      </c>
      <c r="H63" s="194"/>
      <c r="I63" s="194"/>
      <c r="N63" s="27"/>
      <c r="O63" s="212"/>
      <c r="P63" s="217"/>
      <c r="Q63" s="30" t="s">
        <v>40</v>
      </c>
      <c r="R63" s="27"/>
      <c r="S63" s="218">
        <f>SUMPRODUCT(E26:E30,E44:E48)+SUMPRODUCT(E35:E37,E53:E55)</f>
        <v>60.807806017393041</v>
      </c>
      <c r="T63" s="27">
        <f>S63/S62</f>
        <v>0.33970841350498904</v>
      </c>
      <c r="U63" s="218"/>
      <c r="V63" s="27"/>
      <c r="W63" s="210"/>
    </row>
    <row r="64" spans="1:24">
      <c r="A64" s="13"/>
      <c r="B64" s="136" t="s">
        <v>17</v>
      </c>
      <c r="C64" s="11">
        <f t="shared" si="12"/>
        <v>44.62</v>
      </c>
      <c r="D64" s="11">
        <f t="shared" si="12"/>
        <v>34.75</v>
      </c>
      <c r="H64" s="194"/>
      <c r="I64" s="194"/>
      <c r="M64" s="213"/>
      <c r="N64" s="213"/>
      <c r="O64" s="212"/>
      <c r="P64" s="217"/>
      <c r="Q64" s="30" t="s">
        <v>41</v>
      </c>
      <c r="R64" s="27"/>
      <c r="S64" s="218">
        <f>SUMPRODUCT(O26:O30,E44:E48)+SUMPRODUCT(O35:O37,E53:E55)</f>
        <v>118.19219398260697</v>
      </c>
      <c r="T64" s="27"/>
      <c r="U64" s="218"/>
      <c r="V64" s="27"/>
      <c r="W64" s="210"/>
    </row>
    <row r="65" spans="1:24">
      <c r="A65" s="13"/>
      <c r="B65" s="136" t="s">
        <v>18</v>
      </c>
      <c r="C65" s="11">
        <f t="shared" si="12"/>
        <v>43.92</v>
      </c>
      <c r="D65" s="11">
        <f t="shared" si="12"/>
        <v>34.21</v>
      </c>
      <c r="H65" s="194"/>
      <c r="I65" s="194"/>
      <c r="M65" s="27"/>
      <c r="N65" s="27"/>
      <c r="O65" s="216"/>
      <c r="P65" s="27"/>
      <c r="Q65" s="27"/>
      <c r="R65" s="27"/>
      <c r="S65" s="27"/>
      <c r="T65" s="27"/>
      <c r="U65" s="27"/>
      <c r="V65" s="27"/>
      <c r="W65" s="210"/>
      <c r="X65" s="211"/>
    </row>
    <row r="66" spans="1:24">
      <c r="A66" s="13"/>
      <c r="B66" s="136" t="s">
        <v>19</v>
      </c>
      <c r="C66" s="11">
        <f t="shared" si="12"/>
        <v>44.08</v>
      </c>
      <c r="D66" s="11">
        <f t="shared" si="12"/>
        <v>34.07</v>
      </c>
      <c r="H66" s="194"/>
      <c r="I66" s="194"/>
      <c r="N66" s="203"/>
      <c r="O66" s="212"/>
      <c r="P66" s="217"/>
      <c r="Q66" s="30" t="s">
        <v>42</v>
      </c>
      <c r="R66" s="217"/>
      <c r="S66" s="218">
        <f>+SUM(E49:E52)</f>
        <v>92</v>
      </c>
      <c r="T66" s="217"/>
      <c r="U66" s="218"/>
      <c r="V66" s="217"/>
      <c r="W66" s="210"/>
    </row>
    <row r="67" spans="1:24">
      <c r="A67" s="13"/>
      <c r="B67" s="136" t="s">
        <v>20</v>
      </c>
      <c r="C67" s="11">
        <f t="shared" si="12"/>
        <v>47.2</v>
      </c>
      <c r="D67" s="11">
        <f t="shared" si="12"/>
        <v>28.62</v>
      </c>
      <c r="H67" s="194"/>
      <c r="I67" s="194"/>
      <c r="N67" s="203"/>
      <c r="O67" s="212"/>
      <c r="P67" s="217"/>
      <c r="Q67" s="30" t="s">
        <v>40</v>
      </c>
      <c r="R67" s="27"/>
      <c r="S67" s="218">
        <f>+SUMPRODUCT(E31:E34,E49:E52)</f>
        <v>34.217349657296708</v>
      </c>
      <c r="T67" s="219">
        <f>S67/S66</f>
        <v>0.37192771366626859</v>
      </c>
      <c r="U67" s="218"/>
      <c r="V67" s="219"/>
      <c r="W67" s="220"/>
    </row>
    <row r="68" spans="1:24">
      <c r="A68" s="13"/>
      <c r="B68" s="136" t="s">
        <v>21</v>
      </c>
      <c r="C68" s="11">
        <f t="shared" si="12"/>
        <v>58.18</v>
      </c>
      <c r="D68" s="11">
        <f t="shared" si="12"/>
        <v>35.07</v>
      </c>
      <c r="H68" s="194"/>
      <c r="I68" s="194"/>
      <c r="N68" s="203"/>
      <c r="O68" s="212"/>
      <c r="P68" s="217"/>
      <c r="Q68" s="30" t="s">
        <v>41</v>
      </c>
      <c r="R68" s="27"/>
      <c r="S68" s="218">
        <f>SUMPRODUCT(O31:O34,E49:E52)</f>
        <v>57.782650342703292</v>
      </c>
      <c r="T68" s="27"/>
      <c r="U68" s="218"/>
      <c r="V68" s="27"/>
      <c r="W68" s="210"/>
    </row>
    <row r="69" spans="1:24">
      <c r="A69" s="13"/>
      <c r="B69" s="136" t="s">
        <v>22</v>
      </c>
      <c r="C69" s="11">
        <f t="shared" si="12"/>
        <v>54.69</v>
      </c>
      <c r="D69" s="11">
        <f t="shared" si="12"/>
        <v>32.979999999999997</v>
      </c>
      <c r="H69" s="194"/>
      <c r="I69" s="194"/>
      <c r="N69" s="27"/>
      <c r="O69" s="212"/>
      <c r="P69" s="27"/>
      <c r="Q69" s="27"/>
      <c r="R69" s="27"/>
      <c r="S69" s="27"/>
      <c r="T69" s="27"/>
      <c r="U69" s="27"/>
      <c r="V69" s="27"/>
      <c r="W69" s="210"/>
    </row>
    <row r="70" spans="1:24">
      <c r="A70" s="13"/>
      <c r="B70" s="136" t="s">
        <v>23</v>
      </c>
      <c r="C70" s="11">
        <f t="shared" si="12"/>
        <v>45.45</v>
      </c>
      <c r="D70" s="11">
        <f t="shared" si="12"/>
        <v>27.79</v>
      </c>
      <c r="H70" s="194"/>
      <c r="I70" s="194"/>
      <c r="N70" s="203"/>
      <c r="O70" s="209"/>
      <c r="P70" s="27" t="s">
        <v>53</v>
      </c>
      <c r="Q70" s="27"/>
      <c r="R70" s="27"/>
      <c r="S70" s="27"/>
      <c r="T70" s="27"/>
      <c r="U70" s="27"/>
      <c r="V70" s="27"/>
      <c r="W70" s="210"/>
    </row>
    <row r="71" spans="1:24">
      <c r="A71" s="13"/>
      <c r="B71" s="136" t="s">
        <v>24</v>
      </c>
      <c r="C71" s="11">
        <f t="shared" si="12"/>
        <v>42.06</v>
      </c>
      <c r="D71" s="11">
        <f t="shared" si="12"/>
        <v>32.880000000000003</v>
      </c>
      <c r="H71" s="194"/>
      <c r="I71" s="194"/>
      <c r="N71" s="203"/>
      <c r="O71" s="212"/>
      <c r="P71" s="213"/>
      <c r="Q71" s="213"/>
      <c r="R71" s="213"/>
      <c r="S71" s="213" t="str">
        <f>S60</f>
        <v>SC3</v>
      </c>
      <c r="T71" s="213"/>
      <c r="U71" s="213"/>
      <c r="V71" s="213"/>
      <c r="W71" s="210"/>
    </row>
    <row r="72" spans="1:24">
      <c r="A72" s="13"/>
      <c r="B72" s="136" t="s">
        <v>25</v>
      </c>
      <c r="C72" s="11">
        <f t="shared" si="12"/>
        <v>42.11</v>
      </c>
      <c r="D72" s="11">
        <f t="shared" si="12"/>
        <v>32.909999999999997</v>
      </c>
      <c r="H72" s="194"/>
      <c r="I72" s="194"/>
      <c r="N72" s="203"/>
      <c r="O72" s="216"/>
      <c r="P72" s="27"/>
      <c r="Q72" s="27"/>
      <c r="R72" s="27"/>
      <c r="S72" s="27"/>
      <c r="T72" s="27"/>
      <c r="U72" s="27"/>
      <c r="V72" s="27"/>
      <c r="W72" s="210"/>
    </row>
    <row r="73" spans="1:24">
      <c r="A73" s="13"/>
      <c r="B73" s="136" t="s">
        <v>26</v>
      </c>
      <c r="C73" s="11">
        <f t="shared" si="12"/>
        <v>43.64</v>
      </c>
      <c r="D73" s="11">
        <f t="shared" si="12"/>
        <v>34.11</v>
      </c>
      <c r="H73" s="194"/>
      <c r="I73" s="194"/>
      <c r="N73" s="27"/>
      <c r="O73" s="212"/>
      <c r="P73" s="217"/>
      <c r="Q73" s="30" t="s">
        <v>39</v>
      </c>
      <c r="R73" s="217"/>
      <c r="S73" s="218">
        <f>SUM(E44:E48,E53:E55)</f>
        <v>179</v>
      </c>
      <c r="T73" s="217"/>
      <c r="U73" s="218"/>
      <c r="V73" s="217"/>
      <c r="W73" s="210"/>
    </row>
    <row r="74" spans="1:24">
      <c r="A74" s="13"/>
      <c r="B74" s="136"/>
      <c r="C74" s="11"/>
      <c r="D74" s="11"/>
      <c r="G74" s="67"/>
      <c r="M74" s="213"/>
      <c r="N74" s="213"/>
      <c r="O74" s="212"/>
      <c r="P74" s="217"/>
      <c r="Q74" s="30" t="s">
        <v>40</v>
      </c>
      <c r="R74" s="27"/>
      <c r="S74" s="218">
        <f>SUMPRODUCT(E8:E12,E44:E48)+SUMPRODUCT(E17:E19,E53:E55)</f>
        <v>85.354486806088147</v>
      </c>
      <c r="T74" s="27">
        <f>S74/S73</f>
        <v>0.47684070841390025</v>
      </c>
      <c r="U74" s="218"/>
      <c r="V74" s="27"/>
      <c r="W74" s="210"/>
    </row>
    <row r="75" spans="1:24">
      <c r="A75" s="13"/>
      <c r="B75" s="136"/>
      <c r="C75" s="11"/>
      <c r="D75" s="11"/>
      <c r="I75" s="67"/>
      <c r="M75" s="27"/>
      <c r="N75" s="27"/>
      <c r="O75" s="212"/>
      <c r="P75" s="217"/>
      <c r="Q75" s="30" t="s">
        <v>41</v>
      </c>
      <c r="R75" s="27"/>
      <c r="S75" s="218">
        <f>SUMPRODUCT(O8:O12,E44:E48)+SUMPRODUCT(O17:O19,E53:E55)</f>
        <v>93.645513193911853</v>
      </c>
      <c r="T75" s="27"/>
      <c r="U75" s="218"/>
      <c r="V75" s="27"/>
      <c r="W75" s="210"/>
    </row>
    <row r="76" spans="1:24">
      <c r="A76" s="221" t="s">
        <v>54</v>
      </c>
      <c r="B76" s="201" t="s">
        <v>55</v>
      </c>
      <c r="C76" s="69" t="str">
        <f>+C6</f>
        <v>SC1</v>
      </c>
      <c r="D76" s="69" t="str">
        <f t="shared" ref="D76:I76" si="13">+D6</f>
        <v>SC5</v>
      </c>
      <c r="E76" s="69" t="str">
        <f t="shared" si="13"/>
        <v>SC3</v>
      </c>
      <c r="F76" s="69" t="str">
        <f t="shared" si="13"/>
        <v>SC2 ND</v>
      </c>
      <c r="G76" s="69" t="str">
        <f t="shared" si="13"/>
        <v>SC4</v>
      </c>
      <c r="H76" s="69" t="str">
        <f t="shared" si="13"/>
        <v>SC6</v>
      </c>
      <c r="I76" s="69" t="str">
        <f t="shared" si="13"/>
        <v>SC2 Dem</v>
      </c>
      <c r="J76" s="194"/>
      <c r="K76" s="194"/>
      <c r="N76" s="203"/>
      <c r="O76" s="216"/>
      <c r="P76" s="27"/>
      <c r="Q76" s="27"/>
      <c r="R76" s="27"/>
      <c r="S76" s="27"/>
      <c r="T76" s="27"/>
      <c r="U76" s="27"/>
      <c r="V76" s="27"/>
      <c r="W76" s="210"/>
    </row>
    <row r="77" spans="1:24">
      <c r="A77" s="13"/>
      <c r="B77" s="136"/>
      <c r="C77" s="179"/>
      <c r="D77" s="179"/>
      <c r="E77" s="179"/>
      <c r="F77" s="179"/>
      <c r="N77" s="203"/>
      <c r="O77" s="212"/>
      <c r="P77" s="213"/>
      <c r="Q77" s="30" t="s">
        <v>42</v>
      </c>
      <c r="R77" s="213"/>
      <c r="S77" s="218">
        <f>+SUM(E49:E52)</f>
        <v>92</v>
      </c>
      <c r="T77" s="213"/>
      <c r="U77" s="218"/>
      <c r="V77" s="213"/>
      <c r="W77" s="210"/>
    </row>
    <row r="78" spans="1:24">
      <c r="A78" s="13"/>
      <c r="B78" s="28" t="s">
        <v>56</v>
      </c>
      <c r="C78" s="128">
        <v>1.0840319839898831</v>
      </c>
      <c r="D78" s="128">
        <v>1.0840319839898831</v>
      </c>
      <c r="E78" s="128">
        <v>1.0840319839898831</v>
      </c>
      <c r="F78" s="128">
        <v>1.0840319839898831</v>
      </c>
      <c r="G78" s="128">
        <v>1.080257492375335</v>
      </c>
      <c r="H78" s="128">
        <v>1.080257492375335</v>
      </c>
      <c r="I78" s="128">
        <v>1.0840319839898831</v>
      </c>
      <c r="J78" s="128"/>
      <c r="K78" s="128"/>
      <c r="N78" s="203"/>
      <c r="O78" s="212"/>
      <c r="P78" s="217"/>
      <c r="Q78" s="30" t="s">
        <v>40</v>
      </c>
      <c r="R78" s="27"/>
      <c r="S78" s="218">
        <f>+SUMPRODUCT(E13:E16,E49:E52)</f>
        <v>47.117689472141343</v>
      </c>
      <c r="T78" s="27">
        <f>S78/S77</f>
        <v>0.51214879861023199</v>
      </c>
      <c r="U78" s="218"/>
      <c r="V78" s="27"/>
      <c r="W78" s="210"/>
    </row>
    <row r="79" spans="1:24">
      <c r="A79" s="13"/>
      <c r="J79" s="128"/>
      <c r="K79" s="128"/>
      <c r="N79" s="27"/>
      <c r="O79" s="212"/>
      <c r="P79" s="217"/>
      <c r="Q79" s="30" t="s">
        <v>41</v>
      </c>
      <c r="R79" s="27"/>
      <c r="S79" s="218">
        <f>SUMPRODUCT(O13:O16,E49:E52)</f>
        <v>44.882310527858657</v>
      </c>
      <c r="T79" s="27"/>
      <c r="U79" s="218"/>
      <c r="V79" s="27"/>
      <c r="W79" s="210"/>
    </row>
    <row r="80" spans="1:24">
      <c r="A80" s="13"/>
      <c r="B80" s="28" t="s">
        <v>57</v>
      </c>
      <c r="C80" s="128"/>
      <c r="J80" s="128"/>
      <c r="K80" s="128"/>
      <c r="N80" s="27"/>
      <c r="O80" s="212"/>
      <c r="P80" s="217"/>
      <c r="Q80" s="30"/>
      <c r="R80" s="27"/>
      <c r="S80" s="218"/>
      <c r="T80" s="27"/>
      <c r="U80" s="218"/>
      <c r="V80" s="27"/>
      <c r="W80" s="210"/>
    </row>
    <row r="81" spans="1:23">
      <c r="A81" s="13"/>
      <c r="B81" s="28" t="s">
        <v>58</v>
      </c>
      <c r="C81" s="128">
        <v>1.0706675828807639</v>
      </c>
      <c r="D81" s="128">
        <v>1.0706675828807639</v>
      </c>
      <c r="E81" s="128">
        <v>1.0706675828807639</v>
      </c>
      <c r="F81" s="128">
        <v>1.0706675828807639</v>
      </c>
      <c r="G81" s="128">
        <v>1.0669396247824448</v>
      </c>
      <c r="H81" s="128">
        <v>1.0669396247824448</v>
      </c>
      <c r="I81" s="128">
        <v>1.0706675828807639</v>
      </c>
      <c r="J81" s="128"/>
      <c r="K81" s="128"/>
      <c r="N81" s="27"/>
      <c r="O81" s="212"/>
      <c r="P81" s="217"/>
      <c r="Q81" s="30"/>
      <c r="R81" s="27"/>
      <c r="S81" s="218"/>
      <c r="T81" s="27"/>
      <c r="U81" s="218"/>
      <c r="V81" s="27"/>
      <c r="W81" s="210"/>
    </row>
    <row r="82" spans="1:23">
      <c r="A82" s="13"/>
      <c r="N82" s="203"/>
      <c r="O82" s="209"/>
      <c r="P82" s="27"/>
      <c r="Q82" s="27"/>
      <c r="R82" s="27"/>
      <c r="S82" s="27"/>
      <c r="T82" s="27"/>
      <c r="U82" s="27"/>
      <c r="V82" s="27"/>
      <c r="W82" s="210"/>
    </row>
    <row r="83" spans="1:23">
      <c r="A83" s="221" t="s">
        <v>59</v>
      </c>
      <c r="B83" s="41" t="s">
        <v>60</v>
      </c>
      <c r="N83" s="203"/>
      <c r="O83" s="212"/>
      <c r="P83" s="27" t="s">
        <v>61</v>
      </c>
      <c r="Q83" s="27"/>
      <c r="R83" s="27"/>
      <c r="S83" s="27"/>
      <c r="T83" s="27"/>
      <c r="U83" s="27"/>
      <c r="V83" s="27"/>
      <c r="W83" s="210"/>
    </row>
    <row r="84" spans="1:23">
      <c r="A84" s="13"/>
      <c r="B84" s="2" t="s">
        <v>62</v>
      </c>
      <c r="N84" s="203"/>
      <c r="O84" s="216"/>
      <c r="P84" s="213"/>
      <c r="Q84" s="213"/>
      <c r="R84" s="213"/>
      <c r="S84" s="213" t="str">
        <f>S60</f>
        <v>SC3</v>
      </c>
      <c r="T84" s="213"/>
      <c r="U84" s="213"/>
      <c r="V84" s="213"/>
      <c r="W84" s="210"/>
    </row>
    <row r="85" spans="1:23">
      <c r="A85" s="13"/>
      <c r="B85" s="23" t="s">
        <v>63</v>
      </c>
      <c r="N85" s="27"/>
      <c r="O85" s="212"/>
      <c r="P85" s="27"/>
      <c r="Q85" s="27"/>
      <c r="R85" s="27"/>
      <c r="S85" s="27"/>
      <c r="T85" s="27"/>
      <c r="U85" s="27"/>
      <c r="V85" s="27"/>
      <c r="W85" s="210"/>
    </row>
    <row r="86" spans="1:23">
      <c r="A86" s="13"/>
      <c r="B86" s="41"/>
      <c r="C86" s="69" t="str">
        <f>+C6</f>
        <v>SC1</v>
      </c>
      <c r="D86" s="69" t="str">
        <f t="shared" ref="D86:I86" si="14">+D6</f>
        <v>SC5</v>
      </c>
      <c r="E86" s="69" t="str">
        <f t="shared" si="14"/>
        <v>SC3</v>
      </c>
      <c r="F86" s="69" t="str">
        <f t="shared" si="14"/>
        <v>SC2 ND</v>
      </c>
      <c r="G86" s="69" t="str">
        <f t="shared" si="14"/>
        <v>SC4</v>
      </c>
      <c r="H86" s="69" t="str">
        <f t="shared" si="14"/>
        <v>SC6</v>
      </c>
      <c r="I86" s="69" t="str">
        <f t="shared" si="14"/>
        <v>SC2 Dem</v>
      </c>
      <c r="J86" s="194"/>
      <c r="K86" s="194"/>
      <c r="M86" s="27"/>
      <c r="N86" s="27"/>
      <c r="O86" s="212"/>
      <c r="P86" s="217"/>
      <c r="Q86" s="30" t="s">
        <v>64</v>
      </c>
      <c r="R86" s="217"/>
      <c r="S86" s="217"/>
      <c r="T86" s="217"/>
      <c r="U86" s="217"/>
      <c r="V86" s="217"/>
      <c r="W86" s="210"/>
    </row>
    <row r="87" spans="1:23">
      <c r="A87" s="13"/>
      <c r="M87" s="27"/>
      <c r="N87" s="27"/>
      <c r="O87" s="212"/>
      <c r="P87" s="217"/>
      <c r="Q87" s="222" t="s">
        <v>65</v>
      </c>
      <c r="R87" s="27"/>
      <c r="S87" s="217">
        <f>S74-S63</f>
        <v>24.546680788695106</v>
      </c>
      <c r="T87" s="27"/>
      <c r="U87" s="217"/>
      <c r="V87" s="27"/>
      <c r="W87" s="210"/>
    </row>
    <row r="88" spans="1:23">
      <c r="A88" s="13"/>
      <c r="B88" s="136" t="s">
        <v>66</v>
      </c>
      <c r="C88" s="37">
        <f>(SUMPRODUCT(C13:C16,C49:C52,$C67:$C70)*C78+SUMPRODUCT(M13:M16,C49:C52,$D67:$D70)*C78)/SUM(C49:C52)</f>
        <v>45.765900316763627</v>
      </c>
      <c r="D88" s="37">
        <f t="shared" ref="D88:I88" si="15">(SUMPRODUCT(D13:D16,D49:D52,$C67:$C70)*D78+SUMPRODUCT(N13:N16,D49:D52,$D67:$D70)*D78)/SUM(D49:D52)</f>
        <v>45.091787876752868</v>
      </c>
      <c r="E88" s="37">
        <f t="shared" si="15"/>
        <v>45.41784775047212</v>
      </c>
      <c r="F88" s="37">
        <f t="shared" si="15"/>
        <v>46.358323634973075</v>
      </c>
      <c r="G88" s="37">
        <f t="shared" si="15"/>
        <v>38.398833085144247</v>
      </c>
      <c r="H88" s="37">
        <f t="shared" si="15"/>
        <v>38.359396930227149</v>
      </c>
      <c r="I88" s="37">
        <f t="shared" si="15"/>
        <v>45.548705391830403</v>
      </c>
      <c r="J88" s="37"/>
      <c r="K88" s="37"/>
      <c r="M88" s="27"/>
      <c r="N88" s="27"/>
      <c r="O88" s="216"/>
      <c r="P88" s="217"/>
      <c r="Q88" s="30" t="s">
        <v>67</v>
      </c>
      <c r="R88" s="27"/>
      <c r="S88" s="223">
        <f>S87*(E93-E94)</f>
        <v>262.88943176406491</v>
      </c>
      <c r="T88" s="27"/>
      <c r="U88" s="223"/>
      <c r="V88" s="27"/>
      <c r="W88" s="210"/>
    </row>
    <row r="89" spans="1:23">
      <c r="A89" s="13"/>
      <c r="B89" s="137" t="s">
        <v>68</v>
      </c>
      <c r="C89" s="37">
        <f>(SUMPRODUCT(C13:C16,C49:C52,$C67:$C70)*C78)/SUMPRODUCT(C13:C16,C49:C52)</f>
        <v>56.391240861486857</v>
      </c>
      <c r="D89" s="37">
        <f t="shared" ref="D89:I89" si="16">(SUMPRODUCT(D13:D16,D49:D52,$C67:$C70)*D78)/SUMPRODUCT(D13:D16,D49:D52)</f>
        <v>56.301980490347979</v>
      </c>
      <c r="E89" s="37">
        <f t="shared" si="16"/>
        <v>56.387597366190811</v>
      </c>
      <c r="F89" s="37">
        <f t="shared" si="16"/>
        <v>55.98133599356246</v>
      </c>
      <c r="G89" s="37">
        <f t="shared" si="16"/>
        <v>54.960459762205687</v>
      </c>
      <c r="H89" s="37">
        <f t="shared" si="16"/>
        <v>54.968297275986622</v>
      </c>
      <c r="I89" s="37">
        <f t="shared" si="16"/>
        <v>55.855626051745858</v>
      </c>
      <c r="J89" s="37"/>
      <c r="K89" s="37"/>
      <c r="O89" s="212"/>
      <c r="P89" s="27"/>
      <c r="Q89" s="30" t="s">
        <v>69</v>
      </c>
      <c r="R89" s="27"/>
      <c r="S89" s="224">
        <f>ROUND(S88/S73,2)</f>
        <v>1.47</v>
      </c>
      <c r="T89" s="27"/>
      <c r="U89" s="224"/>
      <c r="V89" s="27"/>
      <c r="W89" s="210"/>
    </row>
    <row r="90" spans="1:23">
      <c r="A90" s="13"/>
      <c r="B90" s="137" t="s">
        <v>70</v>
      </c>
      <c r="C90" s="37">
        <f>(SUMPRODUCT(M13:M16,C49:C52,$D67:$D70)*C78)/SUMPRODUCT(M13:M16,C49:C52)</f>
        <v>33.838822810368832</v>
      </c>
      <c r="D90" s="37">
        <f t="shared" ref="D90:I90" si="17">(SUMPRODUCT(N13:N16,D49:D52,$D67:$D70)*D78)/SUMPRODUCT(N13:N16,D49:D52)</f>
        <v>33.764632831679265</v>
      </c>
      <c r="E90" s="37">
        <f t="shared" si="17"/>
        <v>33.901745974478395</v>
      </c>
      <c r="F90" s="37">
        <f t="shared" si="17"/>
        <v>33.822487629594868</v>
      </c>
      <c r="G90" s="37">
        <f t="shared" si="17"/>
        <v>33.569902440383935</v>
      </c>
      <c r="H90" s="37">
        <f t="shared" si="17"/>
        <v>33.560422223694424</v>
      </c>
      <c r="I90" s="37">
        <f t="shared" si="17"/>
        <v>33.666501337209141</v>
      </c>
      <c r="J90" s="37"/>
      <c r="K90" s="37"/>
      <c r="O90" s="212"/>
      <c r="P90" s="213"/>
      <c r="V90" s="213"/>
      <c r="W90" s="210"/>
    </row>
    <row r="91" spans="1:23">
      <c r="A91" s="13"/>
      <c r="C91" s="225"/>
      <c r="D91" s="225"/>
      <c r="E91" s="225"/>
      <c r="F91" s="225"/>
      <c r="G91" s="225"/>
      <c r="H91" s="225"/>
      <c r="I91" s="225"/>
      <c r="J91" s="225"/>
      <c r="K91" s="225"/>
      <c r="O91" s="212"/>
      <c r="P91" s="217"/>
      <c r="Q91" s="30" t="s">
        <v>71</v>
      </c>
      <c r="R91" s="213"/>
      <c r="S91" s="226"/>
      <c r="T91" s="213"/>
      <c r="U91" s="226"/>
      <c r="V91" s="27"/>
      <c r="W91" s="210"/>
    </row>
    <row r="92" spans="1:23">
      <c r="A92" s="13"/>
      <c r="B92" s="136" t="s">
        <v>72</v>
      </c>
      <c r="C92" s="37">
        <f t="shared" ref="C92:I92" si="18">(SUMPRODUCT(C8:C12,C44:C48,$C62:$C66)*C78+SUMPRODUCT(M8:M12,C44:C48,$D62:$D66)*C78+SUMPRODUCT(C17:C19,C53:C55,$C71:$C73)*C78+SUMPRODUCT(M17:M19,C53:C55,$D71:$D73)*C78)/SUM(C44:C48,C53:C55)</f>
        <v>43.127226496001306</v>
      </c>
      <c r="D92" s="37">
        <f t="shared" si="18"/>
        <v>43.134709552485312</v>
      </c>
      <c r="E92" s="37">
        <f t="shared" si="18"/>
        <v>43.113657642054996</v>
      </c>
      <c r="F92" s="37">
        <f t="shared" si="18"/>
        <v>43.478224518220266</v>
      </c>
      <c r="G92" s="37">
        <f t="shared" si="18"/>
        <v>40.594493907088896</v>
      </c>
      <c r="H92" s="37">
        <f t="shared" si="18"/>
        <v>40.460358266790159</v>
      </c>
      <c r="I92" s="37">
        <f t="shared" si="18"/>
        <v>43.320850196681121</v>
      </c>
      <c r="J92" s="37"/>
      <c r="K92" s="37"/>
      <c r="O92" s="212"/>
      <c r="P92" s="217"/>
      <c r="Q92" s="222" t="s">
        <v>65</v>
      </c>
      <c r="R92" s="27"/>
      <c r="S92" s="217">
        <f>S78-S67</f>
        <v>12.900339814844635</v>
      </c>
      <c r="T92" s="27"/>
      <c r="U92" s="217"/>
      <c r="V92" s="27"/>
      <c r="W92" s="210"/>
    </row>
    <row r="93" spans="1:23">
      <c r="A93" s="13"/>
      <c r="B93" s="137" t="s">
        <v>68</v>
      </c>
      <c r="C93" s="37">
        <f t="shared" ref="C93:I93" si="19">(SUMPRODUCT(C8:C12,C44:C48,$C62:$C66)*C78+SUMPRODUCT(C17:C19,C53:C55,$C71:$C73)*C78)/(SUMPRODUCT(C8:C12,C44:C48)+SUMPRODUCT(C17:C19,C53:C55))</f>
        <v>48.382019478582166</v>
      </c>
      <c r="D93" s="37">
        <f t="shared" si="19"/>
        <v>48.725166944601668</v>
      </c>
      <c r="E93" s="37">
        <f t="shared" si="19"/>
        <v>48.716576019129455</v>
      </c>
      <c r="F93" s="37">
        <f t="shared" si="19"/>
        <v>48.728920131612604</v>
      </c>
      <c r="G93" s="37">
        <f t="shared" si="19"/>
        <v>48.195617753119258</v>
      </c>
      <c r="H93" s="37">
        <f t="shared" si="19"/>
        <v>48.049947885856383</v>
      </c>
      <c r="I93" s="37">
        <f t="shared" si="19"/>
        <v>48.27623641468066</v>
      </c>
      <c r="J93" s="37"/>
      <c r="K93" s="37"/>
      <c r="O93" s="27"/>
      <c r="P93" s="27"/>
      <c r="Q93" s="30" t="s">
        <v>67</v>
      </c>
      <c r="R93" s="27"/>
      <c r="S93" s="223">
        <f>S92*(E89-E90)</f>
        <v>290.07512397918731</v>
      </c>
      <c r="T93" s="27"/>
      <c r="U93" s="223"/>
      <c r="V93" s="27"/>
      <c r="W93" s="27"/>
    </row>
    <row r="94" spans="1:23">
      <c r="A94" s="13"/>
      <c r="B94" s="137" t="s">
        <v>70</v>
      </c>
      <c r="C94" s="37">
        <f t="shared" ref="C94:I94" si="20">(SUMPRODUCT(M8:M12,C44:C48,$D62:$D66)*C78+SUMPRODUCT(M17:M19,C53:C55,$D71:$D73)*C78)/(SUMPRODUCT(M8:M12,C44:C48)+SUMPRODUCT(M17:M19,C53:C55))</f>
        <v>37.762019275722402</v>
      </c>
      <c r="D94" s="37">
        <f t="shared" si="20"/>
        <v>37.999039601955026</v>
      </c>
      <c r="E94" s="37">
        <f t="shared" si="20"/>
        <v>38.006800875716266</v>
      </c>
      <c r="F94" s="37">
        <f t="shared" si="20"/>
        <v>38.081873355798031</v>
      </c>
      <c r="G94" s="37">
        <f t="shared" si="20"/>
        <v>37.554598665111676</v>
      </c>
      <c r="H94" s="37">
        <f t="shared" si="20"/>
        <v>37.440245509271008</v>
      </c>
      <c r="I94" s="37">
        <f t="shared" si="20"/>
        <v>37.677054150880139</v>
      </c>
      <c r="J94" s="37"/>
      <c r="K94" s="37"/>
      <c r="O94" s="27"/>
      <c r="P94" s="27"/>
      <c r="Q94" s="30" t="s">
        <v>69</v>
      </c>
      <c r="R94" s="27"/>
      <c r="S94" s="224">
        <f>ROUND(S93/S77,2)</f>
        <v>3.15</v>
      </c>
      <c r="T94" s="27"/>
      <c r="U94" s="224"/>
      <c r="V94" s="27"/>
      <c r="W94" s="27"/>
    </row>
    <row r="95" spans="1:23">
      <c r="A95" s="13"/>
      <c r="C95" s="225"/>
      <c r="D95" s="225"/>
      <c r="E95" s="225"/>
      <c r="F95" s="225"/>
      <c r="G95" s="225"/>
      <c r="H95" s="225"/>
      <c r="I95" s="225"/>
      <c r="J95" s="225"/>
      <c r="K95" s="225"/>
      <c r="P95" s="27"/>
      <c r="Q95" s="27"/>
      <c r="R95" s="27"/>
      <c r="S95" s="27"/>
      <c r="T95" s="27"/>
      <c r="U95" s="27"/>
      <c r="V95" s="27"/>
      <c r="W95" s="27"/>
    </row>
    <row r="96" spans="1:23">
      <c r="A96" s="13"/>
      <c r="B96" s="28" t="s">
        <v>73</v>
      </c>
      <c r="C96" s="37">
        <f t="shared" ref="C96:I96" si="21">(C88*SUM(C49:C52)+C92*SUM(C44:C48,C53:C55))/C56</f>
        <v>44.232023916485915</v>
      </c>
      <c r="D96" s="225">
        <f t="shared" si="21"/>
        <v>43.758750403041155</v>
      </c>
      <c r="E96" s="225">
        <f t="shared" si="21"/>
        <v>43.895891922403244</v>
      </c>
      <c r="F96" s="225">
        <f t="shared" si="21"/>
        <v>44.321028351042024</v>
      </c>
      <c r="G96" s="225">
        <f t="shared" si="21"/>
        <v>39.974657842649528</v>
      </c>
      <c r="H96" s="225">
        <f t="shared" si="21"/>
        <v>39.82501199593694</v>
      </c>
      <c r="I96" s="225">
        <f t="shared" si="21"/>
        <v>44.137808352833225</v>
      </c>
      <c r="J96" s="225"/>
      <c r="K96" s="225"/>
    </row>
    <row r="97" spans="1:11">
      <c r="A97" s="13"/>
      <c r="C97" s="37"/>
      <c r="D97" s="225"/>
      <c r="E97" s="225"/>
      <c r="F97" s="225"/>
      <c r="G97" s="225"/>
      <c r="H97" s="225"/>
      <c r="I97" s="225"/>
      <c r="J97" s="225"/>
      <c r="K97" s="225"/>
    </row>
    <row r="98" spans="1:11">
      <c r="A98" s="13"/>
      <c r="B98" s="28" t="s">
        <v>74</v>
      </c>
      <c r="C98" s="14">
        <f>SUMPRODUCT(C96:I96,C56:I56)/SUM(C56:I56)</f>
        <v>44.153254990205888</v>
      </c>
      <c r="D98" s="225"/>
      <c r="E98" s="225"/>
      <c r="F98" s="225"/>
      <c r="G98" s="225"/>
      <c r="H98" s="225"/>
      <c r="I98" s="225"/>
      <c r="J98" s="225"/>
      <c r="K98" s="225"/>
    </row>
    <row r="99" spans="1:11">
      <c r="A99" s="13"/>
      <c r="C99" s="37"/>
      <c r="D99" s="225"/>
      <c r="E99" s="225"/>
      <c r="F99" s="225"/>
      <c r="G99" s="225"/>
      <c r="H99" s="225"/>
      <c r="I99" s="225"/>
      <c r="J99" s="225"/>
      <c r="K99" s="225"/>
    </row>
    <row r="100" spans="1:11">
      <c r="A100" s="13"/>
      <c r="C100" s="225"/>
      <c r="D100" s="225"/>
      <c r="E100" s="225"/>
      <c r="F100" s="225"/>
      <c r="G100" s="225"/>
      <c r="H100" s="225"/>
      <c r="I100" s="225"/>
      <c r="J100" s="225"/>
      <c r="K100" s="225"/>
    </row>
    <row r="101" spans="1:11">
      <c r="A101" s="221" t="s">
        <v>75</v>
      </c>
      <c r="B101" s="41" t="s">
        <v>76</v>
      </c>
      <c r="C101" s="225"/>
      <c r="D101" s="225"/>
      <c r="E101" s="225"/>
      <c r="F101" s="225"/>
      <c r="G101" s="225"/>
      <c r="H101" s="225"/>
      <c r="I101" s="225"/>
      <c r="J101" s="225"/>
      <c r="K101" s="225"/>
    </row>
    <row r="102" spans="1:11">
      <c r="A102" s="13"/>
      <c r="B102" s="23" t="s">
        <v>62</v>
      </c>
      <c r="C102" s="225"/>
      <c r="D102" s="225"/>
      <c r="E102" s="225"/>
      <c r="F102" s="225"/>
      <c r="G102" s="225"/>
      <c r="H102" s="225"/>
      <c r="I102" s="225"/>
      <c r="J102" s="225"/>
      <c r="K102" s="225"/>
    </row>
    <row r="103" spans="1:11">
      <c r="A103" s="13"/>
      <c r="B103" s="23" t="s">
        <v>77</v>
      </c>
      <c r="C103" s="225"/>
      <c r="D103" s="225"/>
      <c r="E103" s="225"/>
      <c r="F103" s="225"/>
      <c r="G103" s="225"/>
      <c r="H103" s="225"/>
      <c r="I103" s="225"/>
      <c r="J103" s="225"/>
      <c r="K103" s="225"/>
    </row>
    <row r="104" spans="1:11">
      <c r="A104" s="13"/>
      <c r="B104" s="41"/>
      <c r="C104" s="69" t="str">
        <f>+C6</f>
        <v>SC1</v>
      </c>
      <c r="D104" s="69" t="str">
        <f t="shared" ref="D104:I104" si="22">+D6</f>
        <v>SC5</v>
      </c>
      <c r="E104" s="69" t="str">
        <f t="shared" si="22"/>
        <v>SC3</v>
      </c>
      <c r="F104" s="69" t="str">
        <f t="shared" si="22"/>
        <v>SC2 ND</v>
      </c>
      <c r="G104" s="69" t="str">
        <f t="shared" si="22"/>
        <v>SC4</v>
      </c>
      <c r="H104" s="69" t="str">
        <f t="shared" si="22"/>
        <v>SC6</v>
      </c>
      <c r="I104" s="69" t="str">
        <f t="shared" si="22"/>
        <v>SC2 Dem</v>
      </c>
      <c r="J104" s="194"/>
      <c r="K104" s="194"/>
    </row>
    <row r="105" spans="1:11">
      <c r="A105" s="13"/>
      <c r="C105" s="119"/>
    </row>
    <row r="106" spans="1:11">
      <c r="A106" s="13"/>
      <c r="B106" s="136" t="s">
        <v>66</v>
      </c>
      <c r="C106" s="16">
        <f t="shared" ref="C106:I106" si="23">SUM(C49:C52)*C88/1000</f>
        <v>13943.954508511541</v>
      </c>
      <c r="D106" s="16">
        <f t="shared" si="23"/>
        <v>245.43460141316586</v>
      </c>
      <c r="E106" s="16">
        <f t="shared" si="23"/>
        <v>4.1784419930434353</v>
      </c>
      <c r="F106" s="16">
        <f t="shared" si="23"/>
        <v>539.14730387473685</v>
      </c>
      <c r="G106" s="16">
        <f t="shared" si="23"/>
        <v>68.042732226875614</v>
      </c>
      <c r="H106" s="16">
        <f t="shared" si="23"/>
        <v>62.640895187060934</v>
      </c>
      <c r="I106" s="16">
        <f t="shared" si="23"/>
        <v>8198.3114834755543</v>
      </c>
      <c r="J106" s="16"/>
      <c r="K106" s="16"/>
    </row>
    <row r="107" spans="1:11">
      <c r="A107" s="13"/>
      <c r="B107" s="137" t="s">
        <v>68</v>
      </c>
      <c r="C107" s="16">
        <f t="shared" ref="C107:I107" si="24">SUMPRODUCT(C49:C52,C13:C16)*C89/1000</f>
        <v>9086.4978072231279</v>
      </c>
      <c r="D107" s="16">
        <f t="shared" si="24"/>
        <v>154.02103848206033</v>
      </c>
      <c r="E107" s="16">
        <f t="shared" si="24"/>
        <v>2.6568533027803136</v>
      </c>
      <c r="F107" s="16">
        <f t="shared" si="24"/>
        <v>368.32321251267223</v>
      </c>
      <c r="G107" s="16">
        <f t="shared" si="24"/>
        <v>21.985833893053567</v>
      </c>
      <c r="H107" s="16">
        <f t="shared" si="24"/>
        <v>20.12210304213313</v>
      </c>
      <c r="I107" s="16">
        <f t="shared" si="24"/>
        <v>5383.5919622579913</v>
      </c>
      <c r="J107" s="16"/>
      <c r="K107" s="16"/>
    </row>
    <row r="108" spans="1:11">
      <c r="A108" s="13"/>
      <c r="B108" s="137" t="s">
        <v>70</v>
      </c>
      <c r="C108" s="16">
        <f t="shared" ref="C108:I108" si="25">SUMPRODUCT(C49:C52,M13:M16)*C90/1000</f>
        <v>4857.4567012884136</v>
      </c>
      <c r="D108" s="16">
        <f t="shared" si="25"/>
        <v>91.413562931105517</v>
      </c>
      <c r="E108" s="16">
        <f t="shared" si="25"/>
        <v>1.5215886902631215</v>
      </c>
      <c r="F108" s="16">
        <f t="shared" si="25"/>
        <v>170.82409136206468</v>
      </c>
      <c r="G108" s="16">
        <f t="shared" si="25"/>
        <v>46.056898333822055</v>
      </c>
      <c r="H108" s="16">
        <f t="shared" si="25"/>
        <v>42.518792144927801</v>
      </c>
      <c r="I108" s="16">
        <f t="shared" si="25"/>
        <v>2814.7195212175634</v>
      </c>
      <c r="J108" s="16"/>
      <c r="K108" s="16"/>
    </row>
    <row r="109" spans="1:11">
      <c r="A109" s="13"/>
      <c r="C109" s="143"/>
      <c r="D109" s="143"/>
      <c r="E109" s="143"/>
      <c r="F109" s="143"/>
      <c r="G109" s="143"/>
      <c r="H109" s="143"/>
      <c r="I109" s="143"/>
      <c r="J109" s="143"/>
      <c r="K109" s="143"/>
    </row>
    <row r="110" spans="1:11">
      <c r="A110" s="13"/>
      <c r="B110" s="136" t="s">
        <v>72</v>
      </c>
      <c r="C110" s="143">
        <f t="shared" ref="C110:I110" si="26">SUM(C44:C48,C53:C55)*C92/1000</f>
        <v>18243.291207300008</v>
      </c>
      <c r="D110" s="143">
        <f t="shared" si="26"/>
        <v>501.52726796674671</v>
      </c>
      <c r="E110" s="143">
        <f t="shared" si="26"/>
        <v>7.7173447179278449</v>
      </c>
      <c r="F110" s="143">
        <f t="shared" si="26"/>
        <v>1222.3033258807263</v>
      </c>
      <c r="G110" s="143">
        <f t="shared" si="26"/>
        <v>182.87819505143545</v>
      </c>
      <c r="H110" s="143">
        <f t="shared" si="26"/>
        <v>152.41416959099854</v>
      </c>
      <c r="I110" s="143">
        <f t="shared" si="26"/>
        <v>13466.069679387345</v>
      </c>
      <c r="J110" s="143"/>
      <c r="K110" s="143"/>
    </row>
    <row r="111" spans="1:11">
      <c r="A111" s="13"/>
      <c r="B111" s="137" t="s">
        <v>68</v>
      </c>
      <c r="C111" s="16">
        <f t="shared" ref="C111:I111" si="27">(SUMPRODUCT(C44:C48,C8:C12)+SUMPRODUCT(C53:C55,C17:C19))*C93/1000</f>
        <v>10339.454544109831</v>
      </c>
      <c r="D111" s="16">
        <f t="shared" si="27"/>
        <v>271.2533841393942</v>
      </c>
      <c r="E111" s="16">
        <f t="shared" si="27"/>
        <v>4.1581783450625753</v>
      </c>
      <c r="F111" s="16">
        <f t="shared" si="27"/>
        <v>694.32854623097808</v>
      </c>
      <c r="G111" s="16">
        <f t="shared" si="27"/>
        <v>62.026566591039909</v>
      </c>
      <c r="H111" s="16">
        <f t="shared" si="27"/>
        <v>51.523872612819233</v>
      </c>
      <c r="I111" s="16">
        <f t="shared" si="27"/>
        <v>7990.542063540137</v>
      </c>
      <c r="J111" s="16"/>
      <c r="K111" s="16"/>
    </row>
    <row r="112" spans="1:11">
      <c r="A112" s="13"/>
      <c r="B112" s="137" t="s">
        <v>70</v>
      </c>
      <c r="C112" s="16">
        <f t="shared" ref="C112:I112" si="28">+(SUMPRODUCT(C44:C48,M8:M12)+SUMPRODUCT(C53:C55,M17:M19))*C94/1000</f>
        <v>7903.8366631901745</v>
      </c>
      <c r="D112" s="16">
        <f t="shared" si="28"/>
        <v>230.27388382735256</v>
      </c>
      <c r="E112" s="16">
        <f t="shared" si="28"/>
        <v>3.5591663728652678</v>
      </c>
      <c r="F112" s="16">
        <f t="shared" si="28"/>
        <v>527.97477964974837</v>
      </c>
      <c r="G112" s="16">
        <f t="shared" si="28"/>
        <v>120.85162846039556</v>
      </c>
      <c r="H112" s="16">
        <f t="shared" si="28"/>
        <v>100.89029697817931</v>
      </c>
      <c r="I112" s="16">
        <f t="shared" si="28"/>
        <v>5475.527615847207</v>
      </c>
      <c r="J112" s="16"/>
      <c r="K112" s="16"/>
    </row>
    <row r="113" spans="1:11">
      <c r="A113" s="13"/>
      <c r="C113" s="225"/>
      <c r="D113" s="225"/>
      <c r="E113" s="225"/>
      <c r="F113" s="225"/>
      <c r="G113" s="225"/>
      <c r="H113" s="225"/>
      <c r="I113" s="225"/>
      <c r="J113" s="225"/>
      <c r="K113" s="225"/>
    </row>
    <row r="114" spans="1:11">
      <c r="A114" s="13"/>
      <c r="B114" s="28" t="s">
        <v>73</v>
      </c>
      <c r="C114" s="143">
        <f>+C106+C110</f>
        <v>32187.24571581155</v>
      </c>
      <c r="D114" s="143">
        <f t="shared" ref="D114:I114" si="29">+D106+D110</f>
        <v>746.96186937991251</v>
      </c>
      <c r="E114" s="143">
        <f t="shared" si="29"/>
        <v>11.895786710971279</v>
      </c>
      <c r="F114" s="143">
        <f t="shared" si="29"/>
        <v>1761.4506297554631</v>
      </c>
      <c r="G114" s="143">
        <f t="shared" si="29"/>
        <v>250.92092727831107</v>
      </c>
      <c r="H114" s="143">
        <f t="shared" si="29"/>
        <v>215.05506477805949</v>
      </c>
      <c r="I114" s="143">
        <f t="shared" si="29"/>
        <v>21664.381162862897</v>
      </c>
      <c r="J114" s="143"/>
      <c r="K114" s="143"/>
    </row>
    <row r="115" spans="1:11">
      <c r="A115" s="13"/>
    </row>
    <row r="116" spans="1:11">
      <c r="A116" s="13"/>
      <c r="B116" s="28" t="s">
        <v>74</v>
      </c>
      <c r="C116" s="16">
        <f>SUM(C114:I114)</f>
        <v>56837.911156577167</v>
      </c>
      <c r="D116" s="227"/>
      <c r="E116" s="180"/>
      <c r="F116" s="37"/>
    </row>
    <row r="117" spans="1:11">
      <c r="A117" s="13"/>
    </row>
    <row r="118" spans="1:11">
      <c r="A118" s="13"/>
    </row>
    <row r="119" spans="1:11">
      <c r="A119" s="221" t="s">
        <v>78</v>
      </c>
      <c r="B119" s="59" t="s">
        <v>79</v>
      </c>
      <c r="C119" s="225"/>
    </row>
    <row r="120" spans="1:11">
      <c r="A120" s="13"/>
      <c r="B120" s="2" t="s">
        <v>80</v>
      </c>
      <c r="C120" s="225"/>
    </row>
    <row r="121" spans="1:11">
      <c r="A121" s="13"/>
      <c r="B121" s="23"/>
      <c r="C121" s="225"/>
    </row>
    <row r="122" spans="1:11">
      <c r="A122" s="13"/>
      <c r="B122" s="41"/>
      <c r="C122" s="69" t="str">
        <f>+C6</f>
        <v>SC1</v>
      </c>
      <c r="D122" s="69" t="str">
        <f t="shared" ref="D122:I122" si="30">+D6</f>
        <v>SC5</v>
      </c>
      <c r="E122" s="69" t="str">
        <f t="shared" si="30"/>
        <v>SC3</v>
      </c>
      <c r="F122" s="69" t="str">
        <f t="shared" si="30"/>
        <v>SC2 ND</v>
      </c>
      <c r="G122" s="69" t="str">
        <f t="shared" si="30"/>
        <v>SC4</v>
      </c>
      <c r="H122" s="69" t="str">
        <f t="shared" si="30"/>
        <v>SC6</v>
      </c>
      <c r="I122" s="69" t="str">
        <f t="shared" si="30"/>
        <v>SC2 Dem</v>
      </c>
      <c r="J122" s="194"/>
      <c r="K122" s="194"/>
    </row>
    <row r="123" spans="1:11">
      <c r="A123" s="13"/>
      <c r="C123" s="119"/>
    </row>
    <row r="124" spans="1:11">
      <c r="A124" s="13"/>
      <c r="B124" s="136" t="s">
        <v>66</v>
      </c>
      <c r="C124" s="14">
        <f t="shared" ref="C124:I124" si="31">+C106/SUM(C49:C52)*1000</f>
        <v>45.76590031676362</v>
      </c>
      <c r="D124" s="14">
        <f t="shared" si="31"/>
        <v>45.091787876752868</v>
      </c>
      <c r="E124" s="14">
        <f t="shared" si="31"/>
        <v>45.417847750472127</v>
      </c>
      <c r="F124" s="14">
        <f t="shared" si="31"/>
        <v>46.358323634973075</v>
      </c>
      <c r="G124" s="14">
        <f t="shared" si="31"/>
        <v>38.398833085144254</v>
      </c>
      <c r="H124" s="14">
        <f t="shared" si="31"/>
        <v>38.359396930227149</v>
      </c>
      <c r="I124" s="14">
        <f t="shared" si="31"/>
        <v>45.548705391830403</v>
      </c>
      <c r="J124" s="14"/>
      <c r="K124" s="14"/>
    </row>
    <row r="125" spans="1:11">
      <c r="A125" s="13"/>
      <c r="B125" s="137" t="s">
        <v>81</v>
      </c>
      <c r="C125" s="16"/>
      <c r="D125" s="16"/>
      <c r="E125" s="14">
        <f>E89+S94</f>
        <v>59.537597366190809</v>
      </c>
      <c r="F125" s="16"/>
      <c r="G125" s="16"/>
      <c r="H125" s="16"/>
      <c r="I125" s="16"/>
      <c r="J125" s="14"/>
      <c r="K125" s="14"/>
    </row>
    <row r="126" spans="1:11">
      <c r="A126" s="13"/>
      <c r="B126" s="137" t="s">
        <v>82</v>
      </c>
      <c r="C126" s="16"/>
      <c r="D126" s="16"/>
      <c r="E126" s="14">
        <f>E90+S94</f>
        <v>37.051745974478393</v>
      </c>
      <c r="F126" s="16"/>
      <c r="G126" s="16"/>
      <c r="H126" s="16"/>
      <c r="I126" s="16"/>
      <c r="J126" s="14"/>
      <c r="K126" s="14"/>
    </row>
    <row r="127" spans="1:11">
      <c r="A127" s="13"/>
      <c r="C127" s="143"/>
      <c r="D127" s="143"/>
      <c r="E127" s="143"/>
      <c r="F127" s="143"/>
      <c r="G127" s="143"/>
      <c r="H127" s="143"/>
      <c r="I127" s="143"/>
      <c r="J127" s="143"/>
      <c r="K127" s="143"/>
    </row>
    <row r="128" spans="1:11">
      <c r="A128" s="13"/>
      <c r="B128" s="136" t="s">
        <v>72</v>
      </c>
      <c r="C128" s="225">
        <f t="shared" ref="C128:I128" si="32">+C110/SUM(C44:C48,C53:C55)*1000</f>
        <v>43.127226496001306</v>
      </c>
      <c r="D128" s="225">
        <f t="shared" si="32"/>
        <v>43.134709552485305</v>
      </c>
      <c r="E128" s="225">
        <f t="shared" si="32"/>
        <v>43.113657642054996</v>
      </c>
      <c r="F128" s="225">
        <f t="shared" si="32"/>
        <v>43.478224518220266</v>
      </c>
      <c r="G128" s="225">
        <f t="shared" si="32"/>
        <v>40.594493907088889</v>
      </c>
      <c r="H128" s="225">
        <f t="shared" si="32"/>
        <v>40.460358266790159</v>
      </c>
      <c r="I128" s="225">
        <f t="shared" si="32"/>
        <v>43.320850196681121</v>
      </c>
      <c r="J128" s="225"/>
      <c r="K128" s="225"/>
    </row>
    <row r="129" spans="1:22">
      <c r="A129" s="13"/>
      <c r="B129" s="137" t="s">
        <v>81</v>
      </c>
      <c r="C129" s="16"/>
      <c r="D129" s="16"/>
      <c r="E129" s="14">
        <f>E93+S89</f>
        <v>50.186576019129454</v>
      </c>
      <c r="F129" s="16"/>
      <c r="G129" s="16"/>
      <c r="H129" s="16"/>
      <c r="I129" s="16"/>
      <c r="J129" s="14"/>
      <c r="K129" s="14"/>
    </row>
    <row r="130" spans="1:22">
      <c r="A130" s="13"/>
      <c r="B130" s="137" t="s">
        <v>82</v>
      </c>
      <c r="C130" s="16"/>
      <c r="D130" s="16"/>
      <c r="E130" s="14">
        <f>E94+S89</f>
        <v>39.476800875716265</v>
      </c>
      <c r="F130" s="16"/>
      <c r="G130" s="16"/>
      <c r="H130" s="16"/>
      <c r="I130" s="16"/>
      <c r="J130" s="14"/>
      <c r="K130" s="14"/>
    </row>
    <row r="131" spans="1:22">
      <c r="A131" s="13"/>
      <c r="C131" s="225"/>
      <c r="D131" s="225"/>
      <c r="E131" s="225"/>
      <c r="F131" s="225"/>
      <c r="G131" s="225"/>
      <c r="H131" s="225"/>
      <c r="I131" s="225"/>
      <c r="J131" s="225"/>
      <c r="K131" s="225"/>
    </row>
    <row r="132" spans="1:22">
      <c r="A132" s="13"/>
      <c r="B132" s="28" t="s">
        <v>83</v>
      </c>
      <c r="C132" s="37">
        <f t="shared" ref="C132:I132" si="33">(C124*SUM(C49:C52)+C128*SUM(C44:C48,C53:C55))/C56</f>
        <v>44.232023916485907</v>
      </c>
      <c r="D132" s="37">
        <f t="shared" si="33"/>
        <v>43.758750403041155</v>
      </c>
      <c r="E132" s="37">
        <f t="shared" si="33"/>
        <v>43.895891922403251</v>
      </c>
      <c r="F132" s="37">
        <f t="shared" si="33"/>
        <v>44.321028351042024</v>
      </c>
      <c r="G132" s="37">
        <f t="shared" si="33"/>
        <v>39.97465784264952</v>
      </c>
      <c r="H132" s="37">
        <f t="shared" si="33"/>
        <v>39.82501199593694</v>
      </c>
      <c r="I132" s="37">
        <f t="shared" si="33"/>
        <v>44.137808352833225</v>
      </c>
      <c r="J132" s="37"/>
      <c r="K132" s="37"/>
    </row>
    <row r="133" spans="1:22">
      <c r="A133" s="13"/>
      <c r="B133" s="28" t="s">
        <v>84</v>
      </c>
      <c r="C133" s="14">
        <f>+C116/SUM(C56:I56)*1000</f>
        <v>44.153254990205888</v>
      </c>
    </row>
    <row r="134" spans="1:22">
      <c r="A134" s="13"/>
    </row>
    <row r="135" spans="1:22">
      <c r="A135" s="221" t="s">
        <v>85</v>
      </c>
      <c r="B135" s="59" t="s">
        <v>86</v>
      </c>
    </row>
    <row r="136" spans="1:22">
      <c r="A136" s="13"/>
      <c r="B136" s="2" t="str">
        <f>"Obligations - annual average forecasted for " &amp;M1-1 &amp;"; costs are market estimates"</f>
        <v>Obligations - annual average forecasted for 2012; costs are market estimates</v>
      </c>
    </row>
    <row r="137" spans="1:22">
      <c r="A137" s="13"/>
      <c r="B137" s="23" t="s">
        <v>87</v>
      </c>
      <c r="C137" s="69" t="str">
        <f>+C6</f>
        <v>SC1</v>
      </c>
      <c r="D137" s="69" t="str">
        <f t="shared" ref="D137:I137" si="34">+D6</f>
        <v>SC5</v>
      </c>
      <c r="E137" s="69" t="str">
        <f t="shared" si="34"/>
        <v>SC3</v>
      </c>
      <c r="F137" s="69" t="str">
        <f t="shared" si="34"/>
        <v>SC2 ND</v>
      </c>
      <c r="G137" s="69" t="str">
        <f t="shared" si="34"/>
        <v>SC4</v>
      </c>
      <c r="H137" s="69" t="str">
        <f t="shared" si="34"/>
        <v>SC6</v>
      </c>
      <c r="I137" s="69" t="str">
        <f t="shared" si="34"/>
        <v>SC2 Dem</v>
      </c>
      <c r="J137" s="69" t="s">
        <v>88</v>
      </c>
      <c r="K137" s="194"/>
    </row>
    <row r="138" spans="1:22">
      <c r="A138" s="13"/>
    </row>
    <row r="139" spans="1:22">
      <c r="A139" s="13"/>
      <c r="B139" s="28" t="s">
        <v>89</v>
      </c>
      <c r="C139" s="19">
        <v>301.66500000000002</v>
      </c>
      <c r="D139" s="19">
        <v>4.5789999999999997</v>
      </c>
      <c r="E139" s="19">
        <v>7.8E-2</v>
      </c>
      <c r="F139" s="19">
        <v>12.182</v>
      </c>
      <c r="G139" s="130">
        <v>0</v>
      </c>
      <c r="H139" s="130">
        <v>0</v>
      </c>
      <c r="I139" s="19">
        <v>157.17099999999999</v>
      </c>
      <c r="J139" s="19">
        <f>SUM(C139:I139)</f>
        <v>475.67500000000001</v>
      </c>
      <c r="K139" s="130"/>
      <c r="L139" s="19"/>
      <c r="M139" s="19"/>
      <c r="N139" s="19"/>
      <c r="O139" s="19"/>
      <c r="P139" s="19"/>
      <c r="Q139" s="19"/>
      <c r="R139" s="19"/>
      <c r="S139" s="11"/>
      <c r="T139" s="11"/>
      <c r="U139" s="11"/>
      <c r="V139" s="11"/>
    </row>
    <row r="140" spans="1:22">
      <c r="A140" s="13"/>
      <c r="C140" s="19"/>
      <c r="D140" s="19"/>
      <c r="E140" s="19"/>
      <c r="F140" s="19"/>
      <c r="G140" s="19"/>
      <c r="H140" s="19"/>
      <c r="I140" s="19"/>
      <c r="J140" s="19"/>
    </row>
    <row r="141" spans="1:22">
      <c r="A141" s="13"/>
      <c r="B141" s="28" t="s">
        <v>90</v>
      </c>
      <c r="C141" s="19">
        <v>261.95100000000002</v>
      </c>
      <c r="D141" s="19">
        <v>4.0289999999999999</v>
      </c>
      <c r="E141" s="19">
        <v>6.9000000000000006E-2</v>
      </c>
      <c r="F141" s="19">
        <v>10.292999999999999</v>
      </c>
      <c r="G141" s="130">
        <v>0</v>
      </c>
      <c r="H141" s="130">
        <v>0</v>
      </c>
      <c r="I141" s="19">
        <v>133.238</v>
      </c>
      <c r="J141" s="19">
        <f>SUM(C141:I141)</f>
        <v>409.58000000000004</v>
      </c>
      <c r="K141" s="130"/>
      <c r="L141" s="19"/>
      <c r="M141" s="19"/>
      <c r="N141" s="228" t="s">
        <v>71</v>
      </c>
      <c r="O141" s="228" t="s">
        <v>64</v>
      </c>
      <c r="P141" s="19"/>
      <c r="Q141" s="19"/>
      <c r="R141" s="19"/>
      <c r="S141" s="11"/>
      <c r="T141" s="11"/>
      <c r="U141" s="11"/>
      <c r="V141" s="11"/>
    </row>
    <row r="142" spans="1:22">
      <c r="A142" s="13"/>
      <c r="C142" s="130"/>
      <c r="D142" s="130"/>
      <c r="E142" s="130"/>
      <c r="F142" s="130"/>
      <c r="G142" s="130"/>
      <c r="H142" s="130"/>
      <c r="I142" s="130"/>
      <c r="J142" s="130"/>
      <c r="K142" s="130"/>
      <c r="N142" s="229">
        <f>DATE($M$1,10,1)</f>
        <v>41548</v>
      </c>
      <c r="O142" s="229">
        <f>+DATE($M$1,6,1)</f>
        <v>41426</v>
      </c>
    </row>
    <row r="143" spans="1:22">
      <c r="A143" s="13"/>
      <c r="B143" s="28" t="s">
        <v>91</v>
      </c>
      <c r="G143" s="130"/>
      <c r="H143" s="130"/>
      <c r="I143" s="130"/>
      <c r="J143" s="130"/>
      <c r="K143" s="130"/>
      <c r="N143" s="229">
        <f>+DATE($M$1,6,1)</f>
        <v>41426</v>
      </c>
      <c r="O143" s="229">
        <f>+DATE($M$1-1,10,1)</f>
        <v>41183</v>
      </c>
    </row>
    <row r="144" spans="1:22">
      <c r="A144" s="13"/>
      <c r="D144" s="29" t="s">
        <v>92</v>
      </c>
      <c r="E144" s="132">
        <f>N144</f>
        <v>122</v>
      </c>
      <c r="G144" s="29" t="s">
        <v>93</v>
      </c>
      <c r="H144" s="28">
        <v>4</v>
      </c>
      <c r="I144" s="130"/>
      <c r="J144" s="130"/>
      <c r="K144" s="230"/>
      <c r="L144" s="231"/>
      <c r="N144" s="231">
        <f>N142-N143</f>
        <v>122</v>
      </c>
      <c r="O144" s="231">
        <f>O142-O143</f>
        <v>243</v>
      </c>
    </row>
    <row r="145" spans="1:12">
      <c r="A145" s="13"/>
      <c r="D145" s="31" t="s">
        <v>94</v>
      </c>
      <c r="E145" s="132">
        <f>O144</f>
        <v>243</v>
      </c>
      <c r="G145" s="31" t="s">
        <v>95</v>
      </c>
      <c r="H145" s="28">
        <v>8</v>
      </c>
      <c r="I145" s="130"/>
      <c r="J145" s="130"/>
      <c r="K145" s="230"/>
      <c r="L145" s="231"/>
    </row>
    <row r="146" spans="1:12">
      <c r="A146" s="13"/>
      <c r="G146" s="29" t="s">
        <v>96</v>
      </c>
      <c r="H146" s="28">
        <f>+H144+H145</f>
        <v>12</v>
      </c>
      <c r="I146" s="130"/>
      <c r="J146" s="130"/>
      <c r="K146" s="130"/>
    </row>
    <row r="147" spans="1:12">
      <c r="A147" s="13"/>
      <c r="B147" s="28" t="s">
        <v>97</v>
      </c>
      <c r="C147" s="143">
        <v>32114</v>
      </c>
      <c r="D147" s="134" t="s">
        <v>98</v>
      </c>
      <c r="E147" s="232">
        <f>C147/365</f>
        <v>87.983561643835614</v>
      </c>
      <c r="F147" s="233"/>
    </row>
    <row r="148" spans="1:12">
      <c r="A148" s="13"/>
    </row>
    <row r="149" spans="1:12">
      <c r="A149" s="13"/>
      <c r="B149" s="28" t="s">
        <v>99</v>
      </c>
      <c r="C149" s="28" t="s">
        <v>100</v>
      </c>
      <c r="D149" s="20">
        <f>E449</f>
        <v>176.93</v>
      </c>
      <c r="E149" s="134" t="s">
        <v>101</v>
      </c>
      <c r="G149" s="31" t="s">
        <v>102</v>
      </c>
      <c r="H149" s="29" t="s">
        <v>103</v>
      </c>
      <c r="I149" s="225">
        <f>+D149*365/1000</f>
        <v>64.579450000000008</v>
      </c>
      <c r="J149" s="28" t="s">
        <v>104</v>
      </c>
    </row>
    <row r="150" spans="1:12">
      <c r="A150" s="13"/>
      <c r="B150" s="71" t="s">
        <v>105</v>
      </c>
      <c r="C150" s="28" t="s">
        <v>106</v>
      </c>
      <c r="D150" s="20">
        <f>E451</f>
        <v>168.47</v>
      </c>
      <c r="E150" s="134" t="s">
        <v>101</v>
      </c>
      <c r="H150" s="29" t="s">
        <v>107</v>
      </c>
      <c r="I150" s="225">
        <f>+D150*365/1000</f>
        <v>61.491550000000004</v>
      </c>
      <c r="J150" s="28" t="s">
        <v>104</v>
      </c>
      <c r="L150" s="234"/>
    </row>
    <row r="151" spans="1:12">
      <c r="A151" s="13"/>
      <c r="D151" s="20"/>
      <c r="E151" s="134"/>
      <c r="H151" s="29"/>
      <c r="I151" s="225"/>
      <c r="L151" s="234"/>
    </row>
    <row r="152" spans="1:12">
      <c r="A152" s="13"/>
      <c r="B152" s="71" t="s">
        <v>108</v>
      </c>
      <c r="L152" s="231"/>
    </row>
    <row r="153" spans="1:12">
      <c r="A153" s="13"/>
      <c r="B153" s="2" t="s">
        <v>109</v>
      </c>
    </row>
    <row r="154" spans="1:12">
      <c r="A154" s="13"/>
      <c r="B154" s="23"/>
      <c r="C154" s="24" t="str">
        <f>" ---------- "&amp;C6&amp;" ----------"</f>
        <v xml:space="preserve"> ---------- SC1 ----------</v>
      </c>
      <c r="D154" s="25"/>
      <c r="E154" s="26"/>
      <c r="F154" s="27"/>
      <c r="H154" s="24" t="str">
        <f>" ---------- "&amp;D6&amp;" ----------"</f>
        <v xml:space="preserve"> ---------- SC5 ----------</v>
      </c>
      <c r="I154" s="25"/>
      <c r="J154" s="25"/>
    </row>
    <row r="155" spans="1:12">
      <c r="A155" s="13"/>
      <c r="C155" s="29" t="s">
        <v>110</v>
      </c>
      <c r="D155" s="29"/>
      <c r="E155" s="30" t="s">
        <v>111</v>
      </c>
      <c r="F155" s="27"/>
      <c r="H155" s="31" t="s">
        <v>112</v>
      </c>
      <c r="I155" s="29" t="s">
        <v>113</v>
      </c>
      <c r="J155" s="29" t="s">
        <v>111</v>
      </c>
    </row>
    <row r="156" spans="1:12">
      <c r="A156" s="13"/>
      <c r="B156" s="31" t="s">
        <v>114</v>
      </c>
      <c r="C156" s="34">
        <v>10.273999999999999</v>
      </c>
      <c r="D156" s="28" t="s">
        <v>115</v>
      </c>
      <c r="E156" s="32">
        <v>0.2026</v>
      </c>
      <c r="F156" s="27"/>
      <c r="G156" s="29" t="s">
        <v>114</v>
      </c>
      <c r="H156" s="28">
        <v>9.3460000000000001</v>
      </c>
      <c r="J156" s="33">
        <v>0.31040000000000001</v>
      </c>
    </row>
    <row r="157" spans="1:12">
      <c r="A157" s="13"/>
      <c r="B157" s="31" t="s">
        <v>116</v>
      </c>
      <c r="C157" s="28">
        <v>11.523</v>
      </c>
      <c r="D157" s="28" t="s">
        <v>115</v>
      </c>
      <c r="E157" s="32">
        <v>0.7974</v>
      </c>
      <c r="F157" s="27"/>
      <c r="G157" s="31" t="s">
        <v>117</v>
      </c>
      <c r="H157" s="28">
        <v>10.605</v>
      </c>
      <c r="I157" s="34">
        <f>H157-H156</f>
        <v>1.2590000000000003</v>
      </c>
      <c r="J157" s="33">
        <v>0.35620000000000002</v>
      </c>
    </row>
    <row r="158" spans="1:12">
      <c r="A158" s="13"/>
      <c r="B158" s="29" t="s">
        <v>118</v>
      </c>
      <c r="C158" s="34">
        <f>+C157-C156</f>
        <v>1.2490000000000006</v>
      </c>
      <c r="D158" s="28" t="s">
        <v>115</v>
      </c>
      <c r="E158" s="27"/>
      <c r="F158" s="27"/>
      <c r="G158" s="31" t="s">
        <v>119</v>
      </c>
      <c r="H158" s="28">
        <v>11.452999999999999</v>
      </c>
      <c r="I158" s="34">
        <f>H158-H156</f>
        <v>2.1069999999999993</v>
      </c>
      <c r="J158" s="33">
        <v>0.33350000000000002</v>
      </c>
    </row>
    <row r="159" spans="1:12">
      <c r="A159" s="28"/>
      <c r="E159" s="27"/>
      <c r="F159" s="27"/>
    </row>
    <row r="160" spans="1:12">
      <c r="A160" s="221" t="s">
        <v>120</v>
      </c>
      <c r="B160" s="41" t="s">
        <v>121</v>
      </c>
    </row>
    <row r="161" spans="1:11">
      <c r="A161" s="13"/>
      <c r="B161" s="23" t="s">
        <v>122</v>
      </c>
      <c r="D161" s="35">
        <f>E461</f>
        <v>2.86</v>
      </c>
      <c r="E161" s="71" t="s">
        <v>123</v>
      </c>
      <c r="F161" s="134"/>
    </row>
    <row r="162" spans="1:11">
      <c r="A162" s="13"/>
      <c r="B162" s="23"/>
      <c r="F162" s="134"/>
    </row>
    <row r="163" spans="1:11">
      <c r="A163" s="221" t="s">
        <v>124</v>
      </c>
      <c r="B163" s="41" t="s">
        <v>125</v>
      </c>
    </row>
    <row r="164" spans="1:11">
      <c r="A164" s="186"/>
      <c r="B164" s="41"/>
    </row>
    <row r="165" spans="1:11">
      <c r="A165" s="186"/>
      <c r="B165" s="41"/>
      <c r="C165" s="69" t="str">
        <f t="shared" ref="C165:H165" si="35">+C6</f>
        <v>SC1</v>
      </c>
      <c r="D165" s="69" t="str">
        <f t="shared" si="35"/>
        <v>SC5</v>
      </c>
      <c r="E165" s="69" t="str">
        <f t="shared" si="35"/>
        <v>SC3</v>
      </c>
      <c r="F165" s="69" t="str">
        <f t="shared" si="35"/>
        <v>SC2 ND</v>
      </c>
      <c r="G165" s="69" t="str">
        <f t="shared" si="35"/>
        <v>SC4</v>
      </c>
      <c r="H165" s="69" t="str">
        <f t="shared" si="35"/>
        <v>SC6</v>
      </c>
    </row>
    <row r="166" spans="1:11">
      <c r="A166" s="186"/>
      <c r="B166" s="41"/>
    </row>
    <row r="167" spans="1:11">
      <c r="A167" s="13"/>
      <c r="B167" s="29" t="s">
        <v>126</v>
      </c>
      <c r="C167" s="37">
        <f t="shared" ref="C167:H167" si="36">(+$C$147*C141*$H$146/12)/C56</f>
        <v>11.560256226887512</v>
      </c>
      <c r="D167" s="37">
        <f t="shared" si="36"/>
        <v>7.5798070298769771</v>
      </c>
      <c r="E167" s="37">
        <f>(+$C$147*E141*$H$146/12)/E56</f>
        <v>8.1766273062730619</v>
      </c>
      <c r="F167" s="37">
        <f t="shared" si="36"/>
        <v>8.3171728857912086</v>
      </c>
      <c r="G167" s="37">
        <f t="shared" si="36"/>
        <v>0</v>
      </c>
      <c r="H167" s="37">
        <f t="shared" si="36"/>
        <v>0</v>
      </c>
      <c r="I167" s="37"/>
      <c r="J167" s="37"/>
      <c r="K167" s="37"/>
    </row>
    <row r="168" spans="1:11">
      <c r="A168" s="13"/>
      <c r="B168" s="29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13"/>
      <c r="B169" s="29" t="s">
        <v>127</v>
      </c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13"/>
      <c r="B170" s="29" t="s">
        <v>128</v>
      </c>
      <c r="C170" s="37">
        <f t="shared" ref="C170:H170" si="37">((+$D$149*$E$144*C139)+($D$150*$E$145*C139))/C56</f>
        <v>25.919247194963251</v>
      </c>
      <c r="D170" s="37">
        <f t="shared" si="37"/>
        <v>16.771873751025186</v>
      </c>
      <c r="E170" s="37">
        <f t="shared" si="37"/>
        <v>17.995742656826568</v>
      </c>
      <c r="F170" s="37">
        <f t="shared" si="37"/>
        <v>19.164717005258787</v>
      </c>
      <c r="G170" s="37">
        <f t="shared" si="37"/>
        <v>0</v>
      </c>
      <c r="H170" s="37">
        <f t="shared" si="37"/>
        <v>0</v>
      </c>
      <c r="I170" s="37"/>
      <c r="J170" s="37"/>
      <c r="K170" s="37"/>
    </row>
    <row r="171" spans="1:11">
      <c r="A171" s="13"/>
      <c r="B171" s="29" t="s">
        <v>129</v>
      </c>
      <c r="C171" s="37">
        <f t="shared" ref="C171:H171" si="38">C$139*$D149*$E144/SUM(C$49:C$52)</f>
        <v>21.37185831331233</v>
      </c>
      <c r="D171" s="37">
        <f t="shared" si="38"/>
        <v>18.159070611794967</v>
      </c>
      <c r="E171" s="37">
        <f t="shared" si="38"/>
        <v>18.300716086956523</v>
      </c>
      <c r="F171" s="37">
        <f t="shared" si="38"/>
        <v>22.609980543422189</v>
      </c>
      <c r="G171" s="37">
        <f t="shared" si="38"/>
        <v>0</v>
      </c>
      <c r="H171" s="37">
        <f t="shared" si="38"/>
        <v>0</v>
      </c>
      <c r="I171" s="37"/>
      <c r="J171" s="37"/>
      <c r="K171" s="37"/>
    </row>
    <row r="172" spans="1:11">
      <c r="A172" s="13"/>
      <c r="B172" s="29" t="s">
        <v>130</v>
      </c>
      <c r="C172" s="37">
        <f t="shared" ref="C172:H172" si="39">C$139*$D150*$E145/(SUM(C$44:C$48)+SUM(C$53:C$55))</f>
        <v>29.194572055218423</v>
      </c>
      <c r="D172" s="37">
        <f t="shared" si="39"/>
        <v>16.122479022103725</v>
      </c>
      <c r="E172" s="37">
        <f t="shared" si="39"/>
        <v>17.838996536312852</v>
      </c>
      <c r="F172" s="37">
        <f t="shared" si="39"/>
        <v>17.739454139366128</v>
      </c>
      <c r="G172" s="37">
        <f t="shared" si="39"/>
        <v>0</v>
      </c>
      <c r="H172" s="37">
        <f t="shared" si="39"/>
        <v>0</v>
      </c>
      <c r="I172" s="37"/>
      <c r="J172" s="37"/>
      <c r="K172" s="37"/>
    </row>
    <row r="173" spans="1:11">
      <c r="A173" s="13"/>
      <c r="C173" s="119"/>
      <c r="D173" s="119"/>
      <c r="E173" s="119"/>
      <c r="F173" s="119"/>
      <c r="G173" s="119"/>
      <c r="H173" s="119"/>
      <c r="I173" s="119"/>
      <c r="J173" s="37"/>
      <c r="K173" s="37"/>
    </row>
    <row r="174" spans="1:11">
      <c r="A174" s="13"/>
      <c r="C174" s="135"/>
      <c r="D174" s="135"/>
      <c r="E174" s="135"/>
      <c r="F174" s="135"/>
      <c r="G174" s="135"/>
      <c r="H174" s="135"/>
    </row>
    <row r="175" spans="1:11">
      <c r="A175" s="221" t="s">
        <v>131</v>
      </c>
      <c r="B175" s="41" t="s">
        <v>132</v>
      </c>
    </row>
    <row r="176" spans="1:11">
      <c r="A176" s="13"/>
      <c r="B176" s="41"/>
      <c r="C176" s="119"/>
      <c r="D176" s="119"/>
      <c r="E176" s="119"/>
      <c r="F176" s="119"/>
      <c r="G176" s="119"/>
      <c r="H176" s="119"/>
    </row>
    <row r="177" spans="1:9">
      <c r="A177" s="13"/>
      <c r="B177" s="59" t="s">
        <v>133</v>
      </c>
      <c r="C177" s="135"/>
      <c r="D177" s="135"/>
      <c r="E177" s="135"/>
      <c r="F177" s="135"/>
      <c r="G177" s="135"/>
      <c r="H177" s="135"/>
    </row>
    <row r="178" spans="1:9">
      <c r="A178" s="13"/>
      <c r="B178" s="23"/>
    </row>
    <row r="179" spans="1:9">
      <c r="A179" s="13"/>
      <c r="C179" s="69" t="str">
        <f t="shared" ref="C179:H179" si="40">+C6</f>
        <v>SC1</v>
      </c>
      <c r="D179" s="69" t="str">
        <f t="shared" si="40"/>
        <v>SC5</v>
      </c>
      <c r="E179" s="69" t="str">
        <f t="shared" si="40"/>
        <v>SC3</v>
      </c>
      <c r="F179" s="69" t="str">
        <f t="shared" si="40"/>
        <v>SC2 ND</v>
      </c>
      <c r="G179" s="69" t="str">
        <f t="shared" si="40"/>
        <v>SC4</v>
      </c>
      <c r="H179" s="69" t="str">
        <f t="shared" si="40"/>
        <v>SC6</v>
      </c>
    </row>
    <row r="180" spans="1:9">
      <c r="A180" s="13"/>
      <c r="C180" s="194"/>
      <c r="D180" s="194"/>
      <c r="E180" s="37"/>
      <c r="F180" s="194"/>
    </row>
    <row r="181" spans="1:9">
      <c r="A181" s="13"/>
      <c r="B181" s="136" t="s">
        <v>66</v>
      </c>
      <c r="C181" s="36">
        <f t="shared" ref="C181:H181" si="41">+C124+$D$161+C$167+C171</f>
        <v>81.558014856963467</v>
      </c>
      <c r="D181" s="37">
        <f t="shared" si="41"/>
        <v>73.690665518424808</v>
      </c>
      <c r="E181" s="37">
        <f t="shared" si="41"/>
        <v>74.755191143701708</v>
      </c>
      <c r="F181" s="37">
        <f t="shared" si="41"/>
        <v>80.14547706418648</v>
      </c>
      <c r="G181" s="37">
        <f t="shared" si="41"/>
        <v>41.258833085144254</v>
      </c>
      <c r="H181" s="37">
        <f t="shared" si="41"/>
        <v>41.219396930227148</v>
      </c>
      <c r="I181" s="37"/>
    </row>
    <row r="182" spans="1:9">
      <c r="A182" s="13"/>
      <c r="B182" s="137" t="s">
        <v>81</v>
      </c>
      <c r="C182" s="37"/>
      <c r="D182" s="37"/>
      <c r="E182" s="36">
        <f>+E125+$D$161+E$167+(E171*O48/O49)</f>
        <v>119.77925945343691</v>
      </c>
      <c r="F182" s="37"/>
      <c r="G182" s="37"/>
      <c r="H182" s="37"/>
    </row>
    <row r="183" spans="1:9">
      <c r="A183" s="13"/>
      <c r="B183" s="137" t="s">
        <v>82</v>
      </c>
      <c r="C183" s="37"/>
      <c r="D183" s="37"/>
      <c r="E183" s="36">
        <f>+E126+$D$161+E$167</f>
        <v>48.088373280751455</v>
      </c>
      <c r="F183" s="37"/>
      <c r="G183" s="37"/>
      <c r="H183" s="37"/>
    </row>
    <row r="184" spans="1:9">
      <c r="A184" s="13"/>
      <c r="B184" s="29" t="s">
        <v>134</v>
      </c>
      <c r="C184" s="37">
        <f>(C181*SUM(C49:C52)-C158*10*E157*SUM(C49:C52))/SUM(C49:C52)</f>
        <v>71.598488856963471</v>
      </c>
      <c r="D184" s="37">
        <f>(D181*SUM(D49:D52)-I157*10*J157*SUM(D49:D52)-I158*10*J158*SUM(D49:D52))/SUM(D49:D52)</f>
        <v>62.179262518424814</v>
      </c>
      <c r="E184" s="37"/>
      <c r="F184" s="37"/>
      <c r="G184" s="37"/>
      <c r="H184" s="37"/>
    </row>
    <row r="185" spans="1:9">
      <c r="A185" s="13"/>
      <c r="B185" s="29" t="s">
        <v>135</v>
      </c>
      <c r="C185" s="37">
        <f>C184+C158*10</f>
        <v>84.08848885696348</v>
      </c>
      <c r="D185" s="37">
        <f>D184+I157*10</f>
        <v>74.769262518424824</v>
      </c>
      <c r="E185" s="37"/>
      <c r="F185" s="37"/>
      <c r="G185" s="37"/>
      <c r="H185" s="37"/>
    </row>
    <row r="186" spans="1:9">
      <c r="A186" s="13"/>
      <c r="B186" s="31" t="s">
        <v>136</v>
      </c>
      <c r="C186" s="37"/>
      <c r="D186" s="37">
        <f>D184+I158*10</f>
        <v>83.249262518424814</v>
      </c>
      <c r="E186" s="37"/>
      <c r="F186" s="37"/>
      <c r="G186" s="37"/>
      <c r="H186" s="37"/>
    </row>
    <row r="187" spans="1:9">
      <c r="A187" s="13"/>
      <c r="C187" s="37"/>
      <c r="D187" s="37"/>
      <c r="E187" s="37"/>
      <c r="F187" s="37"/>
      <c r="G187" s="37"/>
      <c r="H187" s="37"/>
    </row>
    <row r="188" spans="1:9">
      <c r="A188" s="13"/>
      <c r="B188" s="136" t="s">
        <v>72</v>
      </c>
      <c r="C188" s="36">
        <f t="shared" ref="C188:H188" si="42">+C128+$D$161+C$167+C172</f>
        <v>86.742054778107246</v>
      </c>
      <c r="D188" s="37">
        <f t="shared" si="42"/>
        <v>69.696995604465997</v>
      </c>
      <c r="E188" s="37">
        <f t="shared" si="42"/>
        <v>71.989281484640912</v>
      </c>
      <c r="F188" s="37">
        <f t="shared" si="42"/>
        <v>72.394851543377598</v>
      </c>
      <c r="G188" s="37">
        <f t="shared" si="42"/>
        <v>43.454493907088889</v>
      </c>
      <c r="H188" s="37">
        <f t="shared" si="42"/>
        <v>43.320358266790159</v>
      </c>
      <c r="I188" s="37"/>
    </row>
    <row r="189" spans="1:9">
      <c r="A189" s="13"/>
      <c r="B189" s="137" t="s">
        <v>81</v>
      </c>
      <c r="C189" s="37"/>
      <c r="D189" s="37"/>
      <c r="E189" s="36">
        <f>+E129+$D$161+E$167+(E172*O44/O45)</f>
        <v>113.73587544987689</v>
      </c>
      <c r="F189" s="37"/>
      <c r="G189" s="37"/>
      <c r="H189" s="37"/>
    </row>
    <row r="190" spans="1:9">
      <c r="A190" s="13"/>
      <c r="B190" s="137" t="s">
        <v>82</v>
      </c>
      <c r="C190" s="37"/>
      <c r="D190" s="37"/>
      <c r="E190" s="36">
        <f>+E130+$D$161+E$167</f>
        <v>50.513428181989326</v>
      </c>
      <c r="F190" s="37"/>
      <c r="G190" s="37"/>
      <c r="H190" s="37"/>
    </row>
    <row r="191" spans="1:9">
      <c r="A191" s="13"/>
      <c r="C191" s="37"/>
      <c r="D191" s="37"/>
      <c r="E191" s="37"/>
      <c r="F191" s="37"/>
      <c r="G191" s="37"/>
      <c r="H191" s="37"/>
    </row>
    <row r="192" spans="1:9">
      <c r="A192" s="13"/>
      <c r="B192" s="28" t="s">
        <v>137</v>
      </c>
      <c r="C192" s="36">
        <f t="shared" ref="C192:H192" si="43">+C132+$D$161+C$167+C170</f>
        <v>84.571527338336665</v>
      </c>
      <c r="D192" s="37">
        <f t="shared" si="43"/>
        <v>70.970431183943319</v>
      </c>
      <c r="E192" s="37">
        <f t="shared" si="43"/>
        <v>72.928261885502877</v>
      </c>
      <c r="F192" s="37">
        <f t="shared" si="43"/>
        <v>74.662918242092019</v>
      </c>
      <c r="G192" s="37">
        <f t="shared" si="43"/>
        <v>42.83465784264952</v>
      </c>
      <c r="H192" s="37">
        <f t="shared" si="43"/>
        <v>42.685011995936939</v>
      </c>
      <c r="I192" s="37"/>
    </row>
    <row r="193" spans="1:9">
      <c r="A193" s="13"/>
      <c r="C193" s="37"/>
      <c r="D193" s="37"/>
      <c r="E193" s="37"/>
      <c r="F193" s="37"/>
      <c r="G193" s="37"/>
      <c r="H193" s="37"/>
      <c r="I193" s="37"/>
    </row>
    <row r="194" spans="1:9">
      <c r="A194" s="13"/>
      <c r="B194" s="59" t="s">
        <v>138</v>
      </c>
    </row>
    <row r="195" spans="1:9">
      <c r="A195" s="13"/>
      <c r="B195" s="23"/>
    </row>
    <row r="196" spans="1:9">
      <c r="A196" s="13"/>
      <c r="C196" s="69" t="str">
        <f>+I6</f>
        <v>SC2 Dem</v>
      </c>
      <c r="D196" s="194"/>
      <c r="E196" s="194"/>
      <c r="G196" s="41" t="s">
        <v>139</v>
      </c>
    </row>
    <row r="197" spans="1:9">
      <c r="A197" s="13"/>
      <c r="C197" s="194"/>
      <c r="D197" s="194"/>
      <c r="F197" s="41"/>
    </row>
    <row r="198" spans="1:9">
      <c r="A198" s="13"/>
      <c r="B198" s="136" t="s">
        <v>66</v>
      </c>
      <c r="C198" s="37">
        <f>+I124+$D$161</f>
        <v>48.408705391830402</v>
      </c>
      <c r="D198" s="37"/>
      <c r="G198" s="235" t="s">
        <v>140</v>
      </c>
    </row>
    <row r="199" spans="1:9">
      <c r="A199" s="13"/>
      <c r="B199" s="137"/>
      <c r="C199" s="37"/>
      <c r="D199" s="37"/>
    </row>
    <row r="200" spans="1:9">
      <c r="A200" s="13"/>
      <c r="B200" s="137"/>
      <c r="C200" s="37"/>
      <c r="D200" s="37"/>
      <c r="H200" s="69" t="str">
        <f>I6</f>
        <v>SC2 Dem</v>
      </c>
      <c r="I200" s="48"/>
    </row>
    <row r="201" spans="1:9">
      <c r="A201" s="13"/>
      <c r="C201" s="37"/>
      <c r="D201" s="37"/>
    </row>
    <row r="202" spans="1:9">
      <c r="A202" s="13"/>
      <c r="B202" s="136" t="s">
        <v>72</v>
      </c>
      <c r="C202" s="37">
        <f>+I128+$D$161</f>
        <v>46.180850196681121</v>
      </c>
      <c r="D202" s="37"/>
      <c r="G202" s="29" t="s">
        <v>100</v>
      </c>
      <c r="H202" s="40">
        <v>7.0129999999999999</v>
      </c>
    </row>
    <row r="203" spans="1:9">
      <c r="A203" s="13"/>
      <c r="B203" s="137"/>
      <c r="C203" s="37"/>
      <c r="D203" s="37"/>
      <c r="G203" s="29" t="s">
        <v>106</v>
      </c>
      <c r="H203" s="40">
        <v>7.2949999999999999</v>
      </c>
    </row>
    <row r="204" spans="1:9">
      <c r="A204" s="13"/>
      <c r="B204" s="137"/>
      <c r="C204" s="37"/>
      <c r="D204" s="37"/>
    </row>
    <row r="205" spans="1:9">
      <c r="A205" s="13"/>
      <c r="B205" s="137"/>
      <c r="C205" s="37"/>
      <c r="D205" s="37"/>
      <c r="G205" s="236" t="s">
        <v>141</v>
      </c>
      <c r="I205" s="134"/>
    </row>
    <row r="206" spans="1:9">
      <c r="A206" s="13"/>
      <c r="B206" s="28" t="s">
        <v>142</v>
      </c>
      <c r="C206" s="37">
        <f>+I132+$D$161</f>
        <v>46.997808352833225</v>
      </c>
      <c r="D206" s="37"/>
      <c r="G206" s="29" t="s">
        <v>143</v>
      </c>
      <c r="H206" s="237">
        <f>+C147/1000/12</f>
        <v>2.6761666666666666</v>
      </c>
      <c r="I206" s="134" t="s">
        <v>144</v>
      </c>
    </row>
    <row r="207" spans="1:9">
      <c r="A207" s="221" t="s">
        <v>131</v>
      </c>
      <c r="B207" s="238" t="s">
        <v>145</v>
      </c>
      <c r="C207" s="37"/>
      <c r="D207" s="37"/>
    </row>
    <row r="208" spans="1:9">
      <c r="A208" s="221"/>
      <c r="C208" s="37"/>
      <c r="D208" s="37"/>
    </row>
    <row r="209" spans="1:9">
      <c r="A209" s="13"/>
      <c r="B209" s="239" t="s">
        <v>146</v>
      </c>
      <c r="C209" s="37"/>
      <c r="D209" s="37"/>
    </row>
    <row r="210" spans="1:9">
      <c r="A210" s="13"/>
      <c r="B210" s="136" t="s">
        <v>66</v>
      </c>
      <c r="C210" s="36">
        <v>75.181442041821583</v>
      </c>
      <c r="D210" s="36"/>
    </row>
    <row r="211" spans="1:9">
      <c r="A211" s="13"/>
      <c r="B211" s="137"/>
      <c r="C211" s="37"/>
      <c r="D211" s="36"/>
    </row>
    <row r="212" spans="1:9">
      <c r="A212" s="13"/>
      <c r="B212" s="137"/>
      <c r="C212" s="37"/>
      <c r="D212" s="36"/>
    </row>
    <row r="213" spans="1:9">
      <c r="A213" s="13"/>
      <c r="C213" s="37"/>
      <c r="D213" s="37"/>
    </row>
    <row r="214" spans="1:9">
      <c r="A214" s="13"/>
      <c r="B214" s="136" t="s">
        <v>72</v>
      </c>
      <c r="C214" s="36">
        <v>76.056113588751998</v>
      </c>
      <c r="D214" s="36"/>
    </row>
    <row r="215" spans="1:9">
      <c r="A215" s="13"/>
      <c r="B215" s="137"/>
      <c r="C215" s="37"/>
      <c r="D215" s="36"/>
      <c r="H215" s="135"/>
      <c r="I215" s="135"/>
    </row>
    <row r="216" spans="1:9">
      <c r="A216" s="13"/>
      <c r="B216" s="137"/>
      <c r="C216" s="37"/>
      <c r="D216" s="36"/>
    </row>
    <row r="217" spans="1:9">
      <c r="A217" s="13"/>
      <c r="B217" s="137"/>
      <c r="C217" s="37"/>
      <c r="D217" s="37"/>
      <c r="H217" s="119"/>
      <c r="I217" s="119"/>
    </row>
    <row r="218" spans="1:9">
      <c r="A218" s="13"/>
      <c r="B218" s="28" t="s">
        <v>147</v>
      </c>
      <c r="C218" s="36">
        <v>75.735370097085735</v>
      </c>
      <c r="D218" s="36"/>
    </row>
    <row r="219" spans="1:9">
      <c r="A219" s="13"/>
      <c r="C219" s="16"/>
      <c r="D219" s="16"/>
    </row>
    <row r="220" spans="1:9">
      <c r="A220" s="13"/>
      <c r="B220" s="41" t="s">
        <v>148</v>
      </c>
      <c r="C220" s="37"/>
      <c r="D220" s="37"/>
    </row>
    <row r="221" spans="1:9">
      <c r="A221" s="13"/>
      <c r="B221" s="29" t="s">
        <v>149</v>
      </c>
      <c r="C221" s="138">
        <f>(+SUMPRODUCT(C192:H192,C56:H56)+SUMPRODUCT(C218,I56))/1000</f>
        <v>103413.43907299734</v>
      </c>
    </row>
    <row r="222" spans="1:9">
      <c r="A222" s="13"/>
      <c r="C222" s="29" t="s">
        <v>150</v>
      </c>
      <c r="D222" s="36">
        <f>+C221/SUM(C56:I56)*1000</f>
        <v>80.334408001477016</v>
      </c>
      <c r="E222" s="28" t="s">
        <v>151</v>
      </c>
    </row>
    <row r="223" spans="1:9">
      <c r="A223" s="13"/>
      <c r="C223" s="29" t="s">
        <v>152</v>
      </c>
      <c r="D223" s="36">
        <f>+C221/SUMPRODUCT(C56:I56,C81:I81)*1000</f>
        <v>75.034442695465358</v>
      </c>
      <c r="E223" s="28" t="s">
        <v>153</v>
      </c>
    </row>
    <row r="224" spans="1:9">
      <c r="A224" s="13"/>
    </row>
    <row r="225" spans="1:11">
      <c r="A225" s="13"/>
      <c r="E225" s="139"/>
    </row>
    <row r="226" spans="1:11">
      <c r="A226" s="221" t="s">
        <v>154</v>
      </c>
      <c r="B226" s="41" t="s">
        <v>155</v>
      </c>
    </row>
    <row r="227" spans="1:11">
      <c r="A227" s="13"/>
      <c r="B227" s="41"/>
    </row>
    <row r="228" spans="1:11">
      <c r="A228" s="13"/>
      <c r="B228" s="41" t="s">
        <v>156</v>
      </c>
    </row>
    <row r="229" spans="1:11">
      <c r="A229" s="13"/>
      <c r="B229" s="23" t="s">
        <v>157</v>
      </c>
    </row>
    <row r="230" spans="1:11">
      <c r="A230" s="13"/>
      <c r="B230" s="41"/>
    </row>
    <row r="231" spans="1:11">
      <c r="A231" s="13"/>
      <c r="C231" s="69" t="str">
        <f t="shared" ref="C231:H231" si="44">+C6</f>
        <v>SC1</v>
      </c>
      <c r="D231" s="69" t="str">
        <f t="shared" si="44"/>
        <v>SC5</v>
      </c>
      <c r="E231" s="69" t="str">
        <f t="shared" si="44"/>
        <v>SC3</v>
      </c>
      <c r="F231" s="69" t="str">
        <f t="shared" si="44"/>
        <v>SC2 ND</v>
      </c>
      <c r="G231" s="69" t="str">
        <f t="shared" si="44"/>
        <v>SC4</v>
      </c>
      <c r="H231" s="69" t="str">
        <f t="shared" si="44"/>
        <v>SC6</v>
      </c>
    </row>
    <row r="232" spans="1:11">
      <c r="A232" s="13"/>
      <c r="C232" s="194"/>
      <c r="D232" s="194"/>
      <c r="E232" s="194"/>
      <c r="F232" s="194"/>
    </row>
    <row r="233" spans="1:11">
      <c r="A233" s="13"/>
      <c r="B233" s="136" t="s">
        <v>66</v>
      </c>
      <c r="C233" s="42">
        <f>ROUND(+C181/$D$223,3)</f>
        <v>1.087</v>
      </c>
      <c r="D233" s="42">
        <f>ROUND(+D181/$D$223,3)</f>
        <v>0.98199999999999998</v>
      </c>
      <c r="E233" s="240"/>
      <c r="F233" s="42">
        <f>ROUND(+F181/$D$223,3)</f>
        <v>1.0680000000000001</v>
      </c>
      <c r="G233" s="42">
        <f>ROUND(+G181/$D$223,3)</f>
        <v>0.55000000000000004</v>
      </c>
      <c r="H233" s="42">
        <f>ROUND(+H181/$D$223,3)</f>
        <v>0.54900000000000004</v>
      </c>
      <c r="I233" s="62"/>
      <c r="J233" s="62"/>
      <c r="K233" s="62"/>
    </row>
    <row r="234" spans="1:11">
      <c r="A234" s="13"/>
      <c r="B234" s="137" t="s">
        <v>81</v>
      </c>
      <c r="C234" s="240"/>
      <c r="D234" s="240"/>
      <c r="E234" s="42">
        <f>ROUND(+E182/$D$223,3)</f>
        <v>1.5960000000000001</v>
      </c>
      <c r="F234" s="240"/>
      <c r="G234" s="240"/>
      <c r="H234" s="240"/>
      <c r="I234" s="62"/>
      <c r="J234" s="62"/>
      <c r="K234" s="62"/>
    </row>
    <row r="235" spans="1:11">
      <c r="A235" s="13"/>
      <c r="B235" s="137" t="s">
        <v>82</v>
      </c>
      <c r="C235" s="240"/>
      <c r="D235" s="240"/>
      <c r="E235" s="42">
        <f>ROUND(+E183/$D$223,3)</f>
        <v>0.64100000000000001</v>
      </c>
      <c r="F235" s="240"/>
      <c r="G235" s="240"/>
      <c r="H235" s="240"/>
      <c r="I235" s="62"/>
      <c r="J235" s="62"/>
      <c r="K235" s="62"/>
    </row>
    <row r="236" spans="1:11">
      <c r="A236" s="13"/>
      <c r="B236" s="137"/>
      <c r="C236" s="240"/>
      <c r="D236" s="240"/>
      <c r="E236" s="241"/>
      <c r="F236" s="240"/>
      <c r="G236" s="240"/>
      <c r="H236" s="240"/>
      <c r="I236" s="62"/>
      <c r="J236" s="62"/>
      <c r="K236" s="62"/>
    </row>
    <row r="237" spans="1:11">
      <c r="A237" s="13"/>
      <c r="B237" s="48"/>
      <c r="E237" s="241"/>
      <c r="F237" s="240"/>
      <c r="G237" s="240"/>
      <c r="H237" s="240"/>
      <c r="I237" s="62"/>
      <c r="J237" s="62"/>
      <c r="K237" s="62"/>
    </row>
    <row r="238" spans="1:11">
      <c r="A238" s="13"/>
      <c r="B238" s="49" t="s">
        <v>158</v>
      </c>
      <c r="C238" s="50">
        <f>C184-C181</f>
        <v>-9.9595259999999968</v>
      </c>
      <c r="D238" s="50">
        <f>D184-D181</f>
        <v>-11.511402999999994</v>
      </c>
      <c r="E238" s="241"/>
      <c r="F238" s="240"/>
      <c r="G238" s="240"/>
      <c r="H238" s="240"/>
      <c r="I238" s="62"/>
      <c r="J238" s="62"/>
      <c r="K238" s="62"/>
    </row>
    <row r="239" spans="1:11">
      <c r="A239" s="13"/>
      <c r="B239" s="49" t="s">
        <v>159</v>
      </c>
      <c r="C239" s="50">
        <f>C185-C181</f>
        <v>2.5304740000000123</v>
      </c>
      <c r="D239" s="50">
        <f>D185-D181</f>
        <v>1.0785970000000162</v>
      </c>
      <c r="E239" s="241"/>
      <c r="F239" s="240"/>
      <c r="G239" s="240"/>
      <c r="H239" s="240"/>
      <c r="I239" s="62"/>
      <c r="J239" s="62"/>
      <c r="K239" s="62"/>
    </row>
    <row r="240" spans="1:11">
      <c r="A240" s="13"/>
      <c r="B240" s="49" t="s">
        <v>160</v>
      </c>
      <c r="C240" s="51" t="s">
        <v>161</v>
      </c>
      <c r="D240" s="50">
        <f>D186-D181</f>
        <v>9.558597000000006</v>
      </c>
      <c r="E240" s="241"/>
      <c r="F240" s="240"/>
      <c r="G240" s="240"/>
      <c r="H240" s="240"/>
      <c r="I240" s="62"/>
      <c r="J240" s="62"/>
      <c r="K240" s="62"/>
    </row>
    <row r="241" spans="1:11">
      <c r="A241" s="13"/>
      <c r="C241" s="240"/>
      <c r="D241" s="240"/>
      <c r="E241" s="240"/>
      <c r="F241" s="240"/>
      <c r="G241" s="240"/>
      <c r="H241" s="240"/>
      <c r="I241" s="62"/>
      <c r="J241" s="62"/>
      <c r="K241" s="62"/>
    </row>
    <row r="242" spans="1:11">
      <c r="A242" s="13"/>
      <c r="B242" s="136" t="s">
        <v>72</v>
      </c>
      <c r="C242" s="42">
        <f>ROUND(+C188/$D$223,3)</f>
        <v>1.1559999999999999</v>
      </c>
      <c r="D242" s="42">
        <f>ROUND(+D188/$D$223,3)</f>
        <v>0.92900000000000005</v>
      </c>
      <c r="E242" s="113"/>
      <c r="F242" s="42">
        <f>ROUND(+F188/$D$223,3)</f>
        <v>0.96499999999999997</v>
      </c>
      <c r="G242" s="42">
        <f>ROUND(+G188/$D$223,3)</f>
        <v>0.57899999999999996</v>
      </c>
      <c r="H242" s="42">
        <f>ROUND(+H188/$D$223,3)</f>
        <v>0.57699999999999996</v>
      </c>
      <c r="I242" s="62"/>
      <c r="J242" s="62"/>
      <c r="K242" s="62"/>
    </row>
    <row r="243" spans="1:11">
      <c r="A243" s="13"/>
      <c r="B243" s="137" t="s">
        <v>81</v>
      </c>
      <c r="C243" s="240"/>
      <c r="D243" s="240"/>
      <c r="E243" s="42">
        <f>ROUND(+E189/$D$223,3)</f>
        <v>1.516</v>
      </c>
      <c r="F243" s="240"/>
      <c r="G243" s="240"/>
      <c r="H243" s="240"/>
      <c r="I243" s="62"/>
      <c r="J243" s="62"/>
      <c r="K243" s="62"/>
    </row>
    <row r="244" spans="1:11">
      <c r="A244" s="13"/>
      <c r="B244" s="137" t="s">
        <v>82</v>
      </c>
      <c r="C244" s="240"/>
      <c r="D244" s="240"/>
      <c r="E244" s="42">
        <f>ROUND(+E190/$D$223,3)</f>
        <v>0.67300000000000004</v>
      </c>
      <c r="F244" s="240"/>
      <c r="G244" s="240"/>
      <c r="H244" s="240"/>
      <c r="I244" s="62"/>
      <c r="J244" s="62"/>
      <c r="K244" s="62"/>
    </row>
    <row r="245" spans="1:11">
      <c r="A245" s="13"/>
      <c r="C245" s="62"/>
      <c r="D245" s="62"/>
      <c r="E245" s="62"/>
      <c r="F245" s="62"/>
      <c r="G245" s="62"/>
      <c r="H245" s="62"/>
      <c r="I245" s="62"/>
      <c r="J245" s="62"/>
      <c r="K245" s="62"/>
    </row>
    <row r="246" spans="1:11">
      <c r="A246" s="13"/>
      <c r="B246" s="28" t="s">
        <v>162</v>
      </c>
      <c r="C246" s="242">
        <f t="shared" ref="C246:H246" si="45">ROUND(+C192/$D$223,3)</f>
        <v>1.127</v>
      </c>
      <c r="D246" s="242">
        <f t="shared" si="45"/>
        <v>0.94599999999999995</v>
      </c>
      <c r="E246" s="242">
        <f t="shared" si="45"/>
        <v>0.97199999999999998</v>
      </c>
      <c r="F246" s="242">
        <f t="shared" si="45"/>
        <v>0.995</v>
      </c>
      <c r="G246" s="242">
        <f t="shared" si="45"/>
        <v>0.57099999999999995</v>
      </c>
      <c r="H246" s="242">
        <f t="shared" si="45"/>
        <v>0.56899999999999995</v>
      </c>
      <c r="I246" s="62"/>
      <c r="J246" s="62"/>
      <c r="K246" s="62"/>
    </row>
    <row r="247" spans="1:11">
      <c r="A247" s="13"/>
    </row>
    <row r="248" spans="1:11">
      <c r="A248" s="221" t="s">
        <v>154</v>
      </c>
      <c r="B248" s="238" t="s">
        <v>145</v>
      </c>
    </row>
    <row r="249" spans="1:11">
      <c r="A249" s="221"/>
      <c r="B249" s="238"/>
    </row>
    <row r="250" spans="1:11">
      <c r="A250" s="13"/>
      <c r="B250" s="41" t="s">
        <v>163</v>
      </c>
    </row>
    <row r="251" spans="1:11">
      <c r="A251" s="13"/>
      <c r="B251" s="23" t="s">
        <v>164</v>
      </c>
    </row>
    <row r="252" spans="1:11">
      <c r="A252" s="13"/>
    </row>
    <row r="253" spans="1:11">
      <c r="A253" s="13"/>
      <c r="C253" s="48" t="str">
        <f>+I6</f>
        <v>SC2 Dem</v>
      </c>
      <c r="D253" s="48" t="str">
        <f>+C253</f>
        <v>SC2 Dem</v>
      </c>
      <c r="E253" s="194"/>
      <c r="F253" s="194"/>
      <c r="G253" s="243" t="s">
        <v>139</v>
      </c>
    </row>
    <row r="254" spans="1:11">
      <c r="A254" s="13"/>
      <c r="C254" s="69" t="s">
        <v>165</v>
      </c>
      <c r="D254" s="69" t="s">
        <v>166</v>
      </c>
      <c r="E254" s="194"/>
      <c r="F254" s="194"/>
      <c r="G254" s="212"/>
    </row>
    <row r="255" spans="1:11">
      <c r="A255" s="13"/>
      <c r="B255" s="136" t="s">
        <v>66</v>
      </c>
      <c r="C255" s="42">
        <f>ROUND(+C210/$D$223,3)</f>
        <v>1.002</v>
      </c>
      <c r="D255" s="244">
        <f>+C198-C210</f>
        <v>-26.772736649991181</v>
      </c>
      <c r="F255" s="148"/>
      <c r="G255" s="245" t="s">
        <v>140</v>
      </c>
    </row>
    <row r="256" spans="1:11">
      <c r="A256" s="13"/>
      <c r="B256" s="246"/>
      <c r="C256" s="240"/>
      <c r="D256" s="41"/>
      <c r="E256" s="241"/>
      <c r="F256" s="247"/>
      <c r="G256" s="212"/>
    </row>
    <row r="257" spans="1:9">
      <c r="A257" s="13"/>
      <c r="B257" s="137"/>
      <c r="C257" s="240"/>
      <c r="D257" s="41"/>
      <c r="E257" s="241"/>
      <c r="F257" s="247"/>
      <c r="G257" s="212"/>
      <c r="H257" s="69" t="str">
        <f>I6</f>
        <v>SC2 Dem</v>
      </c>
      <c r="I257" s="48"/>
    </row>
    <row r="258" spans="1:9">
      <c r="A258" s="13"/>
      <c r="C258" s="240"/>
      <c r="D258" s="41"/>
      <c r="E258" s="240"/>
      <c r="F258" s="247"/>
      <c r="G258" s="212"/>
    </row>
    <row r="259" spans="1:9">
      <c r="A259" s="13"/>
      <c r="B259" s="136" t="s">
        <v>72</v>
      </c>
      <c r="C259" s="42">
        <f>ROUND(+C214/$D$223,3)</f>
        <v>1.014</v>
      </c>
      <c r="D259" s="244">
        <f>+C202-C214</f>
        <v>-29.875263392070877</v>
      </c>
      <c r="E259" s="241"/>
      <c r="F259" s="247"/>
      <c r="G259" s="248" t="s">
        <v>100</v>
      </c>
      <c r="H259" s="40">
        <f>+H202</f>
        <v>7.0129999999999999</v>
      </c>
      <c r="I259" s="14"/>
    </row>
    <row r="260" spans="1:9">
      <c r="A260" s="13"/>
      <c r="B260" s="246"/>
      <c r="C260" s="240"/>
      <c r="E260" s="241"/>
      <c r="F260" s="247"/>
      <c r="G260" s="248" t="s">
        <v>106</v>
      </c>
      <c r="H260" s="40">
        <f>+H203</f>
        <v>7.2949999999999999</v>
      </c>
      <c r="I260" s="14"/>
    </row>
    <row r="261" spans="1:9">
      <c r="A261" s="13"/>
      <c r="B261" s="137"/>
      <c r="C261" s="240"/>
      <c r="E261" s="241"/>
      <c r="F261" s="247"/>
      <c r="G261" s="248"/>
      <c r="H261" s="14"/>
      <c r="I261" s="134"/>
    </row>
    <row r="262" spans="1:9">
      <c r="A262" s="13"/>
      <c r="C262" s="62"/>
      <c r="E262" s="62"/>
      <c r="G262" s="249" t="s">
        <v>141</v>
      </c>
    </row>
    <row r="263" spans="1:9">
      <c r="A263" s="13"/>
      <c r="B263" s="28" t="s">
        <v>147</v>
      </c>
      <c r="C263" s="242">
        <f>ROUND(+C218/$D$223,3)</f>
        <v>1.0089999999999999</v>
      </c>
      <c r="E263" s="62"/>
      <c r="G263" s="248" t="s">
        <v>143</v>
      </c>
      <c r="H263" s="40">
        <f>+H206</f>
        <v>2.6761666666666666</v>
      </c>
      <c r="I263" s="134" t="s">
        <v>144</v>
      </c>
    </row>
    <row r="264" spans="1:9">
      <c r="A264" s="13"/>
      <c r="C264" s="62"/>
      <c r="E264" s="62"/>
    </row>
    <row r="265" spans="1:9">
      <c r="A265" s="13"/>
      <c r="C265" s="62"/>
      <c r="E265" s="62"/>
    </row>
    <row r="266" spans="1:9">
      <c r="A266" s="221" t="s">
        <v>167</v>
      </c>
      <c r="B266" s="59" t="s">
        <v>168</v>
      </c>
    </row>
    <row r="267" spans="1:9">
      <c r="A267" s="13"/>
      <c r="B267" s="41"/>
    </row>
    <row r="268" spans="1:9">
      <c r="A268" s="13"/>
      <c r="B268" s="41" t="s">
        <v>156</v>
      </c>
    </row>
    <row r="269" spans="1:9">
      <c r="A269" s="13"/>
      <c r="B269" s="2" t="s">
        <v>169</v>
      </c>
    </row>
    <row r="270" spans="1:9">
      <c r="A270" s="13"/>
      <c r="B270" s="23" t="s">
        <v>63</v>
      </c>
    </row>
    <row r="271" spans="1:9">
      <c r="A271" s="13"/>
      <c r="C271" s="69" t="str">
        <f t="shared" ref="C271:H271" si="46">+C6</f>
        <v>SC1</v>
      </c>
      <c r="D271" s="69" t="str">
        <f t="shared" si="46"/>
        <v>SC5</v>
      </c>
      <c r="E271" s="69" t="str">
        <f t="shared" si="46"/>
        <v>SC3</v>
      </c>
      <c r="F271" s="69" t="str">
        <f t="shared" si="46"/>
        <v>SC2 ND</v>
      </c>
      <c r="G271" s="69" t="str">
        <f t="shared" si="46"/>
        <v>SC4</v>
      </c>
      <c r="H271" s="69" t="str">
        <f t="shared" si="46"/>
        <v>SC6</v>
      </c>
    </row>
    <row r="272" spans="1:9">
      <c r="A272" s="13"/>
      <c r="C272" s="194"/>
      <c r="D272" s="194"/>
      <c r="E272" s="37"/>
      <c r="F272" s="194"/>
    </row>
    <row r="273" spans="1:9">
      <c r="A273" s="13"/>
      <c r="B273" s="136" t="s">
        <v>66</v>
      </c>
      <c r="C273" s="36">
        <f t="shared" ref="C273:H273" si="47">C181-C$167</f>
        <v>69.99775863007595</v>
      </c>
      <c r="D273" s="36">
        <f t="shared" si="47"/>
        <v>66.110858488547834</v>
      </c>
      <c r="E273" s="36">
        <f t="shared" si="47"/>
        <v>66.578563837428646</v>
      </c>
      <c r="F273" s="36">
        <f t="shared" si="47"/>
        <v>71.828304178395271</v>
      </c>
      <c r="G273" s="36">
        <f t="shared" si="47"/>
        <v>41.258833085144254</v>
      </c>
      <c r="H273" s="36">
        <f t="shared" si="47"/>
        <v>41.219396930227148</v>
      </c>
      <c r="I273" s="37"/>
    </row>
    <row r="274" spans="1:9">
      <c r="A274" s="13"/>
      <c r="B274" s="137" t="s">
        <v>81</v>
      </c>
      <c r="C274" s="37"/>
      <c r="D274" s="37"/>
      <c r="E274" s="36">
        <f>E182-E$167</f>
        <v>111.60263214716385</v>
      </c>
      <c r="F274" s="37"/>
      <c r="G274" s="37"/>
      <c r="H274" s="37"/>
    </row>
    <row r="275" spans="1:9">
      <c r="A275" s="13"/>
      <c r="B275" s="137" t="s">
        <v>82</v>
      </c>
      <c r="C275" s="37"/>
      <c r="D275" s="37"/>
      <c r="E275" s="36">
        <f>E183-E$167</f>
        <v>39.911745974478393</v>
      </c>
      <c r="F275" s="37"/>
      <c r="G275" s="37"/>
      <c r="H275" s="37"/>
    </row>
    <row r="276" spans="1:9">
      <c r="A276" s="13"/>
      <c r="B276" s="29" t="s">
        <v>134</v>
      </c>
      <c r="C276" s="37">
        <f>(C273*SUM(C49:C52)-C158*10*E157*SUM(C49:C52))/SUM(C49:C52)</f>
        <v>60.038232630075946</v>
      </c>
      <c r="D276" s="37">
        <f>(D273*SUM(D49:D52)-I157*10*J157*SUM(D49:D52)-I158*10*J158*SUM(D49:D52))/SUM(D49:D52)</f>
        <v>54.599455488547832</v>
      </c>
      <c r="E276" s="36"/>
      <c r="F276" s="37"/>
      <c r="G276" s="37"/>
      <c r="H276" s="37"/>
    </row>
    <row r="277" spans="1:9">
      <c r="A277" s="13"/>
      <c r="B277" s="29" t="s">
        <v>135</v>
      </c>
      <c r="C277" s="37">
        <f>C276+C158*10</f>
        <v>72.528232630075948</v>
      </c>
      <c r="D277" s="37">
        <f>D276+I157*10</f>
        <v>67.189455488547836</v>
      </c>
      <c r="E277" s="36"/>
      <c r="F277" s="37"/>
      <c r="G277" s="37"/>
      <c r="H277" s="37"/>
    </row>
    <row r="278" spans="1:9">
      <c r="A278" s="13"/>
      <c r="B278" s="31" t="s">
        <v>136</v>
      </c>
      <c r="C278" s="37"/>
      <c r="D278" s="37">
        <f>D276+I158*10</f>
        <v>75.669455488547825</v>
      </c>
      <c r="E278" s="36"/>
      <c r="F278" s="37"/>
      <c r="G278" s="37"/>
      <c r="H278" s="37"/>
    </row>
    <row r="279" spans="1:9">
      <c r="A279" s="13"/>
      <c r="C279" s="37"/>
      <c r="D279" s="37"/>
      <c r="E279" s="37"/>
      <c r="F279" s="37"/>
      <c r="G279" s="37"/>
      <c r="H279" s="37"/>
    </row>
    <row r="280" spans="1:9">
      <c r="A280" s="13"/>
      <c r="B280" s="136" t="s">
        <v>72</v>
      </c>
      <c r="C280" s="36">
        <f t="shared" ref="C280:H280" si="48">C188-C$167</f>
        <v>75.181798551219728</v>
      </c>
      <c r="D280" s="36">
        <f t="shared" si="48"/>
        <v>62.117188574589022</v>
      </c>
      <c r="E280" s="36">
        <f t="shared" si="48"/>
        <v>63.81265417836785</v>
      </c>
      <c r="F280" s="36">
        <f t="shared" si="48"/>
        <v>64.077678657586389</v>
      </c>
      <c r="G280" s="36">
        <f t="shared" si="48"/>
        <v>43.454493907088889</v>
      </c>
      <c r="H280" s="36">
        <f t="shared" si="48"/>
        <v>43.320358266790159</v>
      </c>
      <c r="I280" s="37"/>
    </row>
    <row r="281" spans="1:9">
      <c r="A281" s="13"/>
      <c r="B281" s="137" t="s">
        <v>81</v>
      </c>
      <c r="C281" s="37"/>
      <c r="D281" s="37"/>
      <c r="E281" s="36">
        <f>E189-E$167</f>
        <v>105.55924814360382</v>
      </c>
      <c r="F281" s="37"/>
      <c r="G281" s="37"/>
      <c r="H281" s="37"/>
    </row>
    <row r="282" spans="1:9">
      <c r="A282" s="13"/>
      <c r="B282" s="137" t="s">
        <v>82</v>
      </c>
      <c r="C282" s="37"/>
      <c r="D282" s="37"/>
      <c r="E282" s="36">
        <f>E190-E$167</f>
        <v>42.336800875716264</v>
      </c>
      <c r="F282" s="37"/>
      <c r="G282" s="37"/>
      <c r="H282" s="37"/>
    </row>
    <row r="283" spans="1:9">
      <c r="A283" s="13"/>
      <c r="C283" s="37"/>
      <c r="D283" s="37"/>
      <c r="E283" s="37"/>
      <c r="F283" s="37"/>
      <c r="G283" s="37"/>
      <c r="H283" s="37"/>
    </row>
    <row r="284" spans="1:9">
      <c r="A284" s="13"/>
      <c r="B284" s="28" t="s">
        <v>137</v>
      </c>
      <c r="C284" s="36">
        <f t="shared" ref="C284:H284" si="49">C192-C$167</f>
        <v>73.011271111449147</v>
      </c>
      <c r="D284" s="36">
        <f t="shared" si="49"/>
        <v>63.390624154066344</v>
      </c>
      <c r="E284" s="36">
        <f t="shared" si="49"/>
        <v>64.751634579229815</v>
      </c>
      <c r="F284" s="36">
        <f t="shared" si="49"/>
        <v>66.34574535630081</v>
      </c>
      <c r="G284" s="36">
        <f t="shared" si="49"/>
        <v>42.83465784264952</v>
      </c>
      <c r="H284" s="36">
        <f t="shared" si="49"/>
        <v>42.685011995936939</v>
      </c>
      <c r="I284" s="37"/>
    </row>
    <row r="285" spans="1:9">
      <c r="A285" s="13"/>
      <c r="C285" s="37"/>
      <c r="D285" s="37"/>
      <c r="E285" s="37"/>
      <c r="F285" s="37"/>
      <c r="G285" s="37"/>
      <c r="H285" s="37"/>
      <c r="I285" s="37"/>
    </row>
    <row r="286" spans="1:9">
      <c r="A286" s="221" t="s">
        <v>167</v>
      </c>
      <c r="B286" s="238" t="s">
        <v>145</v>
      </c>
      <c r="C286" s="37"/>
      <c r="D286" s="37"/>
      <c r="E286" s="37"/>
      <c r="F286" s="37"/>
      <c r="G286" s="37"/>
      <c r="H286" s="37"/>
      <c r="I286" s="37"/>
    </row>
    <row r="287" spans="1:9">
      <c r="A287" s="13"/>
      <c r="C287" s="37"/>
      <c r="D287" s="37"/>
      <c r="E287" s="37"/>
      <c r="F287" s="37"/>
      <c r="G287" s="37"/>
      <c r="H287" s="37"/>
      <c r="I287" s="37"/>
    </row>
    <row r="288" spans="1:9">
      <c r="A288" s="13"/>
      <c r="B288" s="41" t="s">
        <v>163</v>
      </c>
    </row>
    <row r="289" spans="1:9">
      <c r="A289" s="13"/>
      <c r="B289" s="2" t="s">
        <v>170</v>
      </c>
    </row>
    <row r="290" spans="1:9">
      <c r="A290" s="13"/>
      <c r="B290" s="13" t="s">
        <v>171</v>
      </c>
    </row>
    <row r="291" spans="1:9">
      <c r="A291" s="13"/>
      <c r="B291" s="13"/>
    </row>
    <row r="292" spans="1:9">
      <c r="A292" s="13"/>
      <c r="C292" s="69" t="str">
        <f>+I6</f>
        <v>SC2 Dem</v>
      </c>
      <c r="D292" s="194"/>
      <c r="E292" s="194"/>
      <c r="G292" s="41" t="s">
        <v>139</v>
      </c>
    </row>
    <row r="293" spans="1:9">
      <c r="A293" s="13"/>
      <c r="C293" s="194"/>
      <c r="D293" s="194"/>
      <c r="F293" s="41"/>
    </row>
    <row r="294" spans="1:9">
      <c r="A294" s="13"/>
      <c r="B294" s="136" t="s">
        <v>66</v>
      </c>
      <c r="C294" s="37">
        <f>C198</f>
        <v>48.408705391830402</v>
      </c>
      <c r="D294" s="37"/>
      <c r="G294" s="235" t="s">
        <v>140</v>
      </c>
    </row>
    <row r="295" spans="1:9">
      <c r="A295" s="13"/>
      <c r="B295" s="137"/>
      <c r="C295" s="37"/>
      <c r="D295" s="37"/>
    </row>
    <row r="296" spans="1:9">
      <c r="A296" s="13"/>
      <c r="B296" s="137"/>
      <c r="C296" s="37"/>
      <c r="D296" s="37"/>
      <c r="H296" s="69" t="str">
        <f>I6</f>
        <v>SC2 Dem</v>
      </c>
      <c r="I296" s="48"/>
    </row>
    <row r="297" spans="1:9">
      <c r="A297" s="13"/>
      <c r="C297" s="37"/>
      <c r="D297" s="37"/>
    </row>
    <row r="298" spans="1:9">
      <c r="A298" s="13"/>
      <c r="B298" s="136" t="s">
        <v>72</v>
      </c>
      <c r="C298" s="37">
        <f>C202</f>
        <v>46.180850196681121</v>
      </c>
      <c r="D298" s="37"/>
      <c r="G298" s="29" t="s">
        <v>100</v>
      </c>
      <c r="H298" s="40">
        <f>H259</f>
        <v>7.0129999999999999</v>
      </c>
      <c r="I298" s="14"/>
    </row>
    <row r="299" spans="1:9">
      <c r="A299" s="13"/>
      <c r="B299" s="137"/>
      <c r="C299" s="37"/>
      <c r="D299" s="37"/>
      <c r="G299" s="29" t="s">
        <v>106</v>
      </c>
      <c r="H299" s="40">
        <f>H260</f>
        <v>7.2949999999999999</v>
      </c>
      <c r="I299" s="14"/>
    </row>
    <row r="300" spans="1:9">
      <c r="A300" s="13"/>
      <c r="B300" s="137"/>
      <c r="C300" s="37"/>
      <c r="D300" s="37"/>
    </row>
    <row r="301" spans="1:9">
      <c r="A301" s="13"/>
      <c r="B301" s="137"/>
      <c r="C301" s="37"/>
      <c r="D301" s="37"/>
      <c r="G301" s="236"/>
      <c r="I301" s="134"/>
    </row>
    <row r="302" spans="1:9">
      <c r="A302" s="13"/>
      <c r="B302" s="28" t="s">
        <v>142</v>
      </c>
      <c r="C302" s="37">
        <f>C206</f>
        <v>46.997808352833225</v>
      </c>
      <c r="D302" s="37"/>
      <c r="G302" s="29"/>
      <c r="H302" s="237"/>
      <c r="I302" s="134"/>
    </row>
    <row r="303" spans="1:9">
      <c r="A303" s="13"/>
      <c r="C303" s="37"/>
      <c r="D303" s="37"/>
    </row>
    <row r="304" spans="1:9">
      <c r="A304" s="13"/>
      <c r="B304" s="250" t="s">
        <v>172</v>
      </c>
      <c r="C304" s="37"/>
      <c r="D304" s="37"/>
      <c r="E304" s="148"/>
    </row>
    <row r="305" spans="1:5">
      <c r="A305" s="13"/>
      <c r="B305" s="136" t="s">
        <v>66</v>
      </c>
      <c r="C305" s="36">
        <v>67.257288603667604</v>
      </c>
      <c r="D305" s="36"/>
      <c r="E305" s="35"/>
    </row>
    <row r="306" spans="1:5">
      <c r="A306" s="13"/>
      <c r="B306" s="137"/>
      <c r="C306" s="37"/>
      <c r="D306" s="36"/>
    </row>
    <row r="307" spans="1:5">
      <c r="A307" s="13"/>
      <c r="B307" s="137"/>
      <c r="C307" s="37"/>
      <c r="D307" s="36"/>
    </row>
    <row r="308" spans="1:5">
      <c r="A308" s="13"/>
      <c r="C308" s="37"/>
      <c r="D308" s="37"/>
    </row>
    <row r="309" spans="1:5">
      <c r="A309" s="13"/>
      <c r="B309" s="136" t="s">
        <v>72</v>
      </c>
      <c r="C309" s="36">
        <v>66.879396077881097</v>
      </c>
      <c r="D309" s="36"/>
    </row>
    <row r="310" spans="1:5">
      <c r="A310" s="13"/>
      <c r="B310" s="137"/>
      <c r="C310" s="37"/>
      <c r="D310" s="36"/>
    </row>
    <row r="311" spans="1:5">
      <c r="A311" s="13"/>
      <c r="B311" s="137"/>
      <c r="C311" s="37"/>
      <c r="D311" s="36"/>
    </row>
    <row r="312" spans="1:5">
      <c r="A312" s="13"/>
      <c r="B312" s="137"/>
      <c r="C312" s="37"/>
      <c r="D312" s="37"/>
    </row>
    <row r="313" spans="1:5">
      <c r="A313" s="13"/>
      <c r="B313" s="28" t="s">
        <v>147</v>
      </c>
      <c r="C313" s="36">
        <v>67.017969887239246</v>
      </c>
      <c r="D313" s="36"/>
    </row>
    <row r="314" spans="1:5">
      <c r="A314" s="13"/>
      <c r="C314" s="16"/>
      <c r="D314" s="16"/>
    </row>
    <row r="315" spans="1:5">
      <c r="A315" s="13"/>
      <c r="B315" s="41" t="s">
        <v>148</v>
      </c>
      <c r="C315" s="37"/>
      <c r="D315" s="37"/>
    </row>
    <row r="316" spans="1:5">
      <c r="A316" s="13"/>
      <c r="B316" s="29" t="s">
        <v>149</v>
      </c>
      <c r="C316" s="138">
        <f>(+SUMPRODUCT(C284:H284,C56:H56)+SUMPRODUCT(C313,I56))/1000</f>
        <v>90260.186952997334</v>
      </c>
    </row>
    <row r="317" spans="1:5">
      <c r="A317" s="13"/>
      <c r="C317" s="29" t="s">
        <v>150</v>
      </c>
      <c r="D317" s="36">
        <f>+C316/SUM(C56:I56)*1000</f>
        <v>70.116599447518183</v>
      </c>
      <c r="E317" s="28" t="s">
        <v>151</v>
      </c>
    </row>
    <row r="318" spans="1:5">
      <c r="A318" s="13"/>
      <c r="C318" s="29" t="s">
        <v>173</v>
      </c>
      <c r="D318" s="36">
        <f>+C316/SUMPRODUCT(C56:I56,C81:I81)*1000</f>
        <v>65.490741690023654</v>
      </c>
      <c r="E318" s="28" t="s">
        <v>174</v>
      </c>
    </row>
    <row r="319" spans="1:5">
      <c r="A319" s="13"/>
    </row>
    <row r="320" spans="1:5">
      <c r="A320" s="221" t="s">
        <v>175</v>
      </c>
      <c r="B320" s="59" t="s">
        <v>176</v>
      </c>
    </row>
    <row r="321" spans="1:11">
      <c r="A321" s="13"/>
      <c r="B321" s="41"/>
    </row>
    <row r="322" spans="1:11">
      <c r="A322" s="13"/>
      <c r="B322" s="41" t="s">
        <v>156</v>
      </c>
    </row>
    <row r="323" spans="1:11">
      <c r="A323" s="13"/>
      <c r="B323" s="23" t="s">
        <v>157</v>
      </c>
    </row>
    <row r="324" spans="1:11">
      <c r="A324" s="13"/>
      <c r="B324" s="41"/>
    </row>
    <row r="325" spans="1:11">
      <c r="A325" s="13"/>
      <c r="C325" s="69" t="str">
        <f t="shared" ref="C325:H325" si="50">+C6</f>
        <v>SC1</v>
      </c>
      <c r="D325" s="69" t="str">
        <f t="shared" si="50"/>
        <v>SC5</v>
      </c>
      <c r="E325" s="69" t="str">
        <f t="shared" si="50"/>
        <v>SC3</v>
      </c>
      <c r="F325" s="69" t="str">
        <f t="shared" si="50"/>
        <v>SC2 ND</v>
      </c>
      <c r="G325" s="69" t="str">
        <f t="shared" si="50"/>
        <v>SC4</v>
      </c>
      <c r="H325" s="69" t="str">
        <f t="shared" si="50"/>
        <v>SC6</v>
      </c>
    </row>
    <row r="326" spans="1:11">
      <c r="A326" s="13"/>
      <c r="C326" s="194"/>
      <c r="D326" s="194"/>
      <c r="E326" s="194"/>
      <c r="F326" s="194"/>
    </row>
    <row r="327" spans="1:11">
      <c r="A327" s="13"/>
      <c r="B327" s="136" t="s">
        <v>66</v>
      </c>
      <c r="C327" s="42">
        <f>ROUND(+C273/$D$318,3)</f>
        <v>1.069</v>
      </c>
      <c r="D327" s="42">
        <f>ROUND(+D273/$D$318,3)</f>
        <v>1.0089999999999999</v>
      </c>
      <c r="E327" s="240"/>
      <c r="F327" s="42">
        <f>ROUND(+F273/$D$318,3)</f>
        <v>1.097</v>
      </c>
      <c r="G327" s="42">
        <f>ROUND(+G273/$D$318,3)</f>
        <v>0.63</v>
      </c>
      <c r="H327" s="42">
        <f>ROUND(+H273/$D$318,3)</f>
        <v>0.629</v>
      </c>
      <c r="I327" s="62"/>
      <c r="J327" s="62"/>
      <c r="K327" s="62"/>
    </row>
    <row r="328" spans="1:11">
      <c r="A328" s="13"/>
      <c r="B328" s="137" t="s">
        <v>81</v>
      </c>
      <c r="C328" s="240"/>
      <c r="D328" s="240"/>
      <c r="E328" s="42">
        <f>ROUND(+E274/$D$318,3)</f>
        <v>1.704</v>
      </c>
      <c r="F328" s="240"/>
      <c r="G328" s="240"/>
      <c r="H328" s="240"/>
      <c r="I328" s="62"/>
      <c r="J328" s="62"/>
      <c r="K328" s="62"/>
    </row>
    <row r="329" spans="1:11">
      <c r="A329" s="13"/>
      <c r="B329" s="137" t="s">
        <v>82</v>
      </c>
      <c r="C329" s="240"/>
      <c r="D329" s="240"/>
      <c r="E329" s="42">
        <f>ROUND(+E275/$D$318,3)</f>
        <v>0.60899999999999999</v>
      </c>
      <c r="F329" s="240"/>
      <c r="G329" s="240"/>
      <c r="H329" s="240"/>
      <c r="I329" s="62"/>
      <c r="J329" s="62"/>
      <c r="K329" s="62"/>
    </row>
    <row r="330" spans="1:11">
      <c r="A330" s="13"/>
      <c r="C330" s="240"/>
      <c r="D330" s="240"/>
      <c r="E330" s="240"/>
      <c r="F330" s="240"/>
      <c r="G330" s="240"/>
      <c r="H330" s="240"/>
      <c r="I330" s="62"/>
      <c r="J330" s="62"/>
      <c r="K330" s="62"/>
    </row>
    <row r="331" spans="1:11">
      <c r="A331" s="13"/>
      <c r="B331" s="48"/>
      <c r="E331" s="240"/>
      <c r="F331" s="240"/>
      <c r="G331" s="240"/>
      <c r="H331" s="240"/>
      <c r="I331" s="62"/>
      <c r="J331" s="62"/>
      <c r="K331" s="62"/>
    </row>
    <row r="332" spans="1:11">
      <c r="A332" s="13"/>
      <c r="B332" s="49" t="s">
        <v>158</v>
      </c>
      <c r="C332" s="50">
        <f>C276-C273</f>
        <v>-9.9595260000000039</v>
      </c>
      <c r="D332" s="50">
        <f>D276-D273</f>
        <v>-11.511403000000001</v>
      </c>
      <c r="E332" s="240"/>
      <c r="F332" s="240"/>
      <c r="G332" s="240"/>
      <c r="H332" s="240"/>
      <c r="I332" s="62"/>
      <c r="J332" s="62"/>
      <c r="K332" s="62"/>
    </row>
    <row r="333" spans="1:11">
      <c r="A333" s="13"/>
      <c r="B333" s="49" t="s">
        <v>159</v>
      </c>
      <c r="C333" s="50">
        <f>C277-C273</f>
        <v>2.5304739999999981</v>
      </c>
      <c r="D333" s="50">
        <f>D277-D273</f>
        <v>1.078597000000002</v>
      </c>
      <c r="E333" s="240"/>
      <c r="F333" s="240"/>
      <c r="G333" s="240"/>
      <c r="H333" s="240"/>
      <c r="I333" s="62"/>
      <c r="J333" s="62"/>
      <c r="K333" s="62"/>
    </row>
    <row r="334" spans="1:11">
      <c r="A334" s="13"/>
      <c r="B334" s="49" t="s">
        <v>160</v>
      </c>
      <c r="C334" s="51" t="s">
        <v>161</v>
      </c>
      <c r="D334" s="50">
        <f>D278-D273</f>
        <v>9.5585969999999918</v>
      </c>
      <c r="E334" s="240"/>
      <c r="F334" s="240"/>
      <c r="G334" s="240"/>
      <c r="H334" s="240"/>
      <c r="I334" s="62"/>
      <c r="J334" s="62"/>
      <c r="K334" s="62"/>
    </row>
    <row r="335" spans="1:11">
      <c r="A335" s="13"/>
      <c r="C335" s="240"/>
      <c r="D335" s="240"/>
      <c r="E335" s="240"/>
      <c r="F335" s="240"/>
      <c r="G335" s="240"/>
      <c r="H335" s="240"/>
      <c r="I335" s="62"/>
      <c r="J335" s="62"/>
      <c r="K335" s="62"/>
    </row>
    <row r="336" spans="1:11">
      <c r="A336" s="13"/>
      <c r="B336" s="136" t="s">
        <v>72</v>
      </c>
      <c r="C336" s="42">
        <f>ROUND(+C280/$D$318,3)</f>
        <v>1.1479999999999999</v>
      </c>
      <c r="D336" s="42">
        <f>ROUND(+D280/$D$318,3)</f>
        <v>0.94799999999999995</v>
      </c>
      <c r="E336" s="113"/>
      <c r="F336" s="42">
        <f>ROUND(+F280/$D$318,3)</f>
        <v>0.97799999999999998</v>
      </c>
      <c r="G336" s="42">
        <f>ROUND(+G280/$D$318,3)</f>
        <v>0.66400000000000003</v>
      </c>
      <c r="H336" s="42">
        <f>ROUND(+H280/$D$318,3)</f>
        <v>0.66100000000000003</v>
      </c>
      <c r="I336" s="62"/>
      <c r="J336" s="62"/>
      <c r="K336" s="62"/>
    </row>
    <row r="337" spans="1:11">
      <c r="A337" s="13"/>
      <c r="B337" s="137" t="s">
        <v>81</v>
      </c>
      <c r="C337" s="240"/>
      <c r="D337" s="240"/>
      <c r="E337" s="42">
        <f>ROUND(+E281/$D$318,3)</f>
        <v>1.6120000000000001</v>
      </c>
      <c r="F337" s="240"/>
      <c r="G337" s="240"/>
      <c r="H337" s="240"/>
      <c r="I337" s="62"/>
      <c r="J337" s="62"/>
      <c r="K337" s="62"/>
    </row>
    <row r="338" spans="1:11">
      <c r="A338" s="13"/>
      <c r="B338" s="137" t="s">
        <v>82</v>
      </c>
      <c r="C338" s="240"/>
      <c r="D338" s="240"/>
      <c r="E338" s="42">
        <f>ROUND(+E282/$D$318,3)</f>
        <v>0.64600000000000002</v>
      </c>
      <c r="F338" s="240"/>
      <c r="G338" s="240"/>
      <c r="H338" s="240"/>
      <c r="I338" s="62"/>
      <c r="J338" s="62"/>
      <c r="K338" s="62"/>
    </row>
    <row r="339" spans="1:11">
      <c r="A339" s="13"/>
      <c r="C339" s="62"/>
      <c r="D339" s="62"/>
      <c r="E339" s="62"/>
      <c r="F339" s="62"/>
      <c r="G339" s="62"/>
      <c r="H339" s="62"/>
      <c r="I339" s="62"/>
      <c r="J339" s="62"/>
      <c r="K339" s="62"/>
    </row>
    <row r="340" spans="1:11">
      <c r="A340" s="13"/>
      <c r="B340" s="28" t="s">
        <v>162</v>
      </c>
      <c r="C340" s="113">
        <f>ROUND(+C284/$D$318,3)</f>
        <v>1.115</v>
      </c>
      <c r="D340" s="113">
        <f>ROUND(+D284/$D$318,3)</f>
        <v>0.96799999999999997</v>
      </c>
      <c r="E340" s="113">
        <f>ROUND(+E284/$D$318,3)</f>
        <v>0.98899999999999999</v>
      </c>
      <c r="F340" s="113">
        <f>ROUND(,3)+F284/$D$318</f>
        <v>1.01305533643708</v>
      </c>
      <c r="G340" s="113">
        <f>ROUND(+G284/$D$318,3)</f>
        <v>0.65400000000000003</v>
      </c>
      <c r="H340" s="113">
        <f>ROUND(+H284/$D$318,3)</f>
        <v>0.65200000000000002</v>
      </c>
      <c r="I340" s="62"/>
      <c r="J340" s="62"/>
      <c r="K340" s="62"/>
    </row>
    <row r="341" spans="1:11">
      <c r="A341" s="13"/>
    </row>
    <row r="342" spans="1:11">
      <c r="A342" s="13"/>
    </row>
    <row r="343" spans="1:11">
      <c r="A343" s="13"/>
      <c r="B343" s="41" t="s">
        <v>163</v>
      </c>
    </row>
    <row r="344" spans="1:11">
      <c r="A344" s="13"/>
      <c r="B344" s="23" t="s">
        <v>177</v>
      </c>
    </row>
    <row r="345" spans="1:11">
      <c r="A345" s="13"/>
    </row>
    <row r="346" spans="1:11">
      <c r="A346" s="13"/>
      <c r="C346" s="48" t="str">
        <f>+I6</f>
        <v>SC2 Dem</v>
      </c>
      <c r="D346" s="48" t="str">
        <f>+C346</f>
        <v>SC2 Dem</v>
      </c>
      <c r="E346" s="194"/>
      <c r="F346" s="194"/>
      <c r="G346" s="243" t="s">
        <v>139</v>
      </c>
    </row>
    <row r="347" spans="1:11">
      <c r="A347" s="13"/>
      <c r="C347" s="69" t="s">
        <v>165</v>
      </c>
      <c r="D347" s="251" t="s">
        <v>166</v>
      </c>
      <c r="E347" s="194"/>
      <c r="F347" s="194"/>
      <c r="G347" s="212"/>
    </row>
    <row r="348" spans="1:11">
      <c r="A348" s="13"/>
      <c r="B348" s="136" t="s">
        <v>66</v>
      </c>
      <c r="C348" s="42">
        <f>ROUND(+C305/$D$318,3)</f>
        <v>1.0269999999999999</v>
      </c>
      <c r="D348" s="252">
        <f>C294-C305</f>
        <v>-18.848583211837202</v>
      </c>
      <c r="F348" s="148"/>
      <c r="G348" s="245" t="s">
        <v>140</v>
      </c>
    </row>
    <row r="349" spans="1:11">
      <c r="A349" s="13"/>
      <c r="B349" s="137"/>
      <c r="C349" s="113"/>
      <c r="D349" s="252"/>
      <c r="E349" s="241"/>
      <c r="F349" s="247"/>
      <c r="G349" s="212"/>
    </row>
    <row r="350" spans="1:11">
      <c r="A350" s="13"/>
      <c r="B350" s="137"/>
      <c r="C350" s="113"/>
      <c r="D350" s="252"/>
      <c r="E350" s="241"/>
      <c r="F350" s="247"/>
      <c r="G350" s="212"/>
      <c r="H350" s="69" t="str">
        <f>I6</f>
        <v>SC2 Dem</v>
      </c>
      <c r="I350" s="48"/>
    </row>
    <row r="351" spans="1:11">
      <c r="A351" s="13"/>
      <c r="C351" s="113"/>
      <c r="D351" s="252"/>
      <c r="E351" s="240"/>
      <c r="F351" s="247"/>
      <c r="G351" s="212"/>
    </row>
    <row r="352" spans="1:11">
      <c r="A352" s="13"/>
      <c r="B352" s="136" t="s">
        <v>72</v>
      </c>
      <c r="C352" s="42">
        <f>ROUND(+C309/$D$318,3)</f>
        <v>1.0209999999999999</v>
      </c>
      <c r="D352" s="252">
        <f>C298-C309</f>
        <v>-20.698545881199976</v>
      </c>
      <c r="E352" s="241"/>
      <c r="F352" s="247"/>
      <c r="G352" s="248" t="s">
        <v>100</v>
      </c>
      <c r="H352" s="40">
        <f>H298</f>
        <v>7.0129999999999999</v>
      </c>
      <c r="I352" s="14"/>
    </row>
    <row r="353" spans="1:11">
      <c r="A353" s="13"/>
      <c r="B353" s="137"/>
      <c r="C353" s="113"/>
      <c r="D353" s="253"/>
      <c r="E353" s="241"/>
      <c r="F353" s="247"/>
      <c r="G353" s="248" t="s">
        <v>106</v>
      </c>
      <c r="H353" s="40">
        <f>H299</f>
        <v>7.2949999999999999</v>
      </c>
      <c r="I353" s="14"/>
    </row>
    <row r="354" spans="1:11">
      <c r="A354" s="13"/>
      <c r="B354" s="137"/>
      <c r="C354" s="113"/>
      <c r="D354" s="253"/>
      <c r="E354" s="241"/>
      <c r="F354" s="247"/>
      <c r="G354" s="248"/>
      <c r="H354" s="14"/>
      <c r="I354" s="134"/>
    </row>
    <row r="355" spans="1:11">
      <c r="A355" s="13"/>
      <c r="C355" s="242"/>
      <c r="D355" s="253"/>
      <c r="E355" s="62"/>
      <c r="G355" s="249"/>
    </row>
    <row r="356" spans="1:11">
      <c r="A356" s="13"/>
      <c r="B356" s="28" t="s">
        <v>147</v>
      </c>
      <c r="C356" s="42">
        <f>ROUND(+C313/$D$318,3)</f>
        <v>1.0229999999999999</v>
      </c>
      <c r="D356" s="253"/>
      <c r="E356" s="62"/>
      <c r="G356" s="248"/>
      <c r="H356" s="14"/>
      <c r="I356" s="134"/>
    </row>
    <row r="357" spans="1:11">
      <c r="A357" s="13"/>
    </row>
    <row r="358" spans="1:11">
      <c r="A358" s="13"/>
      <c r="C358" s="62"/>
      <c r="E358" s="62"/>
    </row>
    <row r="359" spans="1:11">
      <c r="A359" s="221" t="s">
        <v>178</v>
      </c>
      <c r="B359" s="41" t="s">
        <v>179</v>
      </c>
    </row>
    <row r="360" spans="1:11">
      <c r="A360" s="13"/>
      <c r="B360" s="41"/>
    </row>
    <row r="361" spans="1:11">
      <c r="A361" s="13"/>
      <c r="C361" s="69" t="str">
        <f>C6</f>
        <v>SC1</v>
      </c>
      <c r="D361" s="69" t="str">
        <f t="shared" ref="D361:I361" si="51">D6</f>
        <v>SC5</v>
      </c>
      <c r="E361" s="69" t="str">
        <f t="shared" si="51"/>
        <v>SC3</v>
      </c>
      <c r="F361" s="69" t="str">
        <f t="shared" si="51"/>
        <v>SC2 ND</v>
      </c>
      <c r="G361" s="69" t="str">
        <f t="shared" si="51"/>
        <v>SC4</v>
      </c>
      <c r="H361" s="69" t="str">
        <f t="shared" si="51"/>
        <v>SC6</v>
      </c>
      <c r="I361" s="69" t="str">
        <f t="shared" si="51"/>
        <v>SC2 Dem</v>
      </c>
      <c r="J361" s="194"/>
      <c r="K361" s="194"/>
    </row>
    <row r="362" spans="1:11">
      <c r="A362" s="13"/>
      <c r="B362" s="28" t="s">
        <v>180</v>
      </c>
    </row>
    <row r="363" spans="1:11">
      <c r="A363" s="13"/>
      <c r="B363" s="179" t="s">
        <v>71</v>
      </c>
      <c r="C363" s="138">
        <f>(C184*SUM(C49:C52)*E156+C185*SUM(C49:C52)*E157)/1000</f>
        <v>24849.095966619632</v>
      </c>
      <c r="D363" s="138">
        <f>(D184*SUM(D49:D52)*J156+D185*SUM(D49:D52)*J157+D186*SUM(D49:D52)*J158)/1000</f>
        <v>401.13213658937508</v>
      </c>
      <c r="E363" s="143">
        <f>+E181*SUM(E49:E52)/1000</f>
        <v>6.8774775852205572</v>
      </c>
      <c r="F363" s="143">
        <f>+F181*SUM(F49:F52)/1000</f>
        <v>932.09189825648878</v>
      </c>
      <c r="G363" s="143">
        <f>+G181*SUM(G49:G52)/1000</f>
        <v>73.110652226875629</v>
      </c>
      <c r="H363" s="143">
        <f>+H181*SUM(H49:H52)/1000</f>
        <v>67.311275187060929</v>
      </c>
      <c r="I363" s="138">
        <v>13531.907753107465</v>
      </c>
      <c r="J363" s="138"/>
      <c r="K363" s="143"/>
    </row>
    <row r="364" spans="1:11">
      <c r="A364" s="13"/>
      <c r="B364" s="179" t="s">
        <v>64</v>
      </c>
      <c r="C364" s="138">
        <f t="shared" ref="C364:H364" si="52">+C188*SUM(C44:C48,C53:C55)/1000</f>
        <v>36692.843333741926</v>
      </c>
      <c r="D364" s="143">
        <f t="shared" si="52"/>
        <v>810.36696789312623</v>
      </c>
      <c r="E364" s="143">
        <f t="shared" si="52"/>
        <v>12.886081385750725</v>
      </c>
      <c r="F364" s="143">
        <f t="shared" si="52"/>
        <v>2035.2364614389744</v>
      </c>
      <c r="G364" s="143">
        <f t="shared" si="52"/>
        <v>195.76249505143545</v>
      </c>
      <c r="H364" s="143">
        <f t="shared" si="52"/>
        <v>163.18778959099853</v>
      </c>
      <c r="I364" s="138">
        <v>23641.662628495615</v>
      </c>
      <c r="J364" s="138"/>
      <c r="K364" s="143"/>
    </row>
    <row r="365" spans="1:11">
      <c r="A365" s="13"/>
      <c r="B365" s="179" t="s">
        <v>38</v>
      </c>
      <c r="C365" s="144">
        <f>+C364+C363</f>
        <v>61541.939300361555</v>
      </c>
      <c r="D365" s="119">
        <f t="shared" ref="D365:I365" si="53">+D364+D363</f>
        <v>1211.4991044825013</v>
      </c>
      <c r="E365" s="119">
        <f t="shared" si="53"/>
        <v>19.763558970971282</v>
      </c>
      <c r="F365" s="119">
        <f t="shared" si="53"/>
        <v>2967.3283596954634</v>
      </c>
      <c r="G365" s="119">
        <f t="shared" si="53"/>
        <v>268.87314727831108</v>
      </c>
      <c r="H365" s="143">
        <f t="shared" si="53"/>
        <v>230.49906477805945</v>
      </c>
      <c r="I365" s="143">
        <f t="shared" si="53"/>
        <v>37173.57038160308</v>
      </c>
      <c r="J365" s="143"/>
      <c r="K365" s="143"/>
    </row>
    <row r="366" spans="1:11">
      <c r="A366" s="13"/>
      <c r="B366" s="179"/>
    </row>
    <row r="367" spans="1:11">
      <c r="A367" s="13"/>
      <c r="B367" s="28" t="s">
        <v>181</v>
      </c>
    </row>
    <row r="368" spans="1:11">
      <c r="A368" s="13"/>
      <c r="B368" s="179" t="s">
        <v>71</v>
      </c>
      <c r="C368" s="67">
        <f t="shared" ref="C368:I368" si="54">+C363/C365</f>
        <v>0.40377499066678979</v>
      </c>
      <c r="D368" s="67">
        <f t="shared" si="54"/>
        <v>0.33110394807986337</v>
      </c>
      <c r="E368" s="67">
        <f t="shared" si="54"/>
        <v>0.34798780904401871</v>
      </c>
      <c r="F368" s="67">
        <f t="shared" si="54"/>
        <v>0.31411821856889111</v>
      </c>
      <c r="G368" s="67">
        <f t="shared" si="54"/>
        <v>0.27191503862302269</v>
      </c>
      <c r="H368" s="67">
        <f t="shared" si="54"/>
        <v>0.29202407069144903</v>
      </c>
      <c r="I368" s="67">
        <f t="shared" si="54"/>
        <v>0.36401958741644858</v>
      </c>
      <c r="J368" s="67"/>
      <c r="K368" s="67"/>
    </row>
    <row r="369" spans="1:11">
      <c r="A369" s="13"/>
      <c r="B369" s="179" t="s">
        <v>64</v>
      </c>
      <c r="C369" s="67">
        <f t="shared" ref="C369:I369" si="55">+C364/C365</f>
        <v>0.59622500933321021</v>
      </c>
      <c r="D369" s="67">
        <f t="shared" si="55"/>
        <v>0.66889605192013668</v>
      </c>
      <c r="E369" s="67">
        <f t="shared" si="55"/>
        <v>0.65201219095598129</v>
      </c>
      <c r="F369" s="67">
        <f t="shared" si="55"/>
        <v>0.68588178143110878</v>
      </c>
      <c r="G369" s="67">
        <f t="shared" si="55"/>
        <v>0.72808496137697731</v>
      </c>
      <c r="H369" s="67">
        <f t="shared" si="55"/>
        <v>0.70797592930855102</v>
      </c>
      <c r="I369" s="67">
        <f t="shared" si="55"/>
        <v>0.63598041258355142</v>
      </c>
      <c r="J369" s="67"/>
      <c r="K369" s="67"/>
    </row>
    <row r="370" spans="1:11">
      <c r="A370" s="13"/>
    </row>
    <row r="371" spans="1:11">
      <c r="A371" s="13"/>
      <c r="B371" s="28" t="s">
        <v>182</v>
      </c>
    </row>
    <row r="372" spans="1:11">
      <c r="A372" s="13"/>
      <c r="B372" s="179" t="s">
        <v>71</v>
      </c>
      <c r="C372" s="145">
        <f>+SUM(C363:I363)</f>
        <v>39861.527159572113</v>
      </c>
    </row>
    <row r="373" spans="1:11">
      <c r="A373" s="13"/>
      <c r="B373" s="179" t="s">
        <v>64</v>
      </c>
      <c r="C373" s="145">
        <f>+SUM(C364:I364)</f>
        <v>63551.94575759783</v>
      </c>
    </row>
    <row r="374" spans="1:11">
      <c r="A374" s="13"/>
      <c r="B374" s="179" t="s">
        <v>38</v>
      </c>
      <c r="C374" s="119">
        <f>+C373+C372</f>
        <v>103413.47291716994</v>
      </c>
    </row>
    <row r="375" spans="1:11">
      <c r="A375" s="13"/>
    </row>
    <row r="376" spans="1:11">
      <c r="A376" s="13"/>
      <c r="B376" s="28" t="s">
        <v>183</v>
      </c>
      <c r="D376" s="28" t="s">
        <v>184</v>
      </c>
      <c r="I376" s="254" t="s">
        <v>185</v>
      </c>
      <c r="J376" s="254"/>
    </row>
    <row r="377" spans="1:11">
      <c r="A377" s="13"/>
      <c r="B377" s="179" t="s">
        <v>71</v>
      </c>
      <c r="C377" s="67">
        <f>+C372/C374</f>
        <v>0.38545777484428556</v>
      </c>
      <c r="E377" s="36">
        <f>+C372/SUMPRODUCT(M48:S48,C81:I81)*1000</f>
        <v>73.690540914009134</v>
      </c>
      <c r="F377" s="28" t="s">
        <v>186</v>
      </c>
      <c r="I377" s="179" t="s">
        <v>71</v>
      </c>
      <c r="J377" s="255">
        <f>ROUND(E377/$D$223,4)</f>
        <v>0.98209999999999997</v>
      </c>
      <c r="K377" s="255"/>
    </row>
    <row r="378" spans="1:11">
      <c r="A378" s="13"/>
      <c r="B378" s="179" t="s">
        <v>64</v>
      </c>
      <c r="C378" s="67">
        <f>+C373/C374</f>
        <v>0.61454222515571444</v>
      </c>
      <c r="E378" s="36">
        <f>+C373/SUMPRODUCT(M44:S44,C81:I81)*1000</f>
        <v>75.902719949451409</v>
      </c>
      <c r="F378" s="28" t="s">
        <v>186</v>
      </c>
      <c r="I378" s="179" t="s">
        <v>64</v>
      </c>
      <c r="J378" s="255">
        <f>ROUND(E378/$D$223,4)</f>
        <v>1.0116000000000001</v>
      </c>
      <c r="K378" s="255"/>
    </row>
    <row r="379" spans="1:11">
      <c r="A379" s="13"/>
    </row>
    <row r="380" spans="1:11">
      <c r="A380" s="13"/>
      <c r="C380" s="62"/>
      <c r="E380" s="62"/>
    </row>
    <row r="381" spans="1:11">
      <c r="A381" s="221" t="s">
        <v>187</v>
      </c>
      <c r="B381" s="59" t="s">
        <v>188</v>
      </c>
    </row>
    <row r="382" spans="1:11">
      <c r="A382" s="13"/>
      <c r="B382" s="41"/>
    </row>
    <row r="383" spans="1:11">
      <c r="A383" s="13"/>
      <c r="C383" s="69" t="str">
        <f>C6</f>
        <v>SC1</v>
      </c>
      <c r="D383" s="69" t="str">
        <f t="shared" ref="D383:I383" si="56">D6</f>
        <v>SC5</v>
      </c>
      <c r="E383" s="69" t="str">
        <f t="shared" si="56"/>
        <v>SC3</v>
      </c>
      <c r="F383" s="69" t="str">
        <f t="shared" si="56"/>
        <v>SC2 ND</v>
      </c>
      <c r="G383" s="69" t="str">
        <f t="shared" si="56"/>
        <v>SC4</v>
      </c>
      <c r="H383" s="69" t="str">
        <f t="shared" si="56"/>
        <v>SC6</v>
      </c>
      <c r="I383" s="69" t="str">
        <f t="shared" si="56"/>
        <v>SC2 Dem</v>
      </c>
      <c r="J383" s="194"/>
      <c r="K383" s="194"/>
    </row>
    <row r="384" spans="1:11">
      <c r="A384" s="13"/>
      <c r="B384" s="28" t="s">
        <v>180</v>
      </c>
    </row>
    <row r="385" spans="1:11">
      <c r="A385" s="13"/>
      <c r="B385" s="179" t="s">
        <v>71</v>
      </c>
      <c r="C385" s="138">
        <f>(C276*SUM(C49:C52)*E156+C277*SUM(C49:C52)*E157)/1000</f>
        <v>21326.917099411541</v>
      </c>
      <c r="D385" s="138">
        <f>(D276*SUM(D49:D52)*J156+D277*SUM(D49:D52)*J157+D278*SUM(D49:D52)*J158)/1000</f>
        <v>359.87112123678827</v>
      </c>
      <c r="E385" s="138">
        <f>+E273*SUM(E49:E52)/1000</f>
        <v>6.1252278730434355</v>
      </c>
      <c r="F385" s="138">
        <f>+F273*SUM(F49:F52)/1000</f>
        <v>835.36317759473707</v>
      </c>
      <c r="G385" s="138">
        <f>+G273*SUM(G49:G52)/1000</f>
        <v>73.110652226875629</v>
      </c>
      <c r="H385" s="138">
        <f>+H273*SUM(H49:H52)/1000</f>
        <v>67.311275187060929</v>
      </c>
      <c r="I385" s="138">
        <v>12105.639375774132</v>
      </c>
      <c r="J385" s="138"/>
      <c r="K385" s="143"/>
    </row>
    <row r="386" spans="1:11">
      <c r="A386" s="13"/>
      <c r="B386" s="179" t="s">
        <v>64</v>
      </c>
      <c r="C386" s="138">
        <f t="shared" ref="C386:H386" si="57">+C280*SUM(C44:C48,C53:C55)/1000</f>
        <v>31802.727786950007</v>
      </c>
      <c r="D386" s="138">
        <f t="shared" si="57"/>
        <v>722.23655155674658</v>
      </c>
      <c r="E386" s="138">
        <f t="shared" si="57"/>
        <v>11.422465097927844</v>
      </c>
      <c r="F386" s="138">
        <f t="shared" si="57"/>
        <v>1801.4157801007261</v>
      </c>
      <c r="G386" s="138">
        <f t="shared" si="57"/>
        <v>195.76249505143545</v>
      </c>
      <c r="H386" s="138">
        <f t="shared" si="57"/>
        <v>163.18778959099853</v>
      </c>
      <c r="I386" s="138">
        <v>20789.125873828947</v>
      </c>
      <c r="J386" s="138"/>
      <c r="K386" s="143"/>
    </row>
    <row r="387" spans="1:11">
      <c r="A387" s="13"/>
      <c r="B387" s="179" t="s">
        <v>38</v>
      </c>
      <c r="C387" s="119">
        <f t="shared" ref="C387:I387" si="58">+C386+C385</f>
        <v>53129.644886361551</v>
      </c>
      <c r="D387" s="119">
        <f t="shared" si="58"/>
        <v>1082.1076727935349</v>
      </c>
      <c r="E387" s="119">
        <f t="shared" si="58"/>
        <v>17.54769297097128</v>
      </c>
      <c r="F387" s="119">
        <f t="shared" si="58"/>
        <v>2636.7789576954633</v>
      </c>
      <c r="G387" s="119">
        <f t="shared" si="58"/>
        <v>268.87314727831108</v>
      </c>
      <c r="H387" s="143">
        <f t="shared" si="58"/>
        <v>230.49906477805945</v>
      </c>
      <c r="I387" s="143">
        <f t="shared" si="58"/>
        <v>32894.765249603079</v>
      </c>
      <c r="J387" s="143"/>
      <c r="K387" s="143"/>
    </row>
    <row r="388" spans="1:11">
      <c r="A388" s="13"/>
      <c r="B388" s="179"/>
    </row>
    <row r="389" spans="1:11">
      <c r="A389" s="13"/>
      <c r="B389" s="28" t="s">
        <v>181</v>
      </c>
    </row>
    <row r="390" spans="1:11">
      <c r="A390" s="13"/>
      <c r="B390" s="179" t="s">
        <v>71</v>
      </c>
      <c r="C390" s="67">
        <f t="shared" ref="C390:I390" si="59">+C385/C387</f>
        <v>0.40141275449944119</v>
      </c>
      <c r="D390" s="67">
        <f t="shared" si="59"/>
        <v>0.33256498432152909</v>
      </c>
      <c r="E390" s="67">
        <f t="shared" si="59"/>
        <v>0.34906171900638167</v>
      </c>
      <c r="F390" s="67">
        <f t="shared" si="59"/>
        <v>0.31681198575888286</v>
      </c>
      <c r="G390" s="67">
        <f t="shared" si="59"/>
        <v>0.27191503862302269</v>
      </c>
      <c r="H390" s="67">
        <f t="shared" si="59"/>
        <v>0.29202407069144903</v>
      </c>
      <c r="I390" s="67">
        <f t="shared" si="59"/>
        <v>0.3680111192135716</v>
      </c>
      <c r="J390" s="67"/>
      <c r="K390" s="67"/>
    </row>
    <row r="391" spans="1:11">
      <c r="A391" s="13"/>
      <c r="B391" s="179" t="s">
        <v>64</v>
      </c>
      <c r="C391" s="67">
        <f t="shared" ref="C391:I391" si="60">+C386/C387</f>
        <v>0.59858724550055875</v>
      </c>
      <c r="D391" s="67">
        <f t="shared" si="60"/>
        <v>0.66743501567847086</v>
      </c>
      <c r="E391" s="67">
        <f t="shared" si="60"/>
        <v>0.65093828099361839</v>
      </c>
      <c r="F391" s="67">
        <f t="shared" si="60"/>
        <v>0.68318801424111708</v>
      </c>
      <c r="G391" s="67">
        <f t="shared" si="60"/>
        <v>0.72808496137697731</v>
      </c>
      <c r="H391" s="67">
        <f t="shared" si="60"/>
        <v>0.70797592930855102</v>
      </c>
      <c r="I391" s="67">
        <f t="shared" si="60"/>
        <v>0.63198888078642834</v>
      </c>
      <c r="J391" s="67"/>
      <c r="K391" s="67"/>
    </row>
    <row r="392" spans="1:11">
      <c r="A392" s="13"/>
    </row>
    <row r="393" spans="1:11">
      <c r="A393" s="13"/>
      <c r="B393" s="28" t="s">
        <v>182</v>
      </c>
    </row>
    <row r="394" spans="1:11">
      <c r="A394" s="13"/>
      <c r="B394" s="179" t="s">
        <v>71</v>
      </c>
      <c r="C394" s="145">
        <f>+SUM(C385:I385)</f>
        <v>34774.33792930418</v>
      </c>
    </row>
    <row r="395" spans="1:11">
      <c r="A395" s="13"/>
      <c r="B395" s="179" t="s">
        <v>64</v>
      </c>
      <c r="C395" s="145">
        <f>+SUM(C386:I386)</f>
        <v>55485.878742176792</v>
      </c>
    </row>
    <row r="396" spans="1:11">
      <c r="A396" s="13"/>
      <c r="B396" s="179" t="s">
        <v>38</v>
      </c>
      <c r="C396" s="119">
        <f>+C395+C394</f>
        <v>90260.216671480972</v>
      </c>
      <c r="D396" s="119"/>
    </row>
    <row r="397" spans="1:11">
      <c r="A397" s="13"/>
    </row>
    <row r="398" spans="1:11">
      <c r="A398" s="13"/>
      <c r="B398" s="28" t="s">
        <v>183</v>
      </c>
      <c r="D398" s="28" t="s">
        <v>184</v>
      </c>
      <c r="I398" s="254" t="s">
        <v>185</v>
      </c>
      <c r="J398" s="254"/>
    </row>
    <row r="399" spans="1:11">
      <c r="A399" s="13"/>
      <c r="B399" s="179" t="s">
        <v>71</v>
      </c>
      <c r="C399" s="67">
        <f>+C394/C396</f>
        <v>0.3852676097141659</v>
      </c>
      <c r="E399" s="36">
        <f>+C394/SUMPRODUCT(M48:S48,C81:I81)*1000</f>
        <v>64.286041066081339</v>
      </c>
      <c r="F399" s="28" t="s">
        <v>186</v>
      </c>
      <c r="I399" s="179" t="s">
        <v>71</v>
      </c>
      <c r="J399" s="255">
        <f>ROUND(E399/$D$318,4)</f>
        <v>0.98160000000000003</v>
      </c>
      <c r="K399" s="256"/>
    </row>
    <row r="400" spans="1:11">
      <c r="A400" s="13"/>
      <c r="B400" s="179" t="s">
        <v>64</v>
      </c>
      <c r="C400" s="67">
        <f>+C395/C396</f>
        <v>0.61473239028583415</v>
      </c>
      <c r="E400" s="36">
        <f>+C395/SUMPRODUCT(M44:S44,C81:I81)*1000</f>
        <v>66.269082167530073</v>
      </c>
      <c r="F400" s="28" t="s">
        <v>186</v>
      </c>
      <c r="I400" s="179" t="s">
        <v>64</v>
      </c>
      <c r="J400" s="255">
        <f>ROUND(E400/$D$318,4)</f>
        <v>1.0119</v>
      </c>
      <c r="K400" s="256"/>
    </row>
    <row r="401" spans="1:11">
      <c r="A401" s="13"/>
    </row>
    <row r="402" spans="1:11">
      <c r="C402" s="119"/>
      <c r="D402" s="119"/>
      <c r="E402" s="119"/>
      <c r="F402" s="119"/>
      <c r="G402" s="119"/>
      <c r="H402" s="119"/>
      <c r="I402" s="119"/>
      <c r="J402" s="119"/>
    </row>
    <row r="403" spans="1:11">
      <c r="A403" s="221" t="s">
        <v>189</v>
      </c>
      <c r="B403" s="41" t="s">
        <v>190</v>
      </c>
    </row>
    <row r="404" spans="1:11">
      <c r="A404" s="221"/>
    </row>
    <row r="405" spans="1:11">
      <c r="A405" s="221"/>
      <c r="E405" s="210"/>
      <c r="F405" s="41" t="s">
        <v>191</v>
      </c>
      <c r="I405" s="59" t="s">
        <v>192</v>
      </c>
    </row>
    <row r="406" spans="1:11">
      <c r="B406" s="59" t="s">
        <v>193</v>
      </c>
      <c r="E406" s="210"/>
      <c r="F406" s="41" t="s">
        <v>194</v>
      </c>
      <c r="I406" s="59" t="s">
        <v>195</v>
      </c>
    </row>
    <row r="407" spans="1:11">
      <c r="A407" s="13"/>
      <c r="B407" s="23" t="s">
        <v>63</v>
      </c>
      <c r="C407" s="29"/>
      <c r="D407" s="48" t="s">
        <v>196</v>
      </c>
      <c r="E407" s="257"/>
      <c r="F407" s="258" t="s">
        <v>63</v>
      </c>
      <c r="G407" s="211"/>
      <c r="I407" s="259" t="s">
        <v>197</v>
      </c>
      <c r="J407" s="211"/>
      <c r="K407" s="211"/>
    </row>
    <row r="408" spans="1:11">
      <c r="A408" s="13"/>
      <c r="C408" s="69" t="s">
        <v>51</v>
      </c>
      <c r="D408" s="69" t="s">
        <v>198</v>
      </c>
      <c r="E408" s="260" t="s">
        <v>52</v>
      </c>
      <c r="F408" s="69" t="s">
        <v>51</v>
      </c>
      <c r="G408" s="69" t="s">
        <v>52</v>
      </c>
      <c r="I408" s="69" t="s">
        <v>51</v>
      </c>
      <c r="J408" s="69" t="s">
        <v>52</v>
      </c>
    </row>
    <row r="409" spans="1:11">
      <c r="A409" s="13"/>
      <c r="B409" s="136" t="s">
        <v>15</v>
      </c>
      <c r="C409" s="11">
        <v>46.18</v>
      </c>
      <c r="D409" s="64">
        <v>0.78701014673367276</v>
      </c>
      <c r="E409" s="65">
        <f>ROUND(C409*D409,2)</f>
        <v>36.340000000000003</v>
      </c>
      <c r="F409" s="66">
        <v>1.0386075852913823</v>
      </c>
      <c r="G409" s="67">
        <v>1.0294879953573906</v>
      </c>
      <c r="I409" s="11">
        <f>ROUND(C409*F409,2)</f>
        <v>47.96</v>
      </c>
      <c r="J409" s="11">
        <f>ROUND(E409*G409,2)</f>
        <v>37.409999999999997</v>
      </c>
    </row>
    <row r="410" spans="1:11">
      <c r="A410" s="13"/>
      <c r="B410" s="136" t="s">
        <v>16</v>
      </c>
      <c r="C410" s="11">
        <v>42.85</v>
      </c>
      <c r="D410" s="64">
        <f>D409</f>
        <v>0.78701014673367276</v>
      </c>
      <c r="E410" s="65">
        <f>ROUND(C410*D410,2)</f>
        <v>33.72</v>
      </c>
      <c r="F410" s="68">
        <f>F409</f>
        <v>1.0386075852913823</v>
      </c>
      <c r="G410" s="68">
        <f>G409</f>
        <v>1.0294879953573906</v>
      </c>
      <c r="I410" s="11">
        <f t="shared" ref="I410:I420" si="61">ROUND(C410*F410,2)</f>
        <v>44.5</v>
      </c>
      <c r="J410" s="11">
        <f t="shared" ref="J410:J420" si="62">ROUND(E410*G410,2)</f>
        <v>34.71</v>
      </c>
    </row>
    <row r="411" spans="1:11">
      <c r="A411" s="13"/>
      <c r="B411" s="136" t="s">
        <v>17</v>
      </c>
      <c r="C411" s="11">
        <v>42.88</v>
      </c>
      <c r="D411" s="64">
        <f>D409</f>
        <v>0.78701014673367276</v>
      </c>
      <c r="E411" s="65">
        <f t="shared" ref="E411:E420" si="63">ROUND(C411*D411,2)</f>
        <v>33.75</v>
      </c>
      <c r="F411" s="68">
        <f>F409</f>
        <v>1.0386075852913823</v>
      </c>
      <c r="G411" s="68">
        <f>G409</f>
        <v>1.0294879953573906</v>
      </c>
      <c r="I411" s="11">
        <f t="shared" si="61"/>
        <v>44.54</v>
      </c>
      <c r="J411" s="11">
        <f t="shared" si="62"/>
        <v>34.75</v>
      </c>
    </row>
    <row r="412" spans="1:11">
      <c r="A412" s="13"/>
      <c r="B412" s="136" t="s">
        <v>18</v>
      </c>
      <c r="C412" s="11">
        <v>42.13</v>
      </c>
      <c r="D412" s="64">
        <f>D409</f>
        <v>0.78701014673367276</v>
      </c>
      <c r="E412" s="65">
        <f t="shared" si="63"/>
        <v>33.159999999999997</v>
      </c>
      <c r="F412" s="68">
        <f>F409</f>
        <v>1.0386075852913823</v>
      </c>
      <c r="G412" s="68">
        <f>G409</f>
        <v>1.0294879953573906</v>
      </c>
      <c r="I412" s="11">
        <f t="shared" si="61"/>
        <v>43.76</v>
      </c>
      <c r="J412" s="11">
        <f t="shared" si="62"/>
        <v>34.14</v>
      </c>
    </row>
    <row r="413" spans="1:11">
      <c r="A413" s="13"/>
      <c r="B413" s="136" t="s">
        <v>19</v>
      </c>
      <c r="C413" s="11">
        <v>42.36</v>
      </c>
      <c r="D413" s="64">
        <f>D409</f>
        <v>0.78701014673367276</v>
      </c>
      <c r="E413" s="65">
        <f t="shared" si="63"/>
        <v>33.340000000000003</v>
      </c>
      <c r="F413" s="68">
        <f>F409</f>
        <v>1.0386075852913823</v>
      </c>
      <c r="G413" s="68">
        <f>G409</f>
        <v>1.0294879953573906</v>
      </c>
      <c r="I413" s="11">
        <f t="shared" si="61"/>
        <v>44</v>
      </c>
      <c r="J413" s="11">
        <f t="shared" si="62"/>
        <v>34.32</v>
      </c>
    </row>
    <row r="414" spans="1:11">
      <c r="A414" s="13"/>
      <c r="B414" s="136" t="s">
        <v>20</v>
      </c>
      <c r="C414" s="11">
        <v>43.52</v>
      </c>
      <c r="D414" s="64">
        <v>0.60734299660947233</v>
      </c>
      <c r="E414" s="65">
        <f t="shared" si="63"/>
        <v>26.43</v>
      </c>
      <c r="F414" s="67">
        <v>1.0837395801520182</v>
      </c>
      <c r="G414" s="67">
        <v>1.0697698313505459</v>
      </c>
      <c r="I414" s="11">
        <f t="shared" si="61"/>
        <v>47.16</v>
      </c>
      <c r="J414" s="11">
        <f t="shared" si="62"/>
        <v>28.27</v>
      </c>
    </row>
    <row r="415" spans="1:11">
      <c r="A415" s="13"/>
      <c r="B415" s="136" t="s">
        <v>21</v>
      </c>
      <c r="C415" s="11">
        <v>53.81</v>
      </c>
      <c r="D415" s="64">
        <f>D414</f>
        <v>0.60734299660947233</v>
      </c>
      <c r="E415" s="65">
        <f t="shared" si="63"/>
        <v>32.68</v>
      </c>
      <c r="F415" s="68">
        <f>F414</f>
        <v>1.0837395801520182</v>
      </c>
      <c r="G415" s="68">
        <f>G414</f>
        <v>1.0697698313505459</v>
      </c>
      <c r="I415" s="11">
        <f t="shared" si="61"/>
        <v>58.32</v>
      </c>
      <c r="J415" s="11">
        <f t="shared" si="62"/>
        <v>34.96</v>
      </c>
    </row>
    <row r="416" spans="1:11">
      <c r="A416" s="13"/>
      <c r="B416" s="136" t="s">
        <v>22</v>
      </c>
      <c r="C416" s="11">
        <v>50.21</v>
      </c>
      <c r="D416" s="64">
        <f>D414</f>
        <v>0.60734299660947233</v>
      </c>
      <c r="E416" s="65">
        <f t="shared" si="63"/>
        <v>30.49</v>
      </c>
      <c r="F416" s="68">
        <f>F414</f>
        <v>1.0837395801520182</v>
      </c>
      <c r="G416" s="68">
        <f>G414</f>
        <v>1.0697698313505459</v>
      </c>
      <c r="I416" s="11">
        <f t="shared" si="61"/>
        <v>54.41</v>
      </c>
      <c r="J416" s="11">
        <f t="shared" si="62"/>
        <v>32.619999999999997</v>
      </c>
    </row>
    <row r="417" spans="1:19">
      <c r="A417" s="13"/>
      <c r="B417" s="136" t="s">
        <v>23</v>
      </c>
      <c r="C417" s="11">
        <v>42.18</v>
      </c>
      <c r="D417" s="64">
        <f>D414</f>
        <v>0.60734299660947233</v>
      </c>
      <c r="E417" s="65">
        <f t="shared" si="63"/>
        <v>25.62</v>
      </c>
      <c r="F417" s="68">
        <f>F414</f>
        <v>1.0837395801520182</v>
      </c>
      <c r="G417" s="68">
        <f>G414</f>
        <v>1.0697698313505459</v>
      </c>
      <c r="I417" s="11">
        <f t="shared" si="61"/>
        <v>45.71</v>
      </c>
      <c r="J417" s="11">
        <f t="shared" si="62"/>
        <v>27.41</v>
      </c>
    </row>
    <row r="418" spans="1:19">
      <c r="A418" s="13"/>
      <c r="B418" s="136" t="s">
        <v>24</v>
      </c>
      <c r="C418" s="11">
        <v>39.93</v>
      </c>
      <c r="D418" s="64">
        <f>D409</f>
        <v>0.78701014673367276</v>
      </c>
      <c r="E418" s="65">
        <f t="shared" si="63"/>
        <v>31.43</v>
      </c>
      <c r="F418" s="68">
        <f>F409</f>
        <v>1.0386075852913823</v>
      </c>
      <c r="G418" s="68">
        <f>G409</f>
        <v>1.0294879953573906</v>
      </c>
      <c r="I418" s="11">
        <f t="shared" si="61"/>
        <v>41.47</v>
      </c>
      <c r="J418" s="11">
        <f t="shared" si="62"/>
        <v>32.36</v>
      </c>
    </row>
    <row r="419" spans="1:19">
      <c r="A419" s="13"/>
      <c r="B419" s="136" t="s">
        <v>25</v>
      </c>
      <c r="C419" s="11">
        <v>39.979999999999997</v>
      </c>
      <c r="D419" s="64">
        <f>D409</f>
        <v>0.78701014673367276</v>
      </c>
      <c r="E419" s="65">
        <f t="shared" si="63"/>
        <v>31.46</v>
      </c>
      <c r="F419" s="68">
        <f>F409</f>
        <v>1.0386075852913823</v>
      </c>
      <c r="G419" s="68">
        <f>G409</f>
        <v>1.0294879953573906</v>
      </c>
      <c r="I419" s="11">
        <f t="shared" si="61"/>
        <v>41.52</v>
      </c>
      <c r="J419" s="11">
        <f t="shared" si="62"/>
        <v>32.39</v>
      </c>
    </row>
    <row r="420" spans="1:19">
      <c r="A420" s="13"/>
      <c r="B420" s="136" t="s">
        <v>26</v>
      </c>
      <c r="C420" s="11">
        <v>41.63</v>
      </c>
      <c r="D420" s="64">
        <f>D409</f>
        <v>0.78701014673367276</v>
      </c>
      <c r="E420" s="65">
        <f t="shared" si="63"/>
        <v>32.76</v>
      </c>
      <c r="F420" s="68">
        <f>F409</f>
        <v>1.0386075852913823</v>
      </c>
      <c r="G420" s="68">
        <f>G409</f>
        <v>1.0294879953573906</v>
      </c>
      <c r="I420" s="11">
        <f t="shared" si="61"/>
        <v>43.24</v>
      </c>
      <c r="J420" s="11">
        <f t="shared" si="62"/>
        <v>33.729999999999997</v>
      </c>
    </row>
    <row r="421" spans="1:19">
      <c r="A421" s="13"/>
      <c r="B421" s="136"/>
      <c r="C421" s="11"/>
      <c r="D421" s="11"/>
      <c r="E421" s="210"/>
      <c r="K421" s="67"/>
    </row>
    <row r="422" spans="1:19">
      <c r="A422" s="13"/>
      <c r="B422" s="136"/>
      <c r="C422" s="11"/>
      <c r="D422" s="11"/>
      <c r="K422" s="67"/>
    </row>
    <row r="423" spans="1:19">
      <c r="A423" s="13"/>
      <c r="B423" s="136"/>
      <c r="C423" s="11"/>
      <c r="D423" s="11"/>
      <c r="K423" s="67"/>
    </row>
    <row r="424" spans="1:19">
      <c r="B424" s="41" t="s">
        <v>199</v>
      </c>
      <c r="F424" s="259" t="s">
        <v>200</v>
      </c>
    </row>
    <row r="425" spans="1:19">
      <c r="B425" s="23" t="s">
        <v>63</v>
      </c>
      <c r="C425" s="211"/>
      <c r="D425" s="211"/>
      <c r="F425" s="59" t="str">
        <f>"system ("&amp;TEXT(C447*100,"0.0")&amp;"% PJM - "&amp;TEXT(D447*100,"0.0")&amp;"% NYISO)"</f>
        <v>system (89.3% PJM - 10.7% NYISO)</v>
      </c>
      <c r="G425" s="211"/>
      <c r="H425" s="211"/>
    </row>
    <row r="426" spans="1:19">
      <c r="B426" s="23"/>
      <c r="C426" s="211"/>
      <c r="D426" s="211"/>
      <c r="F426" s="23" t="s">
        <v>63</v>
      </c>
      <c r="G426" s="211"/>
      <c r="H426" s="211"/>
    </row>
    <row r="427" spans="1:19">
      <c r="C427" s="69" t="s">
        <v>51</v>
      </c>
      <c r="D427" s="69" t="s">
        <v>52</v>
      </c>
      <c r="G427" s="69" t="s">
        <v>51</v>
      </c>
      <c r="H427" s="69" t="s">
        <v>52</v>
      </c>
    </row>
    <row r="428" spans="1:19">
      <c r="B428" s="136" t="s">
        <v>15</v>
      </c>
      <c r="C428" s="11">
        <v>61</v>
      </c>
      <c r="D428" s="11">
        <v>47</v>
      </c>
      <c r="F428" s="136" t="s">
        <v>15</v>
      </c>
      <c r="G428" s="11">
        <f>ROUND($J$428*I409+$J$429*C428,2)</f>
        <v>49.36</v>
      </c>
      <c r="H428" s="11">
        <f>ROUND($J$428*J409+$J$429*D428,2)</f>
        <v>38.44</v>
      </c>
      <c r="J428" s="149">
        <f>C447</f>
        <v>0.89285714285714279</v>
      </c>
      <c r="K428" s="28" t="s">
        <v>201</v>
      </c>
      <c r="Q428" s="11">
        <f>AVERAGE(G433:G436)</f>
        <v>51.379999999999995</v>
      </c>
      <c r="R428" s="11">
        <f>AVERAGE(H433:H436)</f>
        <v>31.114999999999995</v>
      </c>
    </row>
    <row r="429" spans="1:19">
      <c r="B429" s="136" t="s">
        <v>16</v>
      </c>
      <c r="C429" s="11">
        <v>61</v>
      </c>
      <c r="D429" s="11">
        <v>47</v>
      </c>
      <c r="F429" s="136" t="s">
        <v>16</v>
      </c>
      <c r="G429" s="11">
        <f t="shared" ref="G429:H439" si="64">ROUND($J$428*I410+$J$429*C429,2)</f>
        <v>46.27</v>
      </c>
      <c r="H429" s="11">
        <f t="shared" si="64"/>
        <v>36.03</v>
      </c>
      <c r="J429" s="149">
        <f>D447</f>
        <v>0.10714285714285712</v>
      </c>
      <c r="K429" s="28" t="s">
        <v>202</v>
      </c>
      <c r="Q429" s="11">
        <f>AVERAGE(G428:G432,G437:G439)</f>
        <v>44.5075</v>
      </c>
      <c r="R429" s="11">
        <f>AVERAGE(H428:H432,H437:H439)</f>
        <v>34.674999999999997</v>
      </c>
    </row>
    <row r="430" spans="1:19">
      <c r="B430" s="136" t="s">
        <v>17</v>
      </c>
      <c r="C430" s="11">
        <v>45.25</v>
      </c>
      <c r="D430" s="11">
        <v>34.75</v>
      </c>
      <c r="F430" s="136" t="s">
        <v>17</v>
      </c>
      <c r="G430" s="11">
        <f t="shared" si="64"/>
        <v>44.62</v>
      </c>
      <c r="H430" s="11">
        <f t="shared" si="64"/>
        <v>34.75</v>
      </c>
      <c r="Q430" s="28">
        <f>Q428/Q429</f>
        <v>1.1544121777228555</v>
      </c>
      <c r="R430" s="28">
        <f>R428/R429</f>
        <v>0.89733237202595517</v>
      </c>
    </row>
    <row r="431" spans="1:19">
      <c r="B431" s="136" t="s">
        <v>18</v>
      </c>
      <c r="C431" s="11">
        <v>45.25</v>
      </c>
      <c r="D431" s="11">
        <v>34.75</v>
      </c>
      <c r="F431" s="136" t="s">
        <v>18</v>
      </c>
      <c r="G431" s="11">
        <f t="shared" si="64"/>
        <v>43.92</v>
      </c>
      <c r="H431" s="11">
        <f t="shared" si="64"/>
        <v>34.21</v>
      </c>
    </row>
    <row r="432" spans="1:19">
      <c r="B432" s="136" t="s">
        <v>19</v>
      </c>
      <c r="C432" s="11">
        <v>44.75</v>
      </c>
      <c r="D432" s="11">
        <v>32</v>
      </c>
      <c r="F432" s="136" t="s">
        <v>19</v>
      </c>
      <c r="G432" s="11">
        <f t="shared" si="64"/>
        <v>44.08</v>
      </c>
      <c r="H432" s="11">
        <f t="shared" si="64"/>
        <v>34.07</v>
      </c>
      <c r="Q432" s="11">
        <f>AVERAGE(G428:G439)</f>
        <v>46.798333333333325</v>
      </c>
      <c r="R432" s="11">
        <f>AVERAGE(H428:H439)</f>
        <v>33.488333333333337</v>
      </c>
      <c r="S432" s="28">
        <f>Q432/R432</f>
        <v>1.3974518489026024</v>
      </c>
    </row>
    <row r="433" spans="1:18">
      <c r="B433" s="136" t="s">
        <v>20</v>
      </c>
      <c r="C433" s="11">
        <v>47.5</v>
      </c>
      <c r="D433" s="11">
        <v>31.5</v>
      </c>
      <c r="F433" s="136" t="s">
        <v>20</v>
      </c>
      <c r="G433" s="11">
        <f t="shared" si="64"/>
        <v>47.2</v>
      </c>
      <c r="H433" s="11">
        <f t="shared" si="64"/>
        <v>28.62</v>
      </c>
    </row>
    <row r="434" spans="1:18">
      <c r="B434" s="136" t="s">
        <v>21</v>
      </c>
      <c r="C434" s="11">
        <v>57</v>
      </c>
      <c r="D434" s="11">
        <v>36</v>
      </c>
      <c r="F434" s="136" t="s">
        <v>21</v>
      </c>
      <c r="G434" s="11">
        <f t="shared" si="64"/>
        <v>58.18</v>
      </c>
      <c r="H434" s="11">
        <f t="shared" si="64"/>
        <v>35.07</v>
      </c>
    </row>
    <row r="435" spans="1:18">
      <c r="B435" s="136" t="s">
        <v>22</v>
      </c>
      <c r="C435" s="11">
        <v>57</v>
      </c>
      <c r="D435" s="11">
        <v>36</v>
      </c>
      <c r="F435" s="136" t="s">
        <v>22</v>
      </c>
      <c r="G435" s="11">
        <f t="shared" si="64"/>
        <v>54.69</v>
      </c>
      <c r="H435" s="11">
        <f t="shared" si="64"/>
        <v>32.979999999999997</v>
      </c>
    </row>
    <row r="436" spans="1:18">
      <c r="B436" s="136" t="s">
        <v>23</v>
      </c>
      <c r="C436" s="11">
        <v>43.25</v>
      </c>
      <c r="D436" s="11">
        <v>31</v>
      </c>
      <c r="F436" s="136" t="s">
        <v>23</v>
      </c>
      <c r="G436" s="11">
        <f t="shared" si="64"/>
        <v>45.45</v>
      </c>
      <c r="H436" s="11">
        <f t="shared" si="64"/>
        <v>27.79</v>
      </c>
    </row>
    <row r="437" spans="1:18">
      <c r="B437" s="136" t="s">
        <v>24</v>
      </c>
      <c r="C437" s="11">
        <v>47</v>
      </c>
      <c r="D437" s="11">
        <v>37.25</v>
      </c>
      <c r="F437" s="136" t="s">
        <v>24</v>
      </c>
      <c r="G437" s="11">
        <f t="shared" si="64"/>
        <v>42.06</v>
      </c>
      <c r="H437" s="11">
        <f t="shared" si="64"/>
        <v>32.880000000000003</v>
      </c>
    </row>
    <row r="438" spans="1:18">
      <c r="B438" s="136" t="s">
        <v>25</v>
      </c>
      <c r="C438" s="11">
        <v>47</v>
      </c>
      <c r="D438" s="11">
        <v>37.25</v>
      </c>
      <c r="F438" s="136" t="s">
        <v>25</v>
      </c>
      <c r="G438" s="11">
        <f t="shared" si="64"/>
        <v>42.11</v>
      </c>
      <c r="H438" s="11">
        <f t="shared" si="64"/>
        <v>32.909999999999997</v>
      </c>
    </row>
    <row r="439" spans="1:18">
      <c r="B439" s="136" t="s">
        <v>26</v>
      </c>
      <c r="C439" s="11">
        <v>47</v>
      </c>
      <c r="D439" s="11">
        <v>37.25</v>
      </c>
      <c r="F439" s="136" t="s">
        <v>26</v>
      </c>
      <c r="G439" s="11">
        <f t="shared" si="64"/>
        <v>43.64</v>
      </c>
      <c r="H439" s="11">
        <f t="shared" si="64"/>
        <v>34.11</v>
      </c>
    </row>
    <row r="443" spans="1:18">
      <c r="A443" s="221" t="s">
        <v>203</v>
      </c>
      <c r="B443" s="59" t="s">
        <v>204</v>
      </c>
    </row>
    <row r="446" spans="1:18">
      <c r="C446" s="29" t="s">
        <v>201</v>
      </c>
      <c r="D446" s="29" t="s">
        <v>202</v>
      </c>
      <c r="E446" s="29" t="s">
        <v>205</v>
      </c>
    </row>
    <row r="447" spans="1:18">
      <c r="C447" s="261">
        <f>4/(4+M466)</f>
        <v>0.89285714285714279</v>
      </c>
      <c r="D447" s="261">
        <f>M466/(4+M466)</f>
        <v>0.10714285714285712</v>
      </c>
      <c r="E447" s="262" t="s">
        <v>206</v>
      </c>
    </row>
    <row r="448" spans="1:18">
      <c r="P448" s="71" t="s">
        <v>207</v>
      </c>
      <c r="Q448" s="28" t="s">
        <v>208</v>
      </c>
      <c r="R448" s="28" t="s">
        <v>209</v>
      </c>
    </row>
    <row r="449" spans="1:19">
      <c r="B449" s="29" t="s">
        <v>71</v>
      </c>
      <c r="C449" s="20">
        <v>182.11815014235768</v>
      </c>
      <c r="D449" s="20">
        <v>133.69565217391303</v>
      </c>
      <c r="E449" s="35">
        <f>ROUND(C449*C$447+D449*D$447,2)</f>
        <v>176.93</v>
      </c>
      <c r="G449" s="35"/>
      <c r="O449" s="28" t="s">
        <v>210</v>
      </c>
      <c r="P449" s="28">
        <v>2.25</v>
      </c>
      <c r="Q449" s="28">
        <f>P449*1000</f>
        <v>2250</v>
      </c>
      <c r="R449" s="28">
        <v>31</v>
      </c>
    </row>
    <row r="450" spans="1:19">
      <c r="B450" s="29"/>
      <c r="C450" s="20"/>
      <c r="D450" s="20"/>
      <c r="E450" s="35"/>
      <c r="O450" s="28" t="s">
        <v>211</v>
      </c>
      <c r="P450" s="28">
        <v>1.25</v>
      </c>
      <c r="Q450" s="28">
        <f>P450*1000</f>
        <v>1250</v>
      </c>
      <c r="R450" s="28">
        <v>30</v>
      </c>
    </row>
    <row r="451" spans="1:19">
      <c r="B451" s="29" t="s">
        <v>64</v>
      </c>
      <c r="C451" s="20">
        <f>C449</f>
        <v>182.11815014235768</v>
      </c>
      <c r="D451" s="146">
        <v>54.696132596685075</v>
      </c>
      <c r="E451" s="35">
        <f>ROUND(C451*C$447+D451*D$447,2)</f>
        <v>168.47</v>
      </c>
      <c r="H451" s="71"/>
      <c r="O451" s="28" t="s">
        <v>212</v>
      </c>
      <c r="P451" s="28">
        <v>1.25</v>
      </c>
      <c r="Q451" s="28">
        <f t="shared" ref="Q451:Q456" si="65">P451*1000</f>
        <v>1250</v>
      </c>
      <c r="R451" s="28">
        <v>31</v>
      </c>
    </row>
    <row r="452" spans="1:19">
      <c r="O452" s="28" t="s">
        <v>213</v>
      </c>
      <c r="P452" s="28">
        <v>1.25</v>
      </c>
      <c r="Q452" s="28">
        <f t="shared" si="65"/>
        <v>1250</v>
      </c>
      <c r="R452" s="28">
        <v>30</v>
      </c>
    </row>
    <row r="453" spans="1:19">
      <c r="O453" s="28" t="s">
        <v>214</v>
      </c>
      <c r="P453" s="28">
        <v>1.25</v>
      </c>
      <c r="Q453" s="28">
        <f t="shared" si="65"/>
        <v>1250</v>
      </c>
      <c r="R453" s="28">
        <v>28</v>
      </c>
    </row>
    <row r="454" spans="1:19">
      <c r="O454" s="28" t="s">
        <v>215</v>
      </c>
      <c r="P454" s="28">
        <v>1.25</v>
      </c>
      <c r="Q454" s="28">
        <f t="shared" si="65"/>
        <v>1250</v>
      </c>
      <c r="R454" s="28">
        <v>31</v>
      </c>
    </row>
    <row r="455" spans="1:19">
      <c r="A455" s="221" t="s">
        <v>216</v>
      </c>
      <c r="B455" s="59" t="s">
        <v>121</v>
      </c>
      <c r="O455" s="28" t="s">
        <v>217</v>
      </c>
      <c r="P455" s="28">
        <v>1.25</v>
      </c>
      <c r="Q455" s="28">
        <f t="shared" si="65"/>
        <v>1250</v>
      </c>
      <c r="R455" s="28">
        <v>30</v>
      </c>
    </row>
    <row r="456" spans="1:19">
      <c r="O456" s="28" t="s">
        <v>19</v>
      </c>
      <c r="P456" s="28">
        <v>2</v>
      </c>
      <c r="Q456" s="28">
        <f t="shared" si="65"/>
        <v>2000</v>
      </c>
      <c r="R456" s="28">
        <v>31</v>
      </c>
    </row>
    <row r="457" spans="1:19">
      <c r="P457" s="28">
        <f>SUM(P449:P456)</f>
        <v>11.75</v>
      </c>
      <c r="Q457" s="28">
        <f>SUM(Q449:Q456)</f>
        <v>11750</v>
      </c>
      <c r="R457" s="28">
        <f>SUM(R449:R456)</f>
        <v>242</v>
      </c>
      <c r="S457" s="28">
        <f>Q457/R457</f>
        <v>48.553719008264466</v>
      </c>
    </row>
    <row r="458" spans="1:19">
      <c r="C458" s="29" t="s">
        <v>201</v>
      </c>
      <c r="D458" s="29" t="s">
        <v>202</v>
      </c>
      <c r="E458" s="29" t="s">
        <v>205</v>
      </c>
    </row>
    <row r="459" spans="1:19">
      <c r="C459" s="261">
        <f>C447</f>
        <v>0.89285714285714279</v>
      </c>
      <c r="D459" s="261">
        <f>D447</f>
        <v>0.10714285714285712</v>
      </c>
      <c r="E459" s="262" t="s">
        <v>206</v>
      </c>
    </row>
    <row r="461" spans="1:19">
      <c r="B461" s="29"/>
      <c r="C461" s="147">
        <v>3</v>
      </c>
      <c r="D461" s="147">
        <v>1.68</v>
      </c>
      <c r="E461" s="147">
        <f>ROUND(C461*C$459+D461*D$459,2)</f>
        <v>2.86</v>
      </c>
    </row>
    <row r="462" spans="1:19">
      <c r="B462" s="29"/>
      <c r="C462" s="147"/>
      <c r="D462" s="147"/>
      <c r="E462" s="147"/>
    </row>
    <row r="463" spans="1:19" ht="13.5" thickBot="1">
      <c r="A463" s="41" t="s">
        <v>218</v>
      </c>
      <c r="E463" s="225"/>
    </row>
    <row r="464" spans="1:19">
      <c r="A464" s="13"/>
      <c r="B464" s="29" t="s">
        <v>219</v>
      </c>
      <c r="C464" s="35">
        <f>E449</f>
        <v>176.93</v>
      </c>
      <c r="D464" s="134" t="s">
        <v>220</v>
      </c>
      <c r="L464" s="263" t="s">
        <v>221</v>
      </c>
      <c r="M464" s="264">
        <v>46.2</v>
      </c>
      <c r="N464" s="265"/>
    </row>
    <row r="465" spans="1:14">
      <c r="A465" s="13"/>
      <c r="B465" s="29"/>
      <c r="C465" s="35">
        <f>+E451</f>
        <v>168.47</v>
      </c>
      <c r="D465" s="134" t="s">
        <v>222</v>
      </c>
      <c r="L465" s="266" t="s">
        <v>223</v>
      </c>
      <c r="M465" s="267">
        <f>385.3/4</f>
        <v>96.325000000000003</v>
      </c>
      <c r="N465" s="268"/>
    </row>
    <row r="466" spans="1:14">
      <c r="A466" s="13"/>
      <c r="B466" s="29" t="s">
        <v>224</v>
      </c>
      <c r="C466" s="119">
        <f>+C147</f>
        <v>32114</v>
      </c>
      <c r="D466" s="134" t="s">
        <v>98</v>
      </c>
      <c r="E466" s="143"/>
      <c r="L466" s="266" t="s">
        <v>225</v>
      </c>
      <c r="M466" s="27">
        <f>ROUND(M464/M465,3)</f>
        <v>0.48</v>
      </c>
      <c r="N466" s="268"/>
    </row>
    <row r="467" spans="1:14">
      <c r="A467" s="13"/>
      <c r="B467" s="29" t="s">
        <v>226</v>
      </c>
      <c r="C467" s="269">
        <f>+H144</f>
        <v>4</v>
      </c>
      <c r="D467" s="28" t="s">
        <v>227</v>
      </c>
      <c r="E467" s="143"/>
      <c r="L467" s="270"/>
      <c r="M467" s="27"/>
      <c r="N467" s="268"/>
    </row>
    <row r="468" spans="1:14">
      <c r="A468" s="13"/>
      <c r="B468" s="29"/>
      <c r="C468" s="269">
        <f>+H145</f>
        <v>8</v>
      </c>
      <c r="D468" s="28" t="s">
        <v>228</v>
      </c>
      <c r="E468" s="143"/>
      <c r="L468" s="266" t="s">
        <v>229</v>
      </c>
      <c r="M468" s="224">
        <f>D223-D318</f>
        <v>9.5437010054417044</v>
      </c>
      <c r="N468" s="268" t="s">
        <v>230</v>
      </c>
    </row>
    <row r="469" spans="1:14">
      <c r="A469" s="13"/>
      <c r="B469" s="29" t="s">
        <v>231</v>
      </c>
      <c r="C469" s="148">
        <f>+D161</f>
        <v>2.86</v>
      </c>
      <c r="D469" s="71" t="s">
        <v>123</v>
      </c>
      <c r="L469" s="266" t="s">
        <v>232</v>
      </c>
      <c r="M469" s="271">
        <f>ROUND(M466/(4+M466)*M468,2)</f>
        <v>1.02</v>
      </c>
      <c r="N469" s="268" t="s">
        <v>230</v>
      </c>
    </row>
    <row r="470" spans="1:14" ht="13.5" thickBot="1">
      <c r="A470" s="13"/>
      <c r="B470" s="29" t="s">
        <v>233</v>
      </c>
      <c r="C470" s="71" t="s">
        <v>234</v>
      </c>
      <c r="L470" s="272" t="s">
        <v>235</v>
      </c>
      <c r="M470" s="273">
        <f>M468-M469</f>
        <v>8.5237010054417048</v>
      </c>
      <c r="N470" s="274" t="s">
        <v>230</v>
      </c>
    </row>
    <row r="471" spans="1:14">
      <c r="A471" s="13"/>
      <c r="B471" s="29"/>
      <c r="C471" s="71" t="s">
        <v>236</v>
      </c>
      <c r="L471" s="109"/>
      <c r="M471" s="275"/>
      <c r="N471" s="27"/>
    </row>
    <row r="472" spans="1:14">
      <c r="A472" s="13"/>
      <c r="B472" s="29" t="s">
        <v>237</v>
      </c>
      <c r="C472" s="71" t="str">
        <f>" Forecasted " &amp;M1-1 &amp;" energy use by class, PJM on/off % from " &amp;M1-2 &amp;" class load profiles,"</f>
        <v xml:space="preserve"> Forecasted 2012 energy use by class, PJM on/off % from 2011 class load profiles,</v>
      </c>
    </row>
    <row r="473" spans="1:14">
      <c r="A473" s="13"/>
      <c r="B473" s="29"/>
      <c r="C473" s="71" t="str">
        <f>"   RECO billing on/off % from " &amp;TEXT(DATE(M1-2,6,1),"m/yy") &amp;" to 5/" &amp;TEXT(DATE(M1-1,5,1),"yy") &amp;" actual data"</f>
        <v xml:space="preserve">   RECO billing on/off % from 6/11 to 5/12 actual data</v>
      </c>
    </row>
    <row r="474" spans="1:14">
      <c r="A474" s="13"/>
      <c r="B474" s="29" t="s">
        <v>238</v>
      </c>
      <c r="C474" s="71" t="str">
        <f>" Class totals for " &amp;M1-1</f>
        <v xml:space="preserve"> Class totals for 2012</v>
      </c>
    </row>
    <row r="475" spans="1:14">
      <c r="A475" s="13"/>
      <c r="B475" s="29" t="s">
        <v>239</v>
      </c>
      <c r="C475" s="28" t="s">
        <v>240</v>
      </c>
    </row>
    <row r="476" spans="1:14">
      <c r="A476" s="13"/>
      <c r="B476" s="29" t="s">
        <v>241</v>
      </c>
      <c r="C476" s="28" t="s">
        <v>242</v>
      </c>
    </row>
    <row r="477" spans="1:14">
      <c r="C477" s="28" t="s">
        <v>243</v>
      </c>
    </row>
    <row r="478" spans="1:14">
      <c r="B478" s="31" t="s">
        <v>244</v>
      </c>
      <c r="C478" s="28" t="s">
        <v>245</v>
      </c>
    </row>
    <row r="479" spans="1:14">
      <c r="A479" s="13"/>
      <c r="C479" s="62"/>
      <c r="E479" s="62"/>
    </row>
    <row r="481" spans="1:10" s="154" customFormat="1" hidden="1">
      <c r="A481" s="276" t="s">
        <v>246</v>
      </c>
      <c r="B481" s="277"/>
      <c r="C481" s="277"/>
      <c r="D481" s="277"/>
    </row>
    <row r="482" spans="1:10" s="154" customFormat="1" hidden="1">
      <c r="A482" s="278" t="s">
        <v>247</v>
      </c>
      <c r="B482" s="279" t="s">
        <v>248</v>
      </c>
    </row>
    <row r="483" spans="1:10" s="154" customFormat="1" hidden="1">
      <c r="A483" s="280"/>
      <c r="D483" s="150"/>
    </row>
    <row r="484" spans="1:10" s="154" customFormat="1">
      <c r="A484" s="280"/>
      <c r="B484" s="280" t="s">
        <v>249</v>
      </c>
      <c r="D484" s="150">
        <f>D223</f>
        <v>75.034442695465358</v>
      </c>
      <c r="E484" s="281" t="s">
        <v>123</v>
      </c>
      <c r="F484" s="281" t="s">
        <v>250</v>
      </c>
    </row>
    <row r="485" spans="1:10" s="154" customFormat="1">
      <c r="A485" s="280"/>
      <c r="B485" s="280" t="s">
        <v>251</v>
      </c>
      <c r="D485" s="282">
        <f>-M470</f>
        <v>-8.5237010054417048</v>
      </c>
      <c r="E485" s="281" t="s">
        <v>123</v>
      </c>
      <c r="F485" s="154" t="s">
        <v>252</v>
      </c>
    </row>
    <row r="486" spans="1:10" s="154" customFormat="1">
      <c r="A486" s="280"/>
      <c r="B486" s="280" t="s">
        <v>253</v>
      </c>
      <c r="D486" s="283">
        <f>D484+D485</f>
        <v>66.51074169002365</v>
      </c>
      <c r="E486" s="281" t="s">
        <v>123</v>
      </c>
      <c r="F486" s="154" t="str">
        <f>"** RECO average transmission rate of "&amp;TEXT(D223-D318,"0.00")&amp;" minus"</f>
        <v>** RECO average transmission rate of 9.54 minus</v>
      </c>
    </row>
    <row r="487" spans="1:10" s="154" customFormat="1">
      <c r="A487" s="280"/>
      <c r="F487" s="154" t="s">
        <v>254</v>
      </c>
    </row>
    <row r="488" spans="1:10" s="154" customFormat="1">
      <c r="A488" s="280"/>
      <c r="D488" s="284"/>
      <c r="F488" s="154" t="str">
        <f>"average rate "&amp;TEXT(M466,"0.000")&amp;"/"&amp;TEXT(4+M466,"0.000")&amp;" *$"&amp;TEXT(M468,"0.00")&amp;" per MWh)."</f>
        <v>average rate 0.480/4.480 *$9.54 per MWh).</v>
      </c>
      <c r="I488" s="151"/>
    </row>
    <row r="489" spans="1:10" s="154" customFormat="1">
      <c r="A489" s="280"/>
      <c r="B489" s="155" t="s">
        <v>255</v>
      </c>
    </row>
    <row r="490" spans="1:10" s="154" customFormat="1">
      <c r="A490" s="280"/>
    </row>
    <row r="491" spans="1:10" s="154" customFormat="1">
      <c r="A491" s="280"/>
      <c r="C491" s="157" t="str">
        <f t="shared" ref="C491:I491" si="66">C6</f>
        <v>SC1</v>
      </c>
      <c r="D491" s="157" t="str">
        <f t="shared" si="66"/>
        <v>SC5</v>
      </c>
      <c r="E491" s="157" t="str">
        <f t="shared" si="66"/>
        <v>SC3</v>
      </c>
      <c r="F491" s="157" t="str">
        <f t="shared" si="66"/>
        <v>SC2 ND</v>
      </c>
      <c r="G491" s="157" t="str">
        <f t="shared" si="66"/>
        <v>SC4</v>
      </c>
      <c r="H491" s="157" t="str">
        <f t="shared" si="66"/>
        <v>SC6</v>
      </c>
      <c r="I491" s="157" t="str">
        <f t="shared" si="66"/>
        <v>SC2 Dem</v>
      </c>
      <c r="J491" s="157"/>
    </row>
    <row r="492" spans="1:10" s="154" customFormat="1">
      <c r="A492" s="280"/>
      <c r="B492" s="158" t="s">
        <v>71</v>
      </c>
    </row>
    <row r="493" spans="1:10" s="154" customFormat="1">
      <c r="A493" s="280"/>
      <c r="B493" s="152" t="s">
        <v>256</v>
      </c>
      <c r="C493" s="152">
        <f>ROUND(($D$486*C327)/10,3)</f>
        <v>7.11</v>
      </c>
      <c r="D493" s="152">
        <f>ROUND(($D$486*D327)/10,3)</f>
        <v>6.7110000000000003</v>
      </c>
      <c r="F493" s="160">
        <f>ROUND(F327*$D$486/10,3)</f>
        <v>7.2960000000000003</v>
      </c>
      <c r="G493" s="160">
        <f>ROUND(G327*$D$486/10,3)</f>
        <v>4.1900000000000004</v>
      </c>
      <c r="H493" s="160">
        <f>ROUND(H327*$D$486/10,3)</f>
        <v>4.1840000000000002</v>
      </c>
      <c r="I493" s="160">
        <f>ROUND((C348*$D$486+D348)/10,3)</f>
        <v>4.9459999999999997</v>
      </c>
      <c r="J493" s="160"/>
    </row>
    <row r="494" spans="1:10" s="154" customFormat="1">
      <c r="A494" s="280"/>
      <c r="B494" s="152" t="s">
        <v>257</v>
      </c>
      <c r="E494" s="160">
        <f>ROUND(E328*$D$486/10,3)</f>
        <v>11.333</v>
      </c>
      <c r="J494" s="160"/>
    </row>
    <row r="495" spans="1:10" s="154" customFormat="1">
      <c r="A495" s="280"/>
      <c r="B495" s="152" t="s">
        <v>258</v>
      </c>
      <c r="E495" s="160">
        <f>ROUND(E329*$D$486/10,3)</f>
        <v>4.0510000000000002</v>
      </c>
      <c r="J495" s="160"/>
    </row>
    <row r="496" spans="1:10" s="154" customFormat="1">
      <c r="A496" s="280"/>
      <c r="B496" s="153" t="s">
        <v>43</v>
      </c>
      <c r="C496" s="152">
        <f>ROUND(($D$486*C327+C332)/10,3)</f>
        <v>6.1139999999999999</v>
      </c>
      <c r="D496" s="154">
        <f>ROUND(($D$486*D327+D332)/10,3)</f>
        <v>5.56</v>
      </c>
      <c r="E496" s="160"/>
      <c r="J496" s="160"/>
    </row>
    <row r="497" spans="1:10" s="154" customFormat="1">
      <c r="A497" s="280"/>
      <c r="B497" s="152" t="s">
        <v>44</v>
      </c>
      <c r="C497" s="154">
        <f>ROUND(($D$486*C327+C333)/10,3)</f>
        <v>7.3630000000000004</v>
      </c>
      <c r="D497" s="154">
        <f>ROUND(($D$486*D327+D333)/10,3)</f>
        <v>6.819</v>
      </c>
      <c r="E497" s="160"/>
      <c r="J497" s="160"/>
    </row>
    <row r="498" spans="1:10" s="154" customFormat="1">
      <c r="A498" s="280"/>
      <c r="B498" s="152" t="s">
        <v>45</v>
      </c>
      <c r="C498" s="153" t="s">
        <v>161</v>
      </c>
      <c r="D498" s="154">
        <f>ROUND(($D$486*D327+D334)/10,3)</f>
        <v>7.6669999999999998</v>
      </c>
      <c r="E498" s="160"/>
      <c r="J498" s="160"/>
    </row>
    <row r="499" spans="1:10" s="154" customFormat="1">
      <c r="A499" s="280"/>
    </row>
    <row r="500" spans="1:10" s="154" customFormat="1">
      <c r="A500" s="280"/>
      <c r="B500" s="153" t="s">
        <v>259</v>
      </c>
      <c r="I500" s="285">
        <f>H352</f>
        <v>7.0129999999999999</v>
      </c>
      <c r="J500" s="285"/>
    </row>
    <row r="501" spans="1:10" s="154" customFormat="1">
      <c r="A501" s="280"/>
    </row>
    <row r="502" spans="1:10" s="154" customFormat="1">
      <c r="A502" s="280"/>
      <c r="B502" s="158" t="s">
        <v>64</v>
      </c>
    </row>
    <row r="503" spans="1:10" s="154" customFormat="1">
      <c r="A503" s="280"/>
      <c r="B503" s="152" t="s">
        <v>256</v>
      </c>
      <c r="C503" s="160">
        <f>ROUND(C336*$D$486/10,3)</f>
        <v>7.6349999999999998</v>
      </c>
      <c r="D503" s="160">
        <f>ROUND(D336*$D$486/10,3)</f>
        <v>6.3049999999999997</v>
      </c>
      <c r="F503" s="160">
        <f>ROUND(F336*$D$486/10,3)</f>
        <v>6.5049999999999999</v>
      </c>
      <c r="G503" s="160">
        <f>ROUND(G336*$D$486/10,3)</f>
        <v>4.4160000000000004</v>
      </c>
      <c r="H503" s="160">
        <f>ROUND(H336*$D$486/10,3)</f>
        <v>4.3959999999999999</v>
      </c>
      <c r="I503" s="160">
        <f>ROUND((C352*$D$486+D352)/10,3)</f>
        <v>4.7210000000000001</v>
      </c>
    </row>
    <row r="504" spans="1:10" s="154" customFormat="1">
      <c r="A504" s="280"/>
      <c r="B504" s="152" t="s">
        <v>257</v>
      </c>
      <c r="E504" s="160">
        <f>ROUND(E337*$D$486/10,3)</f>
        <v>10.722</v>
      </c>
      <c r="J504" s="160"/>
    </row>
    <row r="505" spans="1:10" s="154" customFormat="1">
      <c r="A505" s="280"/>
      <c r="B505" s="152" t="s">
        <v>258</v>
      </c>
      <c r="E505" s="160">
        <f>ROUND(E338*$D$486/10,3)</f>
        <v>4.2969999999999997</v>
      </c>
      <c r="J505" s="160"/>
    </row>
    <row r="506" spans="1:10" s="154" customFormat="1">
      <c r="A506" s="280"/>
    </row>
    <row r="507" spans="1:10" s="154" customFormat="1">
      <c r="A507" s="280"/>
      <c r="B507" s="153" t="s">
        <v>259</v>
      </c>
      <c r="I507" s="285">
        <f>H353</f>
        <v>7.2949999999999999</v>
      </c>
      <c r="J507" s="285"/>
    </row>
    <row r="508" spans="1:10" s="154" customFormat="1">
      <c r="A508" s="280"/>
      <c r="B508" s="153"/>
      <c r="I508" s="285"/>
      <c r="J508" s="285"/>
    </row>
    <row r="509" spans="1:10" s="154" customFormat="1">
      <c r="A509" s="280"/>
      <c r="B509" s="153"/>
      <c r="I509" s="285"/>
      <c r="J509" s="285"/>
    </row>
    <row r="510" spans="1:10" s="154" customFormat="1">
      <c r="A510" s="280"/>
      <c r="B510" s="155" t="s">
        <v>260</v>
      </c>
      <c r="D510" s="154" t="s">
        <v>261</v>
      </c>
      <c r="E510" s="156">
        <v>7.0000000000000007E-2</v>
      </c>
      <c r="J510" s="285"/>
    </row>
    <row r="511" spans="1:10" s="154" customFormat="1">
      <c r="A511" s="280"/>
      <c r="J511" s="285"/>
    </row>
    <row r="512" spans="1:10" s="154" customFormat="1">
      <c r="A512" s="280"/>
      <c r="C512" s="157" t="s">
        <v>8</v>
      </c>
      <c r="D512" s="157" t="s">
        <v>9</v>
      </c>
      <c r="E512" s="157" t="s">
        <v>10</v>
      </c>
      <c r="F512" s="157" t="s">
        <v>11</v>
      </c>
      <c r="G512" s="157" t="s">
        <v>12</v>
      </c>
      <c r="H512" s="157" t="s">
        <v>13</v>
      </c>
      <c r="I512" s="157" t="s">
        <v>14</v>
      </c>
      <c r="J512" s="285"/>
    </row>
    <row r="513" spans="1:10" s="154" customFormat="1">
      <c r="A513" s="280"/>
      <c r="B513" s="158" t="s">
        <v>71</v>
      </c>
      <c r="J513" s="285"/>
    </row>
    <row r="514" spans="1:10" s="154" customFormat="1">
      <c r="A514" s="280"/>
      <c r="B514" s="152" t="s">
        <v>256</v>
      </c>
      <c r="C514" s="152"/>
      <c r="D514" s="152"/>
      <c r="F514" s="152">
        <f>ROUND(F493*(1+$E$510),3)</f>
        <v>7.8070000000000004</v>
      </c>
      <c r="G514" s="152">
        <f>ROUND(G493*(1+$E$510),3)</f>
        <v>4.4829999999999997</v>
      </c>
      <c r="H514" s="152">
        <f>ROUND(H493*(1+$E$510),3)</f>
        <v>4.4770000000000003</v>
      </c>
      <c r="I514" s="152">
        <f>ROUND(I493*(1+$E$510),3)</f>
        <v>5.2919999999999998</v>
      </c>
      <c r="J514" s="285"/>
    </row>
    <row r="515" spans="1:10" s="154" customFormat="1">
      <c r="A515" s="280"/>
      <c r="B515" s="152" t="s">
        <v>257</v>
      </c>
      <c r="E515" s="152">
        <f>ROUND(E494*(1+$E$510),3)</f>
        <v>12.125999999999999</v>
      </c>
      <c r="J515" s="285"/>
    </row>
    <row r="516" spans="1:10" s="154" customFormat="1">
      <c r="A516" s="280"/>
      <c r="B516" s="152" t="s">
        <v>258</v>
      </c>
      <c r="E516" s="152">
        <f>ROUND(E495*(1+$E$510),3)</f>
        <v>4.335</v>
      </c>
      <c r="J516" s="285"/>
    </row>
    <row r="517" spans="1:10" s="154" customFormat="1">
      <c r="A517" s="280"/>
      <c r="B517" s="153" t="s">
        <v>43</v>
      </c>
      <c r="C517" s="159">
        <f>ROUND(C496*(1+$E$510),3)</f>
        <v>6.5419999999999998</v>
      </c>
      <c r="D517" s="152">
        <f>ROUND(D496*(1+$E$510),3)</f>
        <v>5.9489999999999998</v>
      </c>
      <c r="E517" s="160"/>
      <c r="J517" s="285"/>
    </row>
    <row r="518" spans="1:10" s="154" customFormat="1">
      <c r="A518" s="280"/>
      <c r="B518" s="152" t="s">
        <v>44</v>
      </c>
      <c r="C518" s="159">
        <f>ROUND(C497*(1+$E$510),3)</f>
        <v>7.8780000000000001</v>
      </c>
      <c r="D518" s="152">
        <f>ROUND(D497*(1+$E$510),3)</f>
        <v>7.2960000000000003</v>
      </c>
      <c r="E518" s="160"/>
      <c r="J518" s="285"/>
    </row>
    <row r="519" spans="1:10" s="154" customFormat="1">
      <c r="A519" s="280"/>
      <c r="B519" s="152" t="s">
        <v>45</v>
      </c>
      <c r="C519" s="153" t="s">
        <v>161</v>
      </c>
      <c r="D519" s="152">
        <f>ROUND(D498*(1+$E$510),3)</f>
        <v>8.2040000000000006</v>
      </c>
      <c r="E519" s="160"/>
      <c r="J519" s="285"/>
    </row>
    <row r="520" spans="1:10" s="154" customFormat="1">
      <c r="A520" s="280"/>
      <c r="J520" s="285"/>
    </row>
    <row r="521" spans="1:10" s="154" customFormat="1">
      <c r="A521" s="280"/>
      <c r="B521" s="153" t="s">
        <v>259</v>
      </c>
      <c r="I521" s="161">
        <f>ROUND(I500*(1+$E$510),3)</f>
        <v>7.5039999999999996</v>
      </c>
      <c r="J521" s="285"/>
    </row>
    <row r="522" spans="1:10" s="154" customFormat="1">
      <c r="A522" s="280"/>
      <c r="J522" s="285"/>
    </row>
    <row r="523" spans="1:10" s="154" customFormat="1">
      <c r="A523" s="280"/>
      <c r="B523" s="158" t="s">
        <v>64</v>
      </c>
      <c r="J523" s="285"/>
    </row>
    <row r="524" spans="1:10" s="154" customFormat="1">
      <c r="A524" s="280"/>
      <c r="B524" s="152" t="s">
        <v>256</v>
      </c>
      <c r="C524" s="152">
        <f>ROUND(C503*(1+$E$510),3)</f>
        <v>8.1690000000000005</v>
      </c>
      <c r="D524" s="152">
        <f>ROUND(D503*(1+$E$510),3)</f>
        <v>6.7460000000000004</v>
      </c>
      <c r="F524" s="152">
        <f>ROUND(F503*(1+$E$510),3)</f>
        <v>6.96</v>
      </c>
      <c r="G524" s="152">
        <f>ROUND(G503*(1+$E$510),3)</f>
        <v>4.7249999999999996</v>
      </c>
      <c r="H524" s="152">
        <f>ROUND(H503*(1+$E$510),3)</f>
        <v>4.7039999999999997</v>
      </c>
      <c r="I524" s="152">
        <f>ROUND(I503*(1+$E$510),3)</f>
        <v>5.0510000000000002</v>
      </c>
      <c r="J524" s="285"/>
    </row>
    <row r="525" spans="1:10" s="154" customFormat="1">
      <c r="A525" s="280"/>
      <c r="B525" s="152" t="s">
        <v>257</v>
      </c>
      <c r="E525" s="152">
        <f>ROUND(E504*(1+$E$510),3)</f>
        <v>11.473000000000001</v>
      </c>
      <c r="J525" s="285"/>
    </row>
    <row r="526" spans="1:10" s="154" customFormat="1">
      <c r="A526" s="280"/>
      <c r="B526" s="152" t="s">
        <v>258</v>
      </c>
      <c r="E526" s="152">
        <f>ROUND(E505*(1+$E$510),3)</f>
        <v>4.5979999999999999</v>
      </c>
      <c r="J526" s="285"/>
    </row>
    <row r="527" spans="1:10" s="154" customFormat="1">
      <c r="A527" s="280"/>
      <c r="J527" s="285"/>
    </row>
    <row r="528" spans="1:10" s="154" customFormat="1">
      <c r="A528" s="280"/>
      <c r="B528" s="153" t="s">
        <v>259</v>
      </c>
      <c r="I528" s="161">
        <f>ROUND(I507*(1+$E$510),3)</f>
        <v>7.806</v>
      </c>
      <c r="J528" s="285"/>
    </row>
    <row r="529" spans="1:10" s="154" customFormat="1">
      <c r="A529" s="280"/>
      <c r="B529" s="153"/>
      <c r="I529" s="285"/>
      <c r="J529" s="285"/>
    </row>
    <row r="530" spans="1:10" s="154" customFormat="1">
      <c r="A530" s="280"/>
      <c r="B530" s="153"/>
      <c r="I530" s="285"/>
      <c r="J530" s="285"/>
    </row>
    <row r="531" spans="1:10" s="154" customFormat="1">
      <c r="A531" s="280"/>
      <c r="B531" s="153"/>
      <c r="I531" s="285"/>
      <c r="J531" s="285"/>
    </row>
    <row r="532" spans="1:10" s="154" customFormat="1">
      <c r="A532" s="278" t="s">
        <v>262</v>
      </c>
      <c r="B532" s="279" t="s">
        <v>360</v>
      </c>
      <c r="J532" s="285"/>
    </row>
    <row r="533" spans="1:10" s="154" customFormat="1">
      <c r="A533" s="278"/>
      <c r="B533" s="279"/>
      <c r="J533" s="285"/>
    </row>
    <row r="534" spans="1:10" s="154" customFormat="1">
      <c r="A534" s="278"/>
      <c r="B534" s="155" t="s">
        <v>264</v>
      </c>
      <c r="J534" s="285"/>
    </row>
    <row r="535" spans="1:10" s="154" customFormat="1">
      <c r="A535" s="278"/>
      <c r="B535" s="280"/>
      <c r="C535" s="157" t="str">
        <f t="shared" ref="C535:I535" si="67">C491</f>
        <v>SC1</v>
      </c>
      <c r="D535" s="157" t="str">
        <f t="shared" si="67"/>
        <v>SC5</v>
      </c>
      <c r="E535" s="157" t="str">
        <f t="shared" si="67"/>
        <v>SC3</v>
      </c>
      <c r="F535" s="157" t="str">
        <f t="shared" si="67"/>
        <v>SC2 ND</v>
      </c>
      <c r="G535" s="157" t="str">
        <f t="shared" si="67"/>
        <v>SC4</v>
      </c>
      <c r="H535" s="157" t="str">
        <f t="shared" si="67"/>
        <v>SC6</v>
      </c>
      <c r="I535" s="157" t="str">
        <f t="shared" si="67"/>
        <v>SC2 Dem</v>
      </c>
      <c r="J535" s="285"/>
    </row>
    <row r="536" spans="1:10" s="154" customFormat="1">
      <c r="A536" s="278"/>
      <c r="B536" s="280" t="s">
        <v>265</v>
      </c>
      <c r="C536" s="162">
        <v>1.1299999999999999</v>
      </c>
      <c r="D536" s="162">
        <v>0.74199999999999999</v>
      </c>
      <c r="E536" s="162">
        <v>0.75800000000000001</v>
      </c>
      <c r="F536" s="162">
        <v>0.51600000000000001</v>
      </c>
      <c r="G536" s="162">
        <v>0.66200000000000003</v>
      </c>
      <c r="H536" s="162">
        <v>0.57999999999999996</v>
      </c>
      <c r="I536" s="162">
        <v>0.51600000000000001</v>
      </c>
      <c r="J536" s="285"/>
    </row>
    <row r="537" spans="1:10" s="154" customFormat="1">
      <c r="A537" s="278"/>
      <c r="B537" s="280" t="s">
        <v>266</v>
      </c>
      <c r="I537" s="163">
        <v>1.29</v>
      </c>
      <c r="J537" s="285"/>
    </row>
    <row r="538" spans="1:10" s="154" customFormat="1">
      <c r="A538" s="280"/>
      <c r="I538" s="163">
        <v>1.1100000000000001</v>
      </c>
      <c r="J538" s="285"/>
    </row>
    <row r="539" spans="1:10" s="154" customFormat="1">
      <c r="A539" s="280"/>
      <c r="J539" s="285"/>
    </row>
    <row r="540" spans="1:10" s="154" customFormat="1">
      <c r="A540" s="280"/>
      <c r="J540" s="285"/>
    </row>
    <row r="541" spans="1:10" s="154" customFormat="1">
      <c r="A541" s="280"/>
      <c r="B541" s="155" t="s">
        <v>267</v>
      </c>
      <c r="J541" s="285"/>
    </row>
    <row r="542" spans="1:10" s="154" customFormat="1">
      <c r="A542" s="280"/>
      <c r="J542" s="285"/>
    </row>
    <row r="543" spans="1:10" s="154" customFormat="1">
      <c r="A543" s="280"/>
      <c r="J543" s="285"/>
    </row>
    <row r="544" spans="1:10" s="154" customFormat="1">
      <c r="A544" s="280"/>
      <c r="B544" s="158" t="s">
        <v>71</v>
      </c>
      <c r="J544" s="285"/>
    </row>
    <row r="545" spans="1:10" s="154" customFormat="1">
      <c r="A545" s="280"/>
      <c r="B545" s="152" t="s">
        <v>256</v>
      </c>
      <c r="C545" s="160">
        <f t="shared" ref="C545:I552" si="68">IF(C493&gt;0,C493+C$536,"")</f>
        <v>8.24</v>
      </c>
      <c r="D545" s="160">
        <f t="shared" si="68"/>
        <v>7.4530000000000003</v>
      </c>
      <c r="E545" s="160" t="str">
        <f t="shared" si="68"/>
        <v/>
      </c>
      <c r="F545" s="160">
        <f t="shared" si="68"/>
        <v>7.8120000000000003</v>
      </c>
      <c r="G545" s="160">
        <f t="shared" si="68"/>
        <v>4.8520000000000003</v>
      </c>
      <c r="H545" s="160">
        <f t="shared" si="68"/>
        <v>4.7640000000000002</v>
      </c>
      <c r="I545" s="160">
        <f t="shared" si="68"/>
        <v>5.4619999999999997</v>
      </c>
      <c r="J545" s="285"/>
    </row>
    <row r="546" spans="1:10" s="154" customFormat="1">
      <c r="A546" s="280"/>
      <c r="B546" s="152" t="s">
        <v>257</v>
      </c>
      <c r="C546" s="160" t="str">
        <f t="shared" si="68"/>
        <v/>
      </c>
      <c r="D546" s="160" t="str">
        <f t="shared" si="68"/>
        <v/>
      </c>
      <c r="E546" s="160">
        <f t="shared" si="68"/>
        <v>12.091000000000001</v>
      </c>
      <c r="F546" s="160" t="str">
        <f t="shared" si="68"/>
        <v/>
      </c>
      <c r="G546" s="160" t="str">
        <f t="shared" si="68"/>
        <v/>
      </c>
      <c r="H546" s="160" t="str">
        <f t="shared" si="68"/>
        <v/>
      </c>
      <c r="I546" s="160" t="str">
        <f t="shared" si="68"/>
        <v/>
      </c>
      <c r="J546" s="285"/>
    </row>
    <row r="547" spans="1:10" s="154" customFormat="1">
      <c r="A547" s="280"/>
      <c r="B547" s="152" t="s">
        <v>258</v>
      </c>
      <c r="C547" s="160" t="str">
        <f t="shared" si="68"/>
        <v/>
      </c>
      <c r="D547" s="160" t="str">
        <f t="shared" si="68"/>
        <v/>
      </c>
      <c r="E547" s="160">
        <f t="shared" si="68"/>
        <v>4.8090000000000002</v>
      </c>
      <c r="F547" s="160" t="str">
        <f t="shared" si="68"/>
        <v/>
      </c>
      <c r="G547" s="160" t="str">
        <f t="shared" si="68"/>
        <v/>
      </c>
      <c r="H547" s="160" t="str">
        <f t="shared" si="68"/>
        <v/>
      </c>
      <c r="I547" s="160" t="str">
        <f t="shared" si="68"/>
        <v/>
      </c>
      <c r="J547" s="285"/>
    </row>
    <row r="548" spans="1:10" s="154" customFormat="1">
      <c r="A548" s="280"/>
      <c r="B548" s="153" t="s">
        <v>43</v>
      </c>
      <c r="C548" s="160">
        <f t="shared" si="68"/>
        <v>7.2439999999999998</v>
      </c>
      <c r="D548" s="160">
        <f t="shared" si="68"/>
        <v>6.3019999999999996</v>
      </c>
      <c r="E548" s="160" t="str">
        <f t="shared" si="68"/>
        <v/>
      </c>
      <c r="F548" s="160" t="str">
        <f t="shared" si="68"/>
        <v/>
      </c>
      <c r="G548" s="160" t="str">
        <f t="shared" si="68"/>
        <v/>
      </c>
      <c r="H548" s="160" t="str">
        <f t="shared" si="68"/>
        <v/>
      </c>
      <c r="I548" s="160" t="str">
        <f t="shared" si="68"/>
        <v/>
      </c>
      <c r="J548" s="285"/>
    </row>
    <row r="549" spans="1:10" s="154" customFormat="1">
      <c r="A549" s="280"/>
      <c r="B549" s="152" t="s">
        <v>44</v>
      </c>
      <c r="C549" s="160">
        <f t="shared" si="68"/>
        <v>8.4930000000000003</v>
      </c>
      <c r="D549" s="160">
        <f t="shared" si="68"/>
        <v>7.5609999999999999</v>
      </c>
      <c r="E549" s="160" t="str">
        <f t="shared" si="68"/>
        <v/>
      </c>
      <c r="F549" s="160" t="str">
        <f t="shared" si="68"/>
        <v/>
      </c>
      <c r="G549" s="160" t="str">
        <f t="shared" si="68"/>
        <v/>
      </c>
      <c r="H549" s="160" t="str">
        <f t="shared" si="68"/>
        <v/>
      </c>
      <c r="I549" s="160" t="str">
        <f t="shared" si="68"/>
        <v/>
      </c>
      <c r="J549" s="285"/>
    </row>
    <row r="550" spans="1:10" s="154" customFormat="1">
      <c r="A550" s="280"/>
      <c r="B550" s="152" t="s">
        <v>45</v>
      </c>
      <c r="C550" s="160" t="e">
        <f t="shared" si="68"/>
        <v>#VALUE!</v>
      </c>
      <c r="D550" s="160">
        <f t="shared" si="68"/>
        <v>8.4089999999999989</v>
      </c>
      <c r="E550" s="160" t="str">
        <f t="shared" si="68"/>
        <v/>
      </c>
      <c r="F550" s="160" t="str">
        <f t="shared" si="68"/>
        <v/>
      </c>
      <c r="G550" s="160" t="str">
        <f t="shared" si="68"/>
        <v/>
      </c>
      <c r="H550" s="160" t="str">
        <f t="shared" si="68"/>
        <v/>
      </c>
      <c r="I550" s="160" t="str">
        <f t="shared" si="68"/>
        <v/>
      </c>
      <c r="J550" s="285"/>
    </row>
    <row r="551" spans="1:10" s="154" customFormat="1">
      <c r="A551" s="280"/>
      <c r="C551" s="160" t="str">
        <f t="shared" si="68"/>
        <v/>
      </c>
      <c r="D551" s="160" t="str">
        <f t="shared" si="68"/>
        <v/>
      </c>
      <c r="E551" s="160" t="str">
        <f t="shared" si="68"/>
        <v/>
      </c>
      <c r="F551" s="160" t="str">
        <f t="shared" si="68"/>
        <v/>
      </c>
      <c r="G551" s="160" t="str">
        <f t="shared" si="68"/>
        <v/>
      </c>
      <c r="H551" s="160" t="str">
        <f t="shared" si="68"/>
        <v/>
      </c>
      <c r="I551" s="160" t="str">
        <f t="shared" si="68"/>
        <v/>
      </c>
      <c r="J551" s="285"/>
    </row>
    <row r="552" spans="1:10" s="154" customFormat="1">
      <c r="A552" s="280"/>
      <c r="B552" s="153" t="s">
        <v>259</v>
      </c>
      <c r="C552" s="160" t="str">
        <f t="shared" si="68"/>
        <v/>
      </c>
      <c r="D552" s="160" t="str">
        <f t="shared" si="68"/>
        <v/>
      </c>
      <c r="E552" s="160" t="str">
        <f t="shared" si="68"/>
        <v/>
      </c>
      <c r="F552" s="160" t="str">
        <f t="shared" si="68"/>
        <v/>
      </c>
      <c r="G552" s="160" t="str">
        <f t="shared" si="68"/>
        <v/>
      </c>
      <c r="H552" s="160" t="str">
        <f t="shared" si="68"/>
        <v/>
      </c>
      <c r="I552" s="160">
        <f>IF(I500&gt;0,I500+I$537,"")</f>
        <v>8.3030000000000008</v>
      </c>
      <c r="J552" s="285"/>
    </row>
    <row r="553" spans="1:10" s="154" customFormat="1">
      <c r="A553" s="280"/>
      <c r="J553" s="285"/>
    </row>
    <row r="554" spans="1:10" s="154" customFormat="1">
      <c r="A554" s="280"/>
      <c r="B554" s="158" t="s">
        <v>64</v>
      </c>
      <c r="J554" s="285"/>
    </row>
    <row r="555" spans="1:10" s="154" customFormat="1">
      <c r="A555" s="280"/>
      <c r="B555" s="152" t="s">
        <v>256</v>
      </c>
      <c r="C555" s="160">
        <f t="shared" ref="C555:I559" si="69">IF(C503&gt;0,C503+C$536,"")</f>
        <v>8.7650000000000006</v>
      </c>
      <c r="D555" s="160">
        <f t="shared" si="69"/>
        <v>7.0469999999999997</v>
      </c>
      <c r="E555" s="160" t="str">
        <f t="shared" si="69"/>
        <v/>
      </c>
      <c r="F555" s="160">
        <f t="shared" si="69"/>
        <v>7.0209999999999999</v>
      </c>
      <c r="G555" s="160">
        <f t="shared" si="69"/>
        <v>5.0780000000000003</v>
      </c>
      <c r="H555" s="160">
        <f t="shared" si="69"/>
        <v>4.976</v>
      </c>
      <c r="I555" s="160">
        <f t="shared" si="69"/>
        <v>5.2370000000000001</v>
      </c>
      <c r="J555" s="285"/>
    </row>
    <row r="556" spans="1:10" s="154" customFormat="1">
      <c r="A556" s="280"/>
      <c r="B556" s="152" t="s">
        <v>257</v>
      </c>
      <c r="C556" s="160" t="str">
        <f t="shared" si="69"/>
        <v/>
      </c>
      <c r="D556" s="160" t="str">
        <f t="shared" si="69"/>
        <v/>
      </c>
      <c r="E556" s="160">
        <f t="shared" si="69"/>
        <v>11.48</v>
      </c>
      <c r="F556" s="160" t="str">
        <f t="shared" si="69"/>
        <v/>
      </c>
      <c r="G556" s="160" t="str">
        <f t="shared" si="69"/>
        <v/>
      </c>
      <c r="H556" s="160" t="str">
        <f t="shared" si="69"/>
        <v/>
      </c>
      <c r="I556" s="160" t="str">
        <f t="shared" si="69"/>
        <v/>
      </c>
      <c r="J556" s="285"/>
    </row>
    <row r="557" spans="1:10" s="154" customFormat="1">
      <c r="A557" s="280"/>
      <c r="B557" s="152" t="s">
        <v>258</v>
      </c>
      <c r="C557" s="160" t="str">
        <f t="shared" si="69"/>
        <v/>
      </c>
      <c r="D557" s="160" t="str">
        <f t="shared" si="69"/>
        <v/>
      </c>
      <c r="E557" s="160">
        <f t="shared" si="69"/>
        <v>5.0549999999999997</v>
      </c>
      <c r="F557" s="160" t="str">
        <f t="shared" si="69"/>
        <v/>
      </c>
      <c r="G557" s="160" t="str">
        <f t="shared" si="69"/>
        <v/>
      </c>
      <c r="H557" s="160" t="str">
        <f t="shared" si="69"/>
        <v/>
      </c>
      <c r="I557" s="160" t="str">
        <f t="shared" si="69"/>
        <v/>
      </c>
      <c r="J557" s="285"/>
    </row>
    <row r="558" spans="1:10" s="154" customFormat="1">
      <c r="A558" s="280"/>
      <c r="C558" s="160" t="str">
        <f t="shared" si="69"/>
        <v/>
      </c>
      <c r="D558" s="160" t="str">
        <f t="shared" si="69"/>
        <v/>
      </c>
      <c r="E558" s="160" t="str">
        <f t="shared" si="69"/>
        <v/>
      </c>
      <c r="F558" s="160" t="str">
        <f t="shared" si="69"/>
        <v/>
      </c>
      <c r="G558" s="160" t="str">
        <f t="shared" si="69"/>
        <v/>
      </c>
      <c r="H558" s="160" t="str">
        <f t="shared" si="69"/>
        <v/>
      </c>
      <c r="I558" s="160" t="str">
        <f t="shared" si="69"/>
        <v/>
      </c>
      <c r="J558" s="285"/>
    </row>
    <row r="559" spans="1:10" s="154" customFormat="1">
      <c r="A559" s="280"/>
      <c r="B559" s="153" t="s">
        <v>259</v>
      </c>
      <c r="C559" s="160" t="str">
        <f t="shared" si="69"/>
        <v/>
      </c>
      <c r="D559" s="160" t="str">
        <f t="shared" si="69"/>
        <v/>
      </c>
      <c r="E559" s="160" t="str">
        <f t="shared" si="69"/>
        <v/>
      </c>
      <c r="F559" s="160" t="str">
        <f t="shared" si="69"/>
        <v/>
      </c>
      <c r="G559" s="160" t="str">
        <f t="shared" si="69"/>
        <v/>
      </c>
      <c r="H559" s="160" t="str">
        <f t="shared" si="69"/>
        <v/>
      </c>
      <c r="I559" s="160">
        <f>IF(I507&gt;0,I507+I$538,"")</f>
        <v>8.4049999999999994</v>
      </c>
      <c r="J559" s="285"/>
    </row>
    <row r="560" spans="1:10" s="154" customFormat="1">
      <c r="A560" s="280"/>
      <c r="B560" s="153"/>
      <c r="I560" s="285"/>
      <c r="J560" s="285"/>
    </row>
    <row r="561" spans="1:10" s="154" customFormat="1">
      <c r="A561" s="280"/>
      <c r="B561" s="153"/>
      <c r="I561" s="285"/>
      <c r="J561" s="285"/>
    </row>
    <row r="562" spans="1:10" s="154" customFormat="1">
      <c r="A562" s="280"/>
    </row>
    <row r="563" spans="1:10" s="154" customFormat="1">
      <c r="A563" s="286"/>
      <c r="C563" s="287"/>
      <c r="E563" s="287"/>
    </row>
    <row r="564" spans="1:10" s="154" customFormat="1">
      <c r="A564" s="278" t="s">
        <v>268</v>
      </c>
      <c r="B564" s="288" t="s">
        <v>269</v>
      </c>
      <c r="C564" s="287"/>
      <c r="E564" s="287"/>
    </row>
    <row r="565" spans="1:10" s="154" customFormat="1">
      <c r="A565" s="286"/>
      <c r="C565" s="287"/>
      <c r="E565" s="287"/>
    </row>
    <row r="566" spans="1:10" s="154" customFormat="1">
      <c r="A566" s="286"/>
      <c r="B566" s="153" t="s">
        <v>270</v>
      </c>
      <c r="C566" s="289">
        <f>+D223</f>
        <v>75.034442695465358</v>
      </c>
      <c r="E566" s="287"/>
    </row>
    <row r="567" spans="1:10" s="154" customFormat="1">
      <c r="A567" s="286"/>
      <c r="B567" s="153" t="s">
        <v>271</v>
      </c>
      <c r="C567" s="290">
        <f>+J377</f>
        <v>0.98209999999999997</v>
      </c>
      <c r="E567" s="287"/>
    </row>
    <row r="568" spans="1:10" s="154" customFormat="1">
      <c r="A568" s="286"/>
      <c r="B568" s="153" t="s">
        <v>272</v>
      </c>
      <c r="C568" s="290">
        <f>+J378</f>
        <v>1.0116000000000001</v>
      </c>
      <c r="E568" s="287"/>
    </row>
    <row r="569" spans="1:10" s="154" customFormat="1">
      <c r="A569" s="286"/>
      <c r="B569" s="152" t="s">
        <v>273</v>
      </c>
      <c r="C569" s="291">
        <f>ROUND(C566*C567,4)</f>
        <v>73.691299999999998</v>
      </c>
      <c r="E569" s="287"/>
    </row>
    <row r="570" spans="1:10" s="154" customFormat="1">
      <c r="A570" s="286"/>
      <c r="B570" s="152" t="s">
        <v>274</v>
      </c>
      <c r="C570" s="291">
        <f>ROUND(C566*C568,4)</f>
        <v>75.904799999999994</v>
      </c>
      <c r="E570" s="287"/>
    </row>
    <row r="571" spans="1:10" s="154" customFormat="1">
      <c r="A571" s="286"/>
      <c r="B571" s="153"/>
      <c r="C571" s="287"/>
      <c r="E571" s="287"/>
    </row>
    <row r="572" spans="1:10" s="154" customFormat="1">
      <c r="A572" s="286"/>
      <c r="C572" s="287"/>
      <c r="E572" s="287"/>
    </row>
    <row r="573" spans="1:10" s="154" customFormat="1">
      <c r="A573" s="286"/>
      <c r="C573" s="157" t="str">
        <f t="shared" ref="C573:I573" si="70">C6</f>
        <v>SC1</v>
      </c>
      <c r="D573" s="157" t="str">
        <f t="shared" si="70"/>
        <v>SC5</v>
      </c>
      <c r="E573" s="157" t="str">
        <f t="shared" si="70"/>
        <v>SC3</v>
      </c>
      <c r="F573" s="157" t="str">
        <f t="shared" si="70"/>
        <v>SC2 ND</v>
      </c>
      <c r="G573" s="157" t="str">
        <f t="shared" si="70"/>
        <v>SC4</v>
      </c>
      <c r="H573" s="157" t="str">
        <f t="shared" si="70"/>
        <v>SC6</v>
      </c>
      <c r="I573" s="157" t="str">
        <f t="shared" si="70"/>
        <v>SC2 Dem</v>
      </c>
      <c r="J573" s="157"/>
    </row>
    <row r="574" spans="1:10" s="154" customFormat="1">
      <c r="A574" s="286"/>
      <c r="B574" s="281" t="s">
        <v>275</v>
      </c>
    </row>
    <row r="575" spans="1:10" s="154" customFormat="1">
      <c r="A575" s="286"/>
      <c r="B575" s="292" t="s">
        <v>71</v>
      </c>
      <c r="C575" s="164">
        <f>ROUND((C493*M48)/100,0)</f>
        <v>21663</v>
      </c>
      <c r="D575" s="164">
        <f>ROUND((D493*N48)/100,0)</f>
        <v>365</v>
      </c>
      <c r="E575" s="293">
        <f>ROUND((E494*O49+E495*O50)/100,0)</f>
        <v>6</v>
      </c>
      <c r="F575" s="164">
        <f>ROUND(F493*P48/100,0)</f>
        <v>849</v>
      </c>
      <c r="G575" s="164">
        <f>ROUND(G493*Q48/100,0)</f>
        <v>74</v>
      </c>
      <c r="H575" s="164">
        <f>ROUND(H493*R48/100,0)</f>
        <v>68</v>
      </c>
      <c r="I575" s="293">
        <v>12295</v>
      </c>
      <c r="J575" s="293"/>
    </row>
    <row r="576" spans="1:10" s="154" customFormat="1">
      <c r="A576" s="286"/>
      <c r="B576" s="292" t="s">
        <v>64</v>
      </c>
      <c r="C576" s="165">
        <f>ROUND(C503*M44/100,0)</f>
        <v>32297</v>
      </c>
      <c r="D576" s="165">
        <f>ROUND(D503*N44/100,0)</f>
        <v>733</v>
      </c>
      <c r="E576" s="294">
        <f>ROUND((E504*O45+E505*O46)/100,0)</f>
        <v>12</v>
      </c>
      <c r="F576" s="165">
        <f>ROUND(F503*P44/100,0)</f>
        <v>1829</v>
      </c>
      <c r="G576" s="165">
        <f>ROUND(G503*Q44/100,0)</f>
        <v>199</v>
      </c>
      <c r="H576" s="165">
        <f>ROUND(H503*R44/100,0)</f>
        <v>166</v>
      </c>
      <c r="I576" s="294">
        <v>21109</v>
      </c>
      <c r="J576" s="293"/>
    </row>
    <row r="577" spans="1:12" s="154" customFormat="1">
      <c r="A577" s="286"/>
      <c r="B577" s="292" t="s">
        <v>38</v>
      </c>
      <c r="C577" s="166">
        <f>+C576+C575</f>
        <v>53960</v>
      </c>
      <c r="D577" s="166">
        <f t="shared" ref="D577:I577" si="71">+D576+D575</f>
        <v>1098</v>
      </c>
      <c r="E577" s="166">
        <f t="shared" si="71"/>
        <v>18</v>
      </c>
      <c r="F577" s="166">
        <f t="shared" si="71"/>
        <v>2678</v>
      </c>
      <c r="G577" s="166">
        <f t="shared" si="71"/>
        <v>273</v>
      </c>
      <c r="H577" s="166">
        <f t="shared" si="71"/>
        <v>234</v>
      </c>
      <c r="I577" s="166">
        <f t="shared" si="71"/>
        <v>33404</v>
      </c>
      <c r="J577" s="166"/>
    </row>
    <row r="578" spans="1:12" s="154" customFormat="1">
      <c r="A578" s="286"/>
      <c r="B578" s="292"/>
      <c r="C578" s="166"/>
      <c r="D578" s="166"/>
      <c r="E578" s="166"/>
      <c r="F578" s="166"/>
      <c r="G578" s="166"/>
      <c r="H578" s="166"/>
      <c r="I578" s="166"/>
      <c r="J578" s="166"/>
    </row>
    <row r="579" spans="1:12" s="154" customFormat="1">
      <c r="A579" s="286"/>
      <c r="B579" s="292" t="s">
        <v>38</v>
      </c>
      <c r="C579" s="166"/>
      <c r="D579" s="166"/>
      <c r="E579" s="166"/>
      <c r="F579" s="166"/>
      <c r="G579" s="166"/>
      <c r="H579" s="166"/>
      <c r="I579" s="166"/>
      <c r="J579" s="166"/>
    </row>
    <row r="580" spans="1:12" s="154" customFormat="1">
      <c r="A580" s="286"/>
      <c r="B580" s="292" t="s">
        <v>71</v>
      </c>
      <c r="C580" s="166">
        <f>SUM(C575:I575)</f>
        <v>35320</v>
      </c>
      <c r="D580" s="166"/>
      <c r="E580" s="166"/>
      <c r="F580" s="166"/>
      <c r="G580" s="166"/>
      <c r="H580" s="166"/>
      <c r="I580" s="166"/>
      <c r="J580" s="166"/>
      <c r="L580" s="295"/>
    </row>
    <row r="581" spans="1:12" s="154" customFormat="1">
      <c r="A581" s="286"/>
      <c r="B581" s="292" t="s">
        <v>64</v>
      </c>
      <c r="C581" s="167">
        <f>SUM(C576:I576)</f>
        <v>56345</v>
      </c>
      <c r="E581" s="287"/>
      <c r="F581" s="166"/>
      <c r="G581" s="166"/>
    </row>
    <row r="582" spans="1:12" s="154" customFormat="1">
      <c r="A582" s="286"/>
      <c r="B582" s="292" t="s">
        <v>38</v>
      </c>
      <c r="C582" s="168">
        <f>+C581+C580</f>
        <v>91665</v>
      </c>
      <c r="E582" s="287"/>
      <c r="F582" s="168"/>
      <c r="G582" s="168"/>
    </row>
    <row r="583" spans="1:12" s="154" customFormat="1">
      <c r="A583" s="286"/>
      <c r="B583" s="292"/>
      <c r="C583" s="166"/>
      <c r="E583" s="287"/>
    </row>
    <row r="584" spans="1:12" s="154" customFormat="1">
      <c r="A584" s="286"/>
      <c r="C584" s="157" t="str">
        <f t="shared" ref="C584:I584" si="72">C6</f>
        <v>SC1</v>
      </c>
      <c r="D584" s="157" t="str">
        <f t="shared" si="72"/>
        <v>SC5</v>
      </c>
      <c r="E584" s="157" t="str">
        <f t="shared" si="72"/>
        <v>SC3</v>
      </c>
      <c r="F584" s="157" t="str">
        <f t="shared" si="72"/>
        <v>SC2 ND</v>
      </c>
      <c r="G584" s="157" t="str">
        <f t="shared" si="72"/>
        <v>SC4</v>
      </c>
      <c r="H584" s="157" t="str">
        <f t="shared" si="72"/>
        <v>SC6</v>
      </c>
      <c r="I584" s="157" t="str">
        <f t="shared" si="72"/>
        <v>SC2 Dem</v>
      </c>
      <c r="J584" s="157"/>
    </row>
    <row r="585" spans="1:12" s="154" customFormat="1">
      <c r="A585" s="286"/>
      <c r="B585" s="154" t="s">
        <v>276</v>
      </c>
    </row>
    <row r="586" spans="1:12" s="154" customFormat="1">
      <c r="A586" s="286"/>
      <c r="B586" s="292" t="s">
        <v>71</v>
      </c>
      <c r="C586" s="164">
        <f t="shared" ref="C586:I586" si="73">+$C569*M48*C78/1000</f>
        <v>24338.973680881692</v>
      </c>
      <c r="D586" s="164">
        <f t="shared" si="73"/>
        <v>434.80712138978294</v>
      </c>
      <c r="E586" s="164">
        <f t="shared" si="73"/>
        <v>7.3493028050450171</v>
      </c>
      <c r="F586" s="164">
        <f t="shared" si="73"/>
        <v>929.04773502906039</v>
      </c>
      <c r="G586" s="164">
        <f t="shared" si="73"/>
        <v>141.06108589564076</v>
      </c>
      <c r="H586" s="164">
        <f t="shared" si="73"/>
        <v>129.99591042188561</v>
      </c>
      <c r="I586" s="164">
        <f t="shared" si="73"/>
        <v>14378.271868261441</v>
      </c>
      <c r="J586" s="164"/>
    </row>
    <row r="587" spans="1:12" s="154" customFormat="1">
      <c r="A587" s="286"/>
      <c r="B587" s="292" t="s">
        <v>64</v>
      </c>
      <c r="C587" s="165">
        <f t="shared" ref="C587:I587" si="74">+$C570*M44*C78/1000</f>
        <v>34806.711802464604</v>
      </c>
      <c r="D587" s="165">
        <f t="shared" si="74"/>
        <v>956.70712612025682</v>
      </c>
      <c r="E587" s="165">
        <f t="shared" si="74"/>
        <v>14.728698337965595</v>
      </c>
      <c r="F587" s="165">
        <f t="shared" si="74"/>
        <v>2313.2284713699819</v>
      </c>
      <c r="G587" s="165">
        <f t="shared" si="74"/>
        <v>369.39526372716716</v>
      </c>
      <c r="H587" s="165">
        <f t="shared" si="74"/>
        <v>308.88167779361572</v>
      </c>
      <c r="I587" s="165">
        <f t="shared" si="74"/>
        <v>25577.330921033044</v>
      </c>
      <c r="J587" s="164"/>
    </row>
    <row r="588" spans="1:12" s="154" customFormat="1">
      <c r="A588" s="286"/>
      <c r="B588" s="292" t="s">
        <v>38</v>
      </c>
      <c r="C588" s="166">
        <f t="shared" ref="C588:I588" si="75">+C587+C586</f>
        <v>59145.6854833463</v>
      </c>
      <c r="D588" s="166">
        <f t="shared" si="75"/>
        <v>1391.5142475100397</v>
      </c>
      <c r="E588" s="166">
        <f t="shared" si="75"/>
        <v>22.07800114301061</v>
      </c>
      <c r="F588" s="166">
        <f t="shared" si="75"/>
        <v>3242.2762063990422</v>
      </c>
      <c r="G588" s="166">
        <f t="shared" si="75"/>
        <v>510.45634962280792</v>
      </c>
      <c r="H588" s="164">
        <f t="shared" si="75"/>
        <v>438.87758821550131</v>
      </c>
      <c r="I588" s="164">
        <f t="shared" si="75"/>
        <v>39955.602789294484</v>
      </c>
      <c r="J588" s="164"/>
    </row>
    <row r="589" spans="1:12" s="154" customFormat="1">
      <c r="A589" s="286"/>
      <c r="C589" s="287"/>
      <c r="D589" s="287"/>
      <c r="E589" s="287"/>
      <c r="F589" s="287"/>
      <c r="G589" s="287"/>
      <c r="H589" s="287"/>
      <c r="I589" s="287"/>
      <c r="J589" s="287"/>
    </row>
    <row r="590" spans="1:12" s="154" customFormat="1">
      <c r="A590" s="286"/>
      <c r="B590" s="292" t="s">
        <v>38</v>
      </c>
      <c r="C590" s="296"/>
      <c r="D590" s="287"/>
      <c r="E590" s="287"/>
      <c r="F590" s="287"/>
      <c r="G590" s="287"/>
      <c r="H590" s="287"/>
      <c r="I590" s="287"/>
      <c r="J590" s="287"/>
    </row>
    <row r="591" spans="1:12" s="154" customFormat="1">
      <c r="A591" s="286"/>
      <c r="B591" s="292" t="s">
        <v>71</v>
      </c>
      <c r="C591" s="166">
        <f>SUM(C586:I586)</f>
        <v>40359.506704684551</v>
      </c>
      <c r="G591" s="166"/>
    </row>
    <row r="592" spans="1:12" s="154" customFormat="1">
      <c r="A592" s="286"/>
      <c r="B592" s="292" t="s">
        <v>64</v>
      </c>
      <c r="C592" s="167">
        <f>SUM(C587:I587)</f>
        <v>64346.983960846643</v>
      </c>
      <c r="G592" s="166"/>
    </row>
    <row r="593" spans="1:7" s="154" customFormat="1">
      <c r="A593" s="286"/>
      <c r="B593" s="292" t="s">
        <v>38</v>
      </c>
      <c r="C593" s="166">
        <f>+C592+C591</f>
        <v>104706.49066553119</v>
      </c>
      <c r="G593" s="166"/>
    </row>
    <row r="594" spans="1:7" s="154" customFormat="1">
      <c r="A594" s="286"/>
      <c r="C594" s="287"/>
      <c r="D594" s="169"/>
      <c r="E594" s="287"/>
      <c r="F594" s="284"/>
    </row>
    <row r="595" spans="1:7" s="154" customFormat="1">
      <c r="A595" s="280"/>
      <c r="B595" s="292" t="s">
        <v>277</v>
      </c>
      <c r="C595" s="166"/>
    </row>
    <row r="596" spans="1:7" s="154" customFormat="1">
      <c r="A596" s="280"/>
      <c r="B596" s="292" t="s">
        <v>71</v>
      </c>
      <c r="C596" s="170">
        <f>ROUND($C$147*SUM($C$141:$I$141)/12*H$144/1000*C447,0)</f>
        <v>3915</v>
      </c>
    </row>
    <row r="597" spans="1:7" s="154" customFormat="1">
      <c r="A597" s="280"/>
      <c r="B597" s="292" t="s">
        <v>64</v>
      </c>
      <c r="C597" s="171">
        <f>ROUND($C$147*SUM($C$141:$I$141)/12*H$145/1000*C447,0)</f>
        <v>7829</v>
      </c>
    </row>
    <row r="598" spans="1:7" s="154" customFormat="1">
      <c r="A598" s="280"/>
      <c r="B598" s="292" t="s">
        <v>38</v>
      </c>
      <c r="C598" s="166">
        <f>SUM(C596:C597)</f>
        <v>11744</v>
      </c>
    </row>
    <row r="599" spans="1:7" s="154" customFormat="1">
      <c r="A599" s="280"/>
    </row>
    <row r="600" spans="1:7" s="154" customFormat="1">
      <c r="A600" s="280"/>
      <c r="B600" s="154" t="s">
        <v>278</v>
      </c>
    </row>
    <row r="601" spans="1:7" s="154" customFormat="1">
      <c r="A601" s="280"/>
      <c r="B601" s="292" t="s">
        <v>71</v>
      </c>
      <c r="C601" s="166">
        <f>C591-C596</f>
        <v>36444.506704684551</v>
      </c>
    </row>
    <row r="602" spans="1:7" s="154" customFormat="1">
      <c r="A602" s="280"/>
      <c r="B602" s="292" t="s">
        <v>64</v>
      </c>
      <c r="C602" s="167">
        <f>C592-C597</f>
        <v>56517.983960846643</v>
      </c>
    </row>
    <row r="603" spans="1:7" s="154" customFormat="1">
      <c r="A603" s="280"/>
      <c r="B603" s="292" t="s">
        <v>38</v>
      </c>
      <c r="C603" s="168">
        <f>SUM(C601:C602)</f>
        <v>92962.490665531193</v>
      </c>
    </row>
    <row r="604" spans="1:7" s="154" customFormat="1">
      <c r="A604" s="280"/>
    </row>
    <row r="605" spans="1:7" s="154" customFormat="1">
      <c r="A605" s="280"/>
      <c r="B605" s="154" t="s">
        <v>113</v>
      </c>
    </row>
    <row r="606" spans="1:7" s="154" customFormat="1">
      <c r="A606" s="280"/>
      <c r="B606" s="292" t="s">
        <v>71</v>
      </c>
      <c r="C606" s="166">
        <f>C601-C580</f>
        <v>1124.5067046845506</v>
      </c>
    </row>
    <row r="607" spans="1:7" s="154" customFormat="1">
      <c r="A607" s="280"/>
      <c r="B607" s="292" t="s">
        <v>64</v>
      </c>
      <c r="C607" s="167">
        <f>C602-C581</f>
        <v>172.98396084664273</v>
      </c>
    </row>
    <row r="608" spans="1:7" s="154" customFormat="1">
      <c r="A608" s="280"/>
      <c r="B608" s="292" t="s">
        <v>38</v>
      </c>
      <c r="C608" s="166">
        <f>SUM(C606:C607)</f>
        <v>1297.4906655311934</v>
      </c>
    </row>
  </sheetData>
  <mergeCells count="2">
    <mergeCell ref="I376:J376"/>
    <mergeCell ref="I398:J398"/>
  </mergeCells>
  <pageMargins left="0.5" right="0.5" top="1" bottom="0.75" header="0.5" footer="0.5"/>
  <pageSetup scale="88" orientation="landscape" r:id="rId1"/>
  <headerFooter alignWithMargins="0">
    <oddHeader xml:space="preserve">&amp;L&amp;"Arial,Bold"&amp;UROCKLAND ELECTRIC COMPANY&amp;C&amp;"Arial,Bold Italic"
&amp;R&amp;"Arial,Bold"Attachment B&amp;"Arial,Regular"
Page &amp;P of &amp;N
</oddHeader>
    <oddFooter>&amp;R&amp;D</oddFooter>
  </headerFooter>
  <rowBreaks count="12" manualBreakCount="12">
    <brk id="39" max="9" man="1"/>
    <brk id="82" max="9" man="1"/>
    <brk id="118" max="9" man="1"/>
    <brk id="162" max="9" man="1"/>
    <brk id="206" max="9" man="1"/>
    <brk id="247" max="9" man="1"/>
    <brk id="285" max="9" man="1"/>
    <brk id="319" max="9" man="1"/>
    <brk id="358" max="9" man="1"/>
    <brk id="401" max="9" man="1"/>
    <brk id="442" max="9" man="1"/>
    <brk id="56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zoomScale="160" zoomScaleNormal="160" workbookViewId="0">
      <selection activeCell="B32" sqref="B32"/>
    </sheetView>
  </sheetViews>
  <sheetFormatPr defaultRowHeight="12.75"/>
  <cols>
    <col min="1" max="1" width="9.140625" style="4"/>
    <col min="2" max="2" width="4.7109375" style="4" customWidth="1"/>
    <col min="3" max="3" width="22.28515625" style="4" customWidth="1"/>
    <col min="4" max="6" width="9.5703125" style="4" customWidth="1"/>
    <col min="7" max="7" width="9.85546875" style="4" customWidth="1"/>
    <col min="8" max="8" width="2.42578125" style="4" customWidth="1"/>
    <col min="9" max="13" width="9.140625" style="4"/>
    <col min="14" max="14" width="12.85546875" style="4" customWidth="1"/>
    <col min="15" max="16384" width="9.140625" style="4"/>
  </cols>
  <sheetData>
    <row r="1" spans="1:9">
      <c r="A1" s="86" t="s">
        <v>279</v>
      </c>
    </row>
    <row r="2" spans="1:9">
      <c r="A2" s="1" t="str">
        <f>'BGS Cost &amp; Bid Factors'!M1&amp;" BGS Auction"</f>
        <v>2013 BGS Auction</v>
      </c>
    </row>
    <row r="4" spans="1:9" s="87" customFormat="1">
      <c r="A4" s="1" t="s">
        <v>280</v>
      </c>
      <c r="B4" s="1" t="s">
        <v>281</v>
      </c>
    </row>
    <row r="5" spans="1:9" s="87" customFormat="1" ht="11.25"/>
    <row r="6" spans="1:9" s="87" customFormat="1" ht="11.25">
      <c r="D6" s="88">
        <v>2011</v>
      </c>
      <c r="E6" s="88">
        <v>2012</v>
      </c>
      <c r="F6" s="88">
        <v>2013</v>
      </c>
    </row>
    <row r="7" spans="1:9" s="87" customFormat="1" ht="11.25">
      <c r="D7" s="88" t="s">
        <v>282</v>
      </c>
      <c r="E7" s="88" t="s">
        <v>282</v>
      </c>
      <c r="F7" s="88" t="s">
        <v>282</v>
      </c>
    </row>
    <row r="8" spans="1:9" s="87" customFormat="1" ht="11.25">
      <c r="B8" s="89" t="s">
        <v>283</v>
      </c>
      <c r="C8" s="89" t="s">
        <v>284</v>
      </c>
      <c r="D8" s="90" t="s">
        <v>285</v>
      </c>
      <c r="E8" s="90" t="s">
        <v>285</v>
      </c>
      <c r="F8" s="90" t="s">
        <v>285</v>
      </c>
      <c r="G8" s="91" t="s">
        <v>38</v>
      </c>
      <c r="I8" s="89" t="s">
        <v>286</v>
      </c>
    </row>
    <row r="9" spans="1:9" s="87" customFormat="1" ht="11.25">
      <c r="B9" s="88">
        <v>1</v>
      </c>
      <c r="C9" s="87" t="s">
        <v>287</v>
      </c>
      <c r="D9" s="72">
        <v>2</v>
      </c>
      <c r="E9" s="109">
        <v>1</v>
      </c>
      <c r="F9" s="109">
        <v>1</v>
      </c>
      <c r="G9" s="87">
        <f>SUM(D9:F9)</f>
        <v>4</v>
      </c>
      <c r="I9" s="87" t="s">
        <v>288</v>
      </c>
    </row>
    <row r="10" spans="1:9" s="87" customFormat="1" ht="11.25">
      <c r="B10" s="88">
        <v>2</v>
      </c>
      <c r="C10" s="92" t="s">
        <v>289</v>
      </c>
      <c r="D10" s="93">
        <v>10.683999999999999</v>
      </c>
      <c r="E10" s="93">
        <v>9.2509999999999994</v>
      </c>
      <c r="F10" s="172">
        <v>9.2509999999999994</v>
      </c>
      <c r="I10" s="87" t="s">
        <v>290</v>
      </c>
    </row>
    <row r="11" spans="1:9" s="87" customFormat="1" ht="11.25">
      <c r="B11" s="88">
        <v>3</v>
      </c>
      <c r="C11" s="92" t="s">
        <v>291</v>
      </c>
      <c r="D11" s="93">
        <f>F11</f>
        <v>0.95437010054417049</v>
      </c>
      <c r="E11" s="93">
        <f>F11</f>
        <v>0.95437010054417049</v>
      </c>
      <c r="F11" s="93">
        <f>'BGS Cost &amp; Bid Factors'!M468/10</f>
        <v>0.95437010054417049</v>
      </c>
      <c r="I11" s="87" t="s">
        <v>292</v>
      </c>
    </row>
    <row r="12" spans="1:9" s="87" customFormat="1" ht="11.25">
      <c r="B12" s="88">
        <v>4</v>
      </c>
      <c r="C12" s="92" t="s">
        <v>293</v>
      </c>
      <c r="D12" s="93">
        <f>D10-D11</f>
        <v>9.7296298994558281</v>
      </c>
      <c r="E12" s="93">
        <f>E10-E11</f>
        <v>8.2966298994558283</v>
      </c>
      <c r="F12" s="93">
        <f>F10-F11</f>
        <v>8.2966298994558283</v>
      </c>
      <c r="G12" s="94"/>
      <c r="I12" s="92" t="s">
        <v>294</v>
      </c>
    </row>
    <row r="13" spans="1:9" s="87" customFormat="1" ht="11.25">
      <c r="B13" s="88">
        <v>5</v>
      </c>
      <c r="C13" s="92" t="s">
        <v>295</v>
      </c>
      <c r="D13" s="93">
        <f>D9/$G$9*D12</f>
        <v>4.8648149497279141</v>
      </c>
      <c r="E13" s="93">
        <f>E9/$G$9*E12</f>
        <v>2.0741574748639571</v>
      </c>
      <c r="F13" s="93">
        <f>F9/$G$9*F12</f>
        <v>2.0741574748639571</v>
      </c>
      <c r="G13" s="94">
        <f>SUM(D13:F13)</f>
        <v>9.0131298994558282</v>
      </c>
      <c r="I13" s="92" t="s">
        <v>296</v>
      </c>
    </row>
    <row r="14" spans="1:9" s="87" customFormat="1" ht="11.25">
      <c r="B14" s="88">
        <v>6</v>
      </c>
      <c r="C14" s="92" t="s">
        <v>297</v>
      </c>
      <c r="D14" s="93">
        <f>D9/$G$9*D11</f>
        <v>0.47718505027208524</v>
      </c>
      <c r="E14" s="93">
        <f>E9/$G$9*E11</f>
        <v>0.23859252513604262</v>
      </c>
      <c r="F14" s="93">
        <f>F9/$G$9*F11</f>
        <v>0.23859252513604262</v>
      </c>
      <c r="G14" s="94">
        <f>SUM(D14:F14)</f>
        <v>0.95437010054417049</v>
      </c>
      <c r="I14" s="92" t="s">
        <v>298</v>
      </c>
    </row>
    <row r="15" spans="1:9" s="87" customFormat="1" ht="11.25">
      <c r="B15" s="88">
        <v>7</v>
      </c>
      <c r="C15" s="92" t="s">
        <v>299</v>
      </c>
      <c r="F15" s="95"/>
      <c r="G15" s="96">
        <f>G13+G14</f>
        <v>9.9674999999999994</v>
      </c>
    </row>
    <row r="16" spans="1:9" s="87" customFormat="1" ht="11.25">
      <c r="B16" s="88"/>
      <c r="F16" s="95"/>
    </row>
    <row r="17" spans="2:9" s="87" customFormat="1" ht="11.25">
      <c r="B17" s="88"/>
      <c r="C17" s="89" t="s">
        <v>300</v>
      </c>
      <c r="F17" s="95"/>
    </row>
    <row r="18" spans="2:9" s="87" customFormat="1" ht="11.25">
      <c r="B18" s="88">
        <v>8</v>
      </c>
      <c r="C18" s="97" t="s">
        <v>301</v>
      </c>
      <c r="D18" s="99">
        <v>1</v>
      </c>
      <c r="E18" s="98">
        <v>1</v>
      </c>
      <c r="F18" s="98">
        <v>1</v>
      </c>
      <c r="G18" s="87" t="s">
        <v>302</v>
      </c>
      <c r="I18" s="92" t="s">
        <v>303</v>
      </c>
    </row>
    <row r="19" spans="2:9" s="87" customFormat="1" ht="11.25">
      <c r="B19" s="88">
        <v>9</v>
      </c>
      <c r="C19" s="97" t="s">
        <v>304</v>
      </c>
      <c r="D19" s="99">
        <v>1</v>
      </c>
      <c r="E19" s="98">
        <v>1</v>
      </c>
      <c r="F19" s="98">
        <v>1</v>
      </c>
      <c r="G19" s="87" t="s">
        <v>302</v>
      </c>
      <c r="I19" s="92" t="s">
        <v>303</v>
      </c>
    </row>
    <row r="20" spans="2:9" s="87" customFormat="1" ht="11.25">
      <c r="B20" s="88"/>
      <c r="D20" s="99"/>
      <c r="E20" s="99"/>
      <c r="F20" s="98"/>
    </row>
    <row r="21" spans="2:9" s="87" customFormat="1" ht="11.25">
      <c r="B21" s="100"/>
      <c r="C21" s="101" t="s">
        <v>305</v>
      </c>
      <c r="D21" s="95"/>
      <c r="E21" s="95"/>
      <c r="F21" s="88" t="s">
        <v>306</v>
      </c>
    </row>
    <row r="22" spans="2:9" s="87" customFormat="1" ht="11.25">
      <c r="B22" s="88">
        <v>10</v>
      </c>
      <c r="C22" s="102" t="s">
        <v>307</v>
      </c>
      <c r="D22" s="103">
        <v>482974.3083179738</v>
      </c>
      <c r="I22" s="92" t="s">
        <v>303</v>
      </c>
    </row>
    <row r="23" spans="2:9" s="87" customFormat="1" ht="11.25">
      <c r="B23" s="88">
        <v>11</v>
      </c>
      <c r="C23" s="102" t="s">
        <v>308</v>
      </c>
      <c r="D23" s="104">
        <v>747571.4621138518</v>
      </c>
      <c r="I23" s="92" t="s">
        <v>303</v>
      </c>
    </row>
    <row r="24" spans="2:9" s="87" customFormat="1" ht="11.25">
      <c r="B24" s="88">
        <v>12</v>
      </c>
      <c r="D24" s="105">
        <f>SUM(D22:D23)</f>
        <v>1230545.7704318257</v>
      </c>
    </row>
    <row r="25" spans="2:9" s="87" customFormat="1" ht="11.25">
      <c r="B25" s="88"/>
    </row>
    <row r="26" spans="2:9" s="87" customFormat="1" ht="11.25">
      <c r="B26" s="88"/>
      <c r="C26" s="89" t="s">
        <v>309</v>
      </c>
    </row>
    <row r="27" spans="2:9" s="87" customFormat="1" ht="11.25">
      <c r="B27" s="88">
        <v>13</v>
      </c>
      <c r="C27" s="102" t="s">
        <v>71</v>
      </c>
      <c r="D27" s="105">
        <f>ROUND(D$9/$G$9*D$10/100*D$18*$D$22*1000,0)</f>
        <v>25800488</v>
      </c>
      <c r="E27" s="105">
        <f>ROUND(E$9/$G$9*E$10/100*E$18*$D$22*1000,0)</f>
        <v>11169988</v>
      </c>
      <c r="F27" s="105">
        <f>ROUND(F$9/$G$9*F$10/100*F$18*$D$22*1000,0)</f>
        <v>11169988</v>
      </c>
      <c r="G27" s="105">
        <f>SUM(D27:F27)</f>
        <v>48140464</v>
      </c>
      <c r="I27" s="92" t="s">
        <v>310</v>
      </c>
    </row>
    <row r="28" spans="2:9" s="87" customFormat="1" ht="11.25">
      <c r="B28" s="88">
        <v>14</v>
      </c>
      <c r="C28" s="102" t="s">
        <v>64</v>
      </c>
      <c r="D28" s="106">
        <f>ROUND(D$9/$G$9*D$10/100*D$19*$D$23*1000,0)</f>
        <v>39935268</v>
      </c>
      <c r="E28" s="106">
        <f>ROUND(E$9/$G$9*E$10/100*E$19*$D$23*1000,0)</f>
        <v>17289459</v>
      </c>
      <c r="F28" s="106">
        <f>ROUND(F$9/$G$9*F$10/100*F$19*$D$23*1000,0)</f>
        <v>17289459</v>
      </c>
      <c r="G28" s="106">
        <f>SUM(D28:F28)</f>
        <v>74514186</v>
      </c>
      <c r="I28" s="92" t="s">
        <v>311</v>
      </c>
    </row>
    <row r="29" spans="2:9" s="87" customFormat="1" ht="11.25">
      <c r="B29" s="88">
        <v>15</v>
      </c>
      <c r="C29" s="102" t="s">
        <v>38</v>
      </c>
      <c r="D29" s="105">
        <f>SUM(D27:D28)</f>
        <v>65735756</v>
      </c>
      <c r="E29" s="105">
        <f>SUM(E27:E28)</f>
        <v>28459447</v>
      </c>
      <c r="F29" s="105">
        <f>SUM(F27:F28)</f>
        <v>28459447</v>
      </c>
      <c r="G29" s="105">
        <f>SUM(G27:G28)</f>
        <v>122654650</v>
      </c>
      <c r="I29" s="92" t="s">
        <v>312</v>
      </c>
    </row>
    <row r="30" spans="2:9" s="87" customFormat="1" ht="11.25">
      <c r="B30" s="88"/>
    </row>
    <row r="31" spans="2:9" s="87" customFormat="1" ht="11.25">
      <c r="B31" s="88"/>
      <c r="C31" s="107" t="s">
        <v>313</v>
      </c>
    </row>
    <row r="32" spans="2:9" s="87" customFormat="1" ht="11.25">
      <c r="B32" s="88">
        <v>16</v>
      </c>
      <c r="C32" s="102" t="s">
        <v>71</v>
      </c>
      <c r="D32" s="94">
        <f>ROUND(G27/D22/1000*100,3)</f>
        <v>9.9670000000000005</v>
      </c>
      <c r="E32" s="87" t="s">
        <v>115</v>
      </c>
      <c r="I32" s="92" t="s">
        <v>314</v>
      </c>
    </row>
    <row r="33" spans="2:9" s="87" customFormat="1" ht="11.25">
      <c r="B33" s="88">
        <v>17</v>
      </c>
      <c r="C33" s="102" t="s">
        <v>64</v>
      </c>
      <c r="D33" s="94">
        <f>ROUND(G28/D23/1000*100,3)</f>
        <v>9.968</v>
      </c>
      <c r="E33" s="87" t="s">
        <v>115</v>
      </c>
      <c r="I33" s="92" t="s">
        <v>315</v>
      </c>
    </row>
    <row r="34" spans="2:9" s="87" customFormat="1" ht="11.25">
      <c r="B34" s="88">
        <v>18</v>
      </c>
      <c r="C34" s="102" t="s">
        <v>38</v>
      </c>
      <c r="D34" s="96">
        <f>ROUND(G29/D24/1000*100,3)</f>
        <v>9.968</v>
      </c>
      <c r="E34" s="87" t="s">
        <v>115</v>
      </c>
      <c r="I34" s="92" t="s">
        <v>316</v>
      </c>
    </row>
    <row r="35" spans="2:9" s="87" customFormat="1" ht="11.25">
      <c r="B35" s="88"/>
      <c r="C35" s="105"/>
    </row>
    <row r="36" spans="2:9" s="87" customFormat="1" ht="11.25">
      <c r="B36" s="88"/>
      <c r="C36" s="89" t="s">
        <v>317</v>
      </c>
    </row>
    <row r="37" spans="2:9" s="87" customFormat="1" ht="11.25">
      <c r="B37" s="88"/>
      <c r="D37" s="102" t="s">
        <v>318</v>
      </c>
      <c r="E37" s="102" t="s">
        <v>319</v>
      </c>
    </row>
    <row r="38" spans="2:9" s="87" customFormat="1" ht="11.25">
      <c r="B38" s="88"/>
      <c r="D38" s="91" t="s">
        <v>282</v>
      </c>
      <c r="E38" s="91" t="s">
        <v>320</v>
      </c>
      <c r="F38" s="108"/>
      <c r="G38" s="91" t="s">
        <v>38</v>
      </c>
    </row>
    <row r="39" spans="2:9" s="87" customFormat="1" ht="11.25">
      <c r="B39" s="88">
        <v>19</v>
      </c>
      <c r="C39" s="87" t="s">
        <v>287</v>
      </c>
      <c r="D39" s="109">
        <v>4</v>
      </c>
      <c r="E39" s="72">
        <f>'BGS Cost &amp; Bid Factors'!M466</f>
        <v>0.48</v>
      </c>
      <c r="F39" s="72"/>
      <c r="G39" s="87">
        <f>SUM(D39:E39)</f>
        <v>4.4800000000000004</v>
      </c>
      <c r="I39" s="87" t="s">
        <v>321</v>
      </c>
    </row>
    <row r="40" spans="2:9" s="87" customFormat="1" ht="11.25">
      <c r="B40" s="88">
        <v>20</v>
      </c>
      <c r="C40" s="87" t="s">
        <v>322</v>
      </c>
      <c r="D40" s="93">
        <f>D34</f>
        <v>9.968</v>
      </c>
      <c r="E40" s="93">
        <v>8.5950000000000006</v>
      </c>
      <c r="F40" s="173"/>
      <c r="I40" s="87" t="str">
        <f>"BGS Auction from (18).  Note: " &amp;TEXT(E40,"0.000¢") &amp;" for RFP is illustrative."</f>
        <v>BGS Auction from (18).  Note: 8.595¢ for RFP is illustrative.</v>
      </c>
    </row>
    <row r="41" spans="2:9" s="87" customFormat="1" ht="11.25">
      <c r="B41" s="88"/>
      <c r="D41" s="93"/>
      <c r="E41" s="172"/>
      <c r="F41" s="173"/>
      <c r="I41" s="87" t="s">
        <v>323</v>
      </c>
    </row>
    <row r="42" spans="2:9" s="87" customFormat="1" ht="11.25">
      <c r="B42" s="88">
        <v>21</v>
      </c>
      <c r="C42" s="87" t="s">
        <v>324</v>
      </c>
      <c r="D42" s="93">
        <f>F11</f>
        <v>0.95437010054417049</v>
      </c>
      <c r="E42" s="109">
        <v>0</v>
      </c>
      <c r="F42" s="109"/>
    </row>
    <row r="43" spans="2:9" s="87" customFormat="1" ht="11.25">
      <c r="B43" s="88">
        <v>22</v>
      </c>
      <c r="C43" s="87" t="s">
        <v>318</v>
      </c>
      <c r="D43" s="93">
        <f>D40-D42</f>
        <v>9.0136298994558288</v>
      </c>
      <c r="E43" s="109">
        <f>E40-E42</f>
        <v>8.5950000000000006</v>
      </c>
      <c r="F43" s="109"/>
      <c r="I43" s="92" t="s">
        <v>325</v>
      </c>
    </row>
    <row r="44" spans="2:9" s="87" customFormat="1" ht="11.25">
      <c r="B44" s="88">
        <v>23</v>
      </c>
      <c r="C44" s="92" t="s">
        <v>295</v>
      </c>
      <c r="D44" s="93">
        <f>D39/$G$39*D43</f>
        <v>8.0478838387998461</v>
      </c>
      <c r="E44" s="93">
        <f>E39/$G$39*E43</f>
        <v>0.92089285714285707</v>
      </c>
      <c r="F44" s="93"/>
      <c r="G44" s="94">
        <f>SUM(D44:E44)</f>
        <v>8.9687766959427027</v>
      </c>
      <c r="I44" s="92" t="s">
        <v>326</v>
      </c>
    </row>
    <row r="45" spans="2:9" s="87" customFormat="1" ht="12" thickBot="1">
      <c r="B45" s="88">
        <v>24</v>
      </c>
      <c r="C45" s="92" t="s">
        <v>297</v>
      </c>
      <c r="D45" s="93">
        <f>D39/$G$39*D42</f>
        <v>0.85211616120015221</v>
      </c>
      <c r="E45" s="93">
        <f>E39/$G$39*E42</f>
        <v>0</v>
      </c>
      <c r="F45" s="93"/>
      <c r="G45" s="94">
        <f>SUM(D45:E45)</f>
        <v>0.85211616120015221</v>
      </c>
      <c r="I45" s="92" t="s">
        <v>327</v>
      </c>
    </row>
    <row r="46" spans="2:9" s="87" customFormat="1" ht="12" thickBot="1">
      <c r="B46" s="88">
        <v>25</v>
      </c>
      <c r="C46" s="110" t="s">
        <v>328</v>
      </c>
      <c r="G46" s="111">
        <f>ROUND(G44+G45,3)</f>
        <v>9.8209999999999997</v>
      </c>
      <c r="I46" s="92" t="s">
        <v>329</v>
      </c>
    </row>
    <row r="48" spans="2:9">
      <c r="C48" s="112" t="s">
        <v>330</v>
      </c>
    </row>
    <row r="49" spans="3:3">
      <c r="C49" s="112" t="s">
        <v>331</v>
      </c>
    </row>
  </sheetData>
  <printOptions horizontalCentered="1"/>
  <pageMargins left="0.5" right="0.5" top="0.5" bottom="0.5" header="0.5" footer="0.5"/>
  <pageSetup scale="95" orientation="landscape" r:id="rId1"/>
  <headerFooter alignWithMargins="0">
    <oddHeader xml:space="preserve">&amp;R&amp;"Arial,Bold"Attachment C&amp;"Arial,Regular"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28"/>
  <sheetViews>
    <sheetView zoomScaleNormal="100" zoomScaleSheetLayoutView="110" workbookViewId="0">
      <selection activeCell="I12" sqref="I12"/>
    </sheetView>
  </sheetViews>
  <sheetFormatPr defaultRowHeight="12.75"/>
  <cols>
    <col min="1" max="1" width="9.5703125" style="79" customWidth="1"/>
    <col min="2" max="2" width="27.85546875" style="4" customWidth="1"/>
    <col min="3" max="3" width="14.140625" style="4" customWidth="1"/>
    <col min="4" max="5" width="12.7109375" style="4" customWidth="1"/>
    <col min="6" max="7" width="13.42578125" style="4" customWidth="1"/>
    <col min="8" max="8" width="12.7109375" style="4" customWidth="1"/>
    <col min="9" max="9" width="14.85546875" style="4" customWidth="1"/>
    <col min="10" max="10" width="12.7109375" style="4" customWidth="1"/>
    <col min="11" max="11" width="17.28515625" style="4" customWidth="1"/>
    <col min="12" max="12" width="15.140625" style="4" bestFit="1" customWidth="1"/>
    <col min="13" max="13" width="14.85546875" style="4" bestFit="1" customWidth="1"/>
    <col min="14" max="14" width="12" style="4" customWidth="1"/>
    <col min="15" max="15" width="11.140625" style="4" customWidth="1"/>
    <col min="16" max="16" width="9.85546875" style="4" bestFit="1" customWidth="1"/>
    <col min="17" max="17" width="10.42578125" style="4" bestFit="1" customWidth="1"/>
    <col min="18" max="18" width="9.85546875" style="4" bestFit="1" customWidth="1"/>
    <col min="19" max="19" width="10.7109375" style="4" customWidth="1"/>
    <col min="20" max="22" width="11.7109375" style="4" customWidth="1"/>
    <col min="23" max="23" width="9.140625" style="4"/>
    <col min="24" max="24" width="11" style="4" bestFit="1" customWidth="1"/>
    <col min="25" max="16384" width="9.140625" style="4"/>
  </cols>
  <sheetData>
    <row r="1" spans="1:11">
      <c r="A1" s="86" t="s">
        <v>279</v>
      </c>
    </row>
    <row r="2" spans="1:11">
      <c r="A2" s="1" t="str">
        <f>'BGS Cost &amp; Bid Factors'!M1 &amp;" BGS Auction"</f>
        <v>2013 BGS Auction</v>
      </c>
    </row>
    <row r="3" spans="1:11">
      <c r="A3" s="1"/>
    </row>
    <row r="4" spans="1:11">
      <c r="A4" s="1"/>
    </row>
    <row r="6" spans="1:11">
      <c r="A6" s="63" t="s">
        <v>332</v>
      </c>
      <c r="B6" s="59" t="s">
        <v>176</v>
      </c>
      <c r="C6" s="28"/>
      <c r="D6" s="28"/>
      <c r="E6" s="28"/>
      <c r="F6" s="28"/>
      <c r="G6" s="28"/>
      <c r="H6" s="28"/>
    </row>
    <row r="7" spans="1:11">
      <c r="A7" s="12"/>
      <c r="B7" s="73" t="s">
        <v>333</v>
      </c>
    </row>
    <row r="8" spans="1:11">
      <c r="A8" s="5"/>
    </row>
    <row r="9" spans="1:11">
      <c r="A9" s="5"/>
      <c r="B9" s="1" t="s">
        <v>156</v>
      </c>
    </row>
    <row r="10" spans="1:11">
      <c r="A10" s="5"/>
      <c r="B10" s="3" t="s">
        <v>334</v>
      </c>
    </row>
    <row r="11" spans="1:11">
      <c r="A11" s="5"/>
      <c r="B11" s="1"/>
    </row>
    <row r="12" spans="1:11">
      <c r="A12" s="5"/>
      <c r="C12" s="8" t="str">
        <f>'BGS Cost &amp; Bid Factors'!C$6</f>
        <v>SC1</v>
      </c>
      <c r="D12" s="8" t="str">
        <f>'BGS Cost &amp; Bid Factors'!D$6</f>
        <v>SC5</v>
      </c>
      <c r="E12" s="8" t="str">
        <f>'BGS Cost &amp; Bid Factors'!E$6</f>
        <v>SC3</v>
      </c>
      <c r="F12" s="8" t="str">
        <f>'BGS Cost &amp; Bid Factors'!F$6</f>
        <v>SC2 ND</v>
      </c>
      <c r="G12" s="8" t="str">
        <f>'BGS Cost &amp; Bid Factors'!G$6</f>
        <v>SC4</v>
      </c>
      <c r="H12" s="8" t="str">
        <f>'BGS Cost &amp; Bid Factors'!H$6</f>
        <v>SC6</v>
      </c>
    </row>
    <row r="13" spans="1:11">
      <c r="A13" s="5"/>
      <c r="C13" s="6"/>
      <c r="D13" s="6"/>
      <c r="E13" s="6"/>
      <c r="F13" s="6"/>
    </row>
    <row r="14" spans="1:11">
      <c r="A14" s="5"/>
      <c r="B14" s="121" t="s">
        <v>66</v>
      </c>
      <c r="C14" s="42">
        <f>'BGS Cost &amp; Bid Factors'!C327</f>
        <v>1.069</v>
      </c>
      <c r="D14" s="42">
        <f>'BGS Cost &amp; Bid Factors'!D327</f>
        <v>1.0089999999999999</v>
      </c>
      <c r="E14" s="43"/>
      <c r="F14" s="42">
        <f>'BGS Cost &amp; Bid Factors'!F327</f>
        <v>1.097</v>
      </c>
      <c r="G14" s="42">
        <f>'BGS Cost &amp; Bid Factors'!G327</f>
        <v>0.63</v>
      </c>
      <c r="H14" s="42">
        <f>'BGS Cost &amp; Bid Factors'!H327</f>
        <v>0.629</v>
      </c>
      <c r="I14" s="45"/>
      <c r="J14" s="45"/>
      <c r="K14" s="45"/>
    </row>
    <row r="15" spans="1:11">
      <c r="A15" s="5"/>
      <c r="B15" s="46" t="s">
        <v>81</v>
      </c>
      <c r="C15" s="43"/>
      <c r="D15" s="43"/>
      <c r="E15" s="42">
        <f>'BGS Cost &amp; Bid Factors'!E328</f>
        <v>1.704</v>
      </c>
      <c r="F15" s="43"/>
      <c r="G15" s="43"/>
      <c r="H15" s="43"/>
      <c r="I15" s="45"/>
      <c r="J15" s="45"/>
      <c r="K15" s="45"/>
    </row>
    <row r="16" spans="1:11">
      <c r="A16" s="5"/>
      <c r="B16" s="46" t="s">
        <v>82</v>
      </c>
      <c r="C16" s="43"/>
      <c r="D16" s="43"/>
      <c r="E16" s="42">
        <f>'BGS Cost &amp; Bid Factors'!E329</f>
        <v>0.60899999999999999</v>
      </c>
      <c r="F16" s="43"/>
      <c r="G16" s="43"/>
      <c r="H16" s="43"/>
      <c r="I16" s="45"/>
      <c r="J16" s="45"/>
      <c r="K16" s="45"/>
    </row>
    <row r="17" spans="1:11">
      <c r="A17" s="5"/>
      <c r="C17" s="43"/>
      <c r="D17" s="43"/>
      <c r="E17" s="43"/>
      <c r="F17" s="43"/>
      <c r="G17" s="43"/>
      <c r="H17" s="43"/>
      <c r="I17" s="45"/>
      <c r="J17" s="45"/>
      <c r="K17" s="45"/>
    </row>
    <row r="18" spans="1:11">
      <c r="A18" s="5"/>
      <c r="B18" s="48"/>
      <c r="E18" s="43"/>
      <c r="F18" s="43"/>
      <c r="G18" s="43"/>
      <c r="H18" s="43"/>
      <c r="I18" s="45"/>
      <c r="J18" s="45"/>
      <c r="K18" s="45"/>
    </row>
    <row r="19" spans="1:11">
      <c r="A19" s="5"/>
      <c r="B19" s="49" t="s">
        <v>158</v>
      </c>
      <c r="C19" s="50">
        <f>'BGS Cost &amp; Bid Factors'!C332</f>
        <v>-9.9595260000000039</v>
      </c>
      <c r="D19" s="50">
        <f>'BGS Cost &amp; Bid Factors'!D332</f>
        <v>-11.511403000000001</v>
      </c>
      <c r="E19" s="43"/>
      <c r="F19" s="43"/>
      <c r="G19" s="43"/>
      <c r="H19" s="43"/>
      <c r="I19" s="45"/>
      <c r="J19" s="45"/>
      <c r="K19" s="45"/>
    </row>
    <row r="20" spans="1:11">
      <c r="A20" s="5"/>
      <c r="B20" s="49" t="s">
        <v>159</v>
      </c>
      <c r="C20" s="50">
        <f>'BGS Cost &amp; Bid Factors'!C333</f>
        <v>2.5304739999999981</v>
      </c>
      <c r="D20" s="50">
        <f>'BGS Cost &amp; Bid Factors'!D333</f>
        <v>1.078597000000002</v>
      </c>
      <c r="E20" s="43"/>
      <c r="F20" s="43"/>
      <c r="G20" s="43"/>
      <c r="H20" s="43"/>
      <c r="I20" s="45"/>
      <c r="J20" s="45"/>
      <c r="K20" s="45"/>
    </row>
    <row r="21" spans="1:11">
      <c r="A21" s="5"/>
      <c r="B21" s="49" t="s">
        <v>160</v>
      </c>
      <c r="C21" s="51" t="s">
        <v>161</v>
      </c>
      <c r="D21" s="50">
        <f>'BGS Cost &amp; Bid Factors'!D334</f>
        <v>9.5585969999999918</v>
      </c>
      <c r="E21" s="43"/>
      <c r="F21" s="43"/>
      <c r="G21" s="43"/>
      <c r="H21" s="43"/>
      <c r="I21" s="45"/>
      <c r="J21" s="45"/>
      <c r="K21" s="45"/>
    </row>
    <row r="22" spans="1:11">
      <c r="A22" s="5"/>
      <c r="C22" s="43"/>
      <c r="D22" s="43"/>
      <c r="E22" s="43"/>
      <c r="F22" s="43"/>
      <c r="G22" s="43"/>
      <c r="H22" s="43"/>
      <c r="I22" s="45"/>
      <c r="J22" s="45"/>
      <c r="K22" s="45"/>
    </row>
    <row r="23" spans="1:11">
      <c r="A23" s="5"/>
      <c r="B23" s="121" t="s">
        <v>72</v>
      </c>
      <c r="C23" s="42">
        <f>'BGS Cost &amp; Bid Factors'!C336</f>
        <v>1.1479999999999999</v>
      </c>
      <c r="D23" s="42">
        <f>'BGS Cost &amp; Bid Factors'!D336</f>
        <v>0.94799999999999995</v>
      </c>
      <c r="E23" s="43"/>
      <c r="F23" s="42">
        <f>'BGS Cost &amp; Bid Factors'!F336</f>
        <v>0.97799999999999998</v>
      </c>
      <c r="G23" s="42">
        <f>'BGS Cost &amp; Bid Factors'!G336</f>
        <v>0.66400000000000003</v>
      </c>
      <c r="H23" s="42">
        <f>'BGS Cost &amp; Bid Factors'!H336</f>
        <v>0.66100000000000003</v>
      </c>
      <c r="I23" s="45"/>
      <c r="J23" s="45"/>
      <c r="K23" s="45"/>
    </row>
    <row r="24" spans="1:11">
      <c r="A24" s="5"/>
      <c r="B24" s="46" t="s">
        <v>81</v>
      </c>
      <c r="C24" s="43"/>
      <c r="D24" s="43"/>
      <c r="E24" s="42">
        <f>'BGS Cost &amp; Bid Factors'!E337</f>
        <v>1.6120000000000001</v>
      </c>
      <c r="F24" s="43"/>
      <c r="G24" s="43"/>
      <c r="H24" s="43"/>
      <c r="I24" s="45"/>
      <c r="J24" s="45"/>
      <c r="K24" s="45"/>
    </row>
    <row r="25" spans="1:11">
      <c r="A25" s="5"/>
      <c r="B25" s="46" t="s">
        <v>82</v>
      </c>
      <c r="C25" s="43"/>
      <c r="D25" s="43"/>
      <c r="E25" s="42">
        <f>'BGS Cost &amp; Bid Factors'!E338</f>
        <v>0.64600000000000002</v>
      </c>
      <c r="F25" s="43"/>
      <c r="G25" s="43"/>
      <c r="H25" s="43"/>
      <c r="I25" s="45"/>
      <c r="J25" s="45"/>
      <c r="K25" s="45"/>
    </row>
    <row r="26" spans="1:11">
      <c r="A26" s="5"/>
      <c r="C26" s="45"/>
      <c r="D26" s="45"/>
      <c r="E26" s="45"/>
      <c r="F26" s="45"/>
      <c r="G26" s="45"/>
      <c r="H26" s="45"/>
      <c r="I26" s="45"/>
      <c r="J26" s="45"/>
      <c r="K26" s="45"/>
    </row>
    <row r="27" spans="1:11">
      <c r="A27" s="5"/>
      <c r="B27" s="4" t="s">
        <v>162</v>
      </c>
      <c r="C27" s="113">
        <f>'BGS Cost &amp; Bid Factors'!C340</f>
        <v>1.115</v>
      </c>
      <c r="D27" s="113">
        <f>'BGS Cost &amp; Bid Factors'!D340</f>
        <v>0.96799999999999997</v>
      </c>
      <c r="E27" s="113">
        <f>'BGS Cost &amp; Bid Factors'!E340</f>
        <v>0.98899999999999999</v>
      </c>
      <c r="F27" s="113">
        <f>'BGS Cost &amp; Bid Factors'!F340</f>
        <v>1.01305533643708</v>
      </c>
      <c r="G27" s="113">
        <f>'BGS Cost &amp; Bid Factors'!G340</f>
        <v>0.65400000000000003</v>
      </c>
      <c r="H27" s="113">
        <f>'BGS Cost &amp; Bid Factors'!H340</f>
        <v>0.65200000000000002</v>
      </c>
      <c r="I27" s="45"/>
      <c r="J27" s="45"/>
      <c r="K27" s="45"/>
    </row>
    <row r="28" spans="1:11">
      <c r="A28" s="5"/>
    </row>
    <row r="29" spans="1:11">
      <c r="A29" s="5"/>
    </row>
    <row r="30" spans="1:11">
      <c r="A30" s="5"/>
      <c r="B30" s="1" t="s">
        <v>163</v>
      </c>
    </row>
    <row r="31" spans="1:11">
      <c r="A31" s="5"/>
      <c r="B31" s="3" t="s">
        <v>177</v>
      </c>
    </row>
    <row r="32" spans="1:11">
      <c r="A32" s="5"/>
    </row>
    <row r="33" spans="1:12">
      <c r="A33" s="5"/>
      <c r="C33" s="39" t="str">
        <f>'BGS Cost &amp; Bid Factors'!I6</f>
        <v>SC2 Dem</v>
      </c>
      <c r="D33" s="39" t="str">
        <f>+C33</f>
        <v>SC2 Dem</v>
      </c>
      <c r="E33" s="6"/>
      <c r="F33" s="6"/>
      <c r="G33" s="54" t="s">
        <v>139</v>
      </c>
    </row>
    <row r="34" spans="1:12">
      <c r="A34" s="5"/>
      <c r="C34" s="8" t="s">
        <v>165</v>
      </c>
      <c r="D34" s="60" t="s">
        <v>166</v>
      </c>
      <c r="E34" s="6"/>
      <c r="F34" s="6"/>
      <c r="G34" s="126"/>
    </row>
    <row r="35" spans="1:12">
      <c r="A35" s="5"/>
      <c r="B35" s="121" t="s">
        <v>66</v>
      </c>
      <c r="C35" s="44">
        <f>'BGS Cost &amp; Bid Factors'!C348</f>
        <v>1.0269999999999999</v>
      </c>
      <c r="D35" s="44">
        <f>'BGS Cost &amp; Bid Factors'!D348</f>
        <v>-18.848583211837202</v>
      </c>
      <c r="F35" s="140"/>
      <c r="G35" s="55" t="s">
        <v>140</v>
      </c>
    </row>
    <row r="36" spans="1:12">
      <c r="A36" s="5"/>
      <c r="B36" s="46"/>
      <c r="C36" s="52"/>
      <c r="D36" s="61"/>
      <c r="E36" s="47"/>
      <c r="F36" s="56"/>
      <c r="G36" s="126"/>
    </row>
    <row r="37" spans="1:12">
      <c r="A37" s="5"/>
      <c r="B37" s="46"/>
      <c r="C37" s="52"/>
      <c r="D37" s="61"/>
      <c r="E37" s="47"/>
      <c r="F37" s="56"/>
      <c r="G37" s="126"/>
      <c r="H37" s="8" t="str">
        <f>C33</f>
        <v>SC2 Dem</v>
      </c>
      <c r="I37" s="39"/>
    </row>
    <row r="38" spans="1:12">
      <c r="A38" s="5"/>
      <c r="C38" s="52"/>
      <c r="D38" s="61"/>
      <c r="E38" s="43"/>
      <c r="F38" s="56"/>
      <c r="G38" s="126"/>
    </row>
    <row r="39" spans="1:12">
      <c r="A39" s="5"/>
      <c r="B39" s="121" t="s">
        <v>72</v>
      </c>
      <c r="C39" s="44">
        <f>'BGS Cost &amp; Bid Factors'!C352</f>
        <v>1.0209999999999999</v>
      </c>
      <c r="D39" s="44">
        <f>'BGS Cost &amp; Bid Factors'!D352</f>
        <v>-20.698545881199976</v>
      </c>
      <c r="E39" s="47"/>
      <c r="F39" s="56"/>
      <c r="G39" s="141" t="s">
        <v>100</v>
      </c>
      <c r="H39" s="57">
        <f>'BGS Cost &amp; Bid Factors'!H352</f>
        <v>7.0129999999999999</v>
      </c>
      <c r="I39" s="18"/>
    </row>
    <row r="40" spans="1:12">
      <c r="A40" s="5"/>
      <c r="B40" s="46"/>
      <c r="C40" s="52"/>
      <c r="D40" s="142"/>
      <c r="E40" s="47"/>
      <c r="F40" s="56"/>
      <c r="G40" s="141" t="s">
        <v>106</v>
      </c>
      <c r="H40" s="57">
        <f>'BGS Cost &amp; Bid Factors'!H353</f>
        <v>7.2949999999999999</v>
      </c>
      <c r="I40" s="18"/>
    </row>
    <row r="41" spans="1:12">
      <c r="A41" s="5"/>
      <c r="B41" s="46"/>
      <c r="C41" s="52"/>
      <c r="D41" s="142"/>
      <c r="E41" s="47"/>
      <c r="F41" s="56"/>
      <c r="G41" s="141"/>
      <c r="H41" s="18"/>
      <c r="I41" s="21"/>
    </row>
    <row r="42" spans="1:12">
      <c r="A42" s="5"/>
      <c r="C42" s="53"/>
      <c r="D42" s="142"/>
      <c r="E42" s="45"/>
      <c r="G42" s="58"/>
    </row>
    <row r="43" spans="1:12">
      <c r="A43" s="5"/>
      <c r="B43" s="4" t="s">
        <v>147</v>
      </c>
      <c r="C43" s="44">
        <f>'BGS Cost &amp; Bid Factors'!C356</f>
        <v>1.0229999999999999</v>
      </c>
      <c r="D43" s="142"/>
      <c r="E43" s="45"/>
      <c r="G43" s="141"/>
      <c r="H43" s="18"/>
      <c r="I43" s="21"/>
    </row>
    <row r="44" spans="1:12">
      <c r="A44" s="5"/>
    </row>
    <row r="46" spans="1:12">
      <c r="A46" s="63" t="s">
        <v>335</v>
      </c>
      <c r="B46" s="17" t="s">
        <v>336</v>
      </c>
    </row>
    <row r="48" spans="1:12">
      <c r="B48" s="174" t="s">
        <v>337</v>
      </c>
      <c r="C48" s="28"/>
      <c r="D48" s="114">
        <f>'Weighted Avg Price Calc'!G46*10</f>
        <v>98.21</v>
      </c>
      <c r="E48" s="73" t="s">
        <v>338</v>
      </c>
      <c r="F48" s="73" t="s">
        <v>250</v>
      </c>
      <c r="K48" s="87" t="s">
        <v>221</v>
      </c>
      <c r="L48" s="64">
        <f>'BGS Cost &amp; Bid Factors'!M464</f>
        <v>46.2</v>
      </c>
    </row>
    <row r="49" spans="2:13">
      <c r="B49" s="79" t="s">
        <v>251</v>
      </c>
      <c r="D49" s="74">
        <f>-L54</f>
        <v>-8.5237010054417048</v>
      </c>
      <c r="E49" s="73" t="s">
        <v>339</v>
      </c>
      <c r="F49" s="4" t="s">
        <v>252</v>
      </c>
      <c r="K49" s="87" t="s">
        <v>223</v>
      </c>
      <c r="L49" s="64">
        <f>'BGS Cost &amp; Bid Factors'!M465</f>
        <v>96.325000000000003</v>
      </c>
    </row>
    <row r="50" spans="2:13">
      <c r="B50" s="79" t="s">
        <v>253</v>
      </c>
      <c r="D50" s="140">
        <f>D48+D49</f>
        <v>89.686298994558285</v>
      </c>
      <c r="E50" s="73" t="s">
        <v>123</v>
      </c>
      <c r="F50" s="4" t="str">
        <f>"** RECO average transmission rate of "&amp;TEXT(L52,"0.00")&amp;" minus"</f>
        <v>** RECO average transmission rate of 9.54 minus</v>
      </c>
      <c r="K50" s="87" t="s">
        <v>225</v>
      </c>
      <c r="L50" s="4">
        <f>ROUND(L48/L49,3)</f>
        <v>0.48</v>
      </c>
    </row>
    <row r="51" spans="2:13">
      <c r="F51" s="4" t="s">
        <v>254</v>
      </c>
      <c r="L51" s="175"/>
    </row>
    <row r="52" spans="2:13">
      <c r="D52" s="75"/>
      <c r="F52" s="4" t="str">
        <f>"average rate "&amp;TEXT(L50,"0.000")&amp;"/"&amp;TEXT(4+L50,"0.000")&amp;" *$"&amp;TEXT(L52,"0.00")&amp;" per MWh)."</f>
        <v>average rate 0.480/4.480 *$9.54 per MWh).</v>
      </c>
      <c r="I52" s="176">
        <f>ROUND(L50/(4+L50)*L52,2)</f>
        <v>1.02</v>
      </c>
      <c r="K52" s="87" t="s">
        <v>229</v>
      </c>
      <c r="L52" s="175">
        <f>'BGS Cost &amp; Bid Factors'!D223-'BGS Cost &amp; Bid Factors'!D318</f>
        <v>9.5437010054417044</v>
      </c>
      <c r="M52" s="4" t="s">
        <v>230</v>
      </c>
    </row>
    <row r="53" spans="2:13">
      <c r="B53" s="38" t="s">
        <v>255</v>
      </c>
      <c r="K53" s="87" t="s">
        <v>232</v>
      </c>
      <c r="L53" s="175">
        <f>I52</f>
        <v>1.02</v>
      </c>
      <c r="M53" s="4" t="s">
        <v>230</v>
      </c>
    </row>
    <row r="54" spans="2:13">
      <c r="K54" s="87" t="s">
        <v>235</v>
      </c>
      <c r="L54" s="177">
        <f>L52-L53</f>
        <v>8.5237010054417048</v>
      </c>
      <c r="M54" s="4" t="s">
        <v>230</v>
      </c>
    </row>
    <row r="55" spans="2:13">
      <c r="C55" s="8" t="str">
        <f>'BGS Cost &amp; Bid Factors'!C$6</f>
        <v>SC1</v>
      </c>
      <c r="D55" s="8" t="str">
        <f>'BGS Cost &amp; Bid Factors'!D$6</f>
        <v>SC5</v>
      </c>
      <c r="E55" s="8" t="str">
        <f>'BGS Cost &amp; Bid Factors'!E$6</f>
        <v>SC3</v>
      </c>
      <c r="F55" s="8" t="str">
        <f>'BGS Cost &amp; Bid Factors'!F$6</f>
        <v>SC2 ND</v>
      </c>
      <c r="G55" s="8" t="str">
        <f>'BGS Cost &amp; Bid Factors'!G$6</f>
        <v>SC4</v>
      </c>
      <c r="H55" s="8" t="str">
        <f>'BGS Cost &amp; Bid Factors'!H$6</f>
        <v>SC6</v>
      </c>
      <c r="I55" s="8" t="str">
        <f>'BGS Cost &amp; Bid Factors'!I$6</f>
        <v>SC2 Dem</v>
      </c>
      <c r="J55" s="6"/>
    </row>
    <row r="56" spans="2:13">
      <c r="B56" s="76" t="s">
        <v>71</v>
      </c>
    </row>
    <row r="57" spans="2:13">
      <c r="B57" s="133" t="s">
        <v>256</v>
      </c>
      <c r="C57" s="115">
        <f>ROUND(($D$50*C14)/10,3)</f>
        <v>9.5869999999999997</v>
      </c>
      <c r="D57" s="115">
        <f>ROUND(($D$50*D14)/10,3)</f>
        <v>9.0489999999999995</v>
      </c>
      <c r="E57" s="77"/>
      <c r="F57" s="77">
        <f>ROUND(F14*$D$50/10,3)</f>
        <v>9.8390000000000004</v>
      </c>
      <c r="G57" s="77">
        <f>ROUND(G14*$D$50/10,3)</f>
        <v>5.65</v>
      </c>
      <c r="H57" s="77">
        <f>ROUND(H14*$D$50/10,3)</f>
        <v>5.641</v>
      </c>
      <c r="I57" s="77">
        <f>ROUND((C35*$D$50+D35)/10,3)</f>
        <v>7.3259999999999996</v>
      </c>
      <c r="J57" s="77"/>
    </row>
    <row r="58" spans="2:13">
      <c r="B58" s="133" t="s">
        <v>257</v>
      </c>
      <c r="C58" s="77"/>
      <c r="D58" s="77"/>
      <c r="E58" s="77">
        <f>ROUND(E15*$D$50/10,3)</f>
        <v>15.282999999999999</v>
      </c>
      <c r="F58" s="77"/>
      <c r="G58" s="77"/>
      <c r="H58" s="77"/>
      <c r="I58" s="77"/>
      <c r="J58" s="77"/>
    </row>
    <row r="59" spans="2:13">
      <c r="B59" s="133" t="s">
        <v>258</v>
      </c>
      <c r="C59" s="77"/>
      <c r="D59" s="77"/>
      <c r="E59" s="77">
        <f>ROUND(E16*$D$50/10,3)</f>
        <v>5.4619999999999997</v>
      </c>
      <c r="F59" s="77"/>
      <c r="G59" s="77"/>
      <c r="H59" s="77"/>
      <c r="I59" s="77"/>
      <c r="J59" s="77"/>
    </row>
    <row r="60" spans="2:13">
      <c r="B60" s="29" t="s">
        <v>43</v>
      </c>
      <c r="C60" s="115">
        <f>ROUND(($D$50*C14+C19)/10,3)</f>
        <v>8.5920000000000005</v>
      </c>
      <c r="D60" s="34">
        <f>ROUND(($D$50*D14+D19)/10,3)</f>
        <v>7.8979999999999997</v>
      </c>
      <c r="E60" s="77"/>
      <c r="F60" s="77"/>
      <c r="G60" s="77"/>
      <c r="H60" s="77"/>
      <c r="I60" s="77"/>
      <c r="J60" s="77"/>
    </row>
    <row r="61" spans="2:13">
      <c r="B61" s="31" t="s">
        <v>44</v>
      </c>
      <c r="C61" s="34">
        <f>ROUND(($D$50*C14+C20)/10,3)</f>
        <v>9.8409999999999993</v>
      </c>
      <c r="D61" s="34">
        <f>ROUND(($D$50*D14+D20)/10,3)</f>
        <v>9.157</v>
      </c>
      <c r="E61" s="77"/>
      <c r="F61" s="77"/>
      <c r="G61" s="77"/>
      <c r="H61" s="77"/>
      <c r="I61" s="77"/>
      <c r="J61" s="77"/>
    </row>
    <row r="62" spans="2:13">
      <c r="B62" s="31" t="s">
        <v>45</v>
      </c>
      <c r="C62" s="116" t="s">
        <v>161</v>
      </c>
      <c r="D62" s="34">
        <f>ROUND(($D$50*D14+D21)/10,3)</f>
        <v>10.005000000000001</v>
      </c>
      <c r="E62" s="77"/>
      <c r="F62" s="77"/>
      <c r="G62" s="77"/>
      <c r="H62" s="77"/>
      <c r="I62" s="77"/>
      <c r="J62" s="77"/>
    </row>
    <row r="63" spans="2:13">
      <c r="C63" s="77"/>
      <c r="D63" s="77"/>
      <c r="E63" s="77"/>
      <c r="F63" s="77"/>
      <c r="G63" s="77"/>
      <c r="H63" s="77"/>
      <c r="I63" s="77"/>
    </row>
    <row r="64" spans="2:13">
      <c r="B64" s="22" t="s">
        <v>259</v>
      </c>
      <c r="C64" s="77"/>
      <c r="D64" s="77"/>
      <c r="E64" s="77"/>
      <c r="F64" s="77"/>
      <c r="G64" s="77"/>
      <c r="H64" s="77"/>
      <c r="I64" s="77">
        <f>H39</f>
        <v>7.0129999999999999</v>
      </c>
      <c r="J64" s="129"/>
    </row>
    <row r="65" spans="1:10">
      <c r="C65" s="77"/>
      <c r="D65" s="77"/>
      <c r="E65" s="77"/>
      <c r="F65" s="77"/>
      <c r="G65" s="77"/>
      <c r="H65" s="77"/>
      <c r="I65" s="77"/>
    </row>
    <row r="66" spans="1:10">
      <c r="B66" s="76" t="s">
        <v>64</v>
      </c>
      <c r="C66" s="77"/>
      <c r="D66" s="77"/>
      <c r="E66" s="77"/>
      <c r="F66" s="77"/>
      <c r="G66" s="77"/>
      <c r="H66" s="77"/>
      <c r="I66" s="77"/>
    </row>
    <row r="67" spans="1:10">
      <c r="B67" s="133" t="s">
        <v>256</v>
      </c>
      <c r="C67" s="77">
        <f>ROUND(C23*$D$50/10,3)</f>
        <v>10.295999999999999</v>
      </c>
      <c r="D67" s="77">
        <f>ROUND(D23*$D$50/10,3)</f>
        <v>8.5020000000000007</v>
      </c>
      <c r="E67" s="77"/>
      <c r="F67" s="77">
        <f>ROUND(F23*$D$50/10,3)</f>
        <v>8.7710000000000008</v>
      </c>
      <c r="G67" s="77">
        <f>ROUND(G23*$D$50/10,3)</f>
        <v>5.9550000000000001</v>
      </c>
      <c r="H67" s="77">
        <f>ROUND(H23*$D$50/10,3)</f>
        <v>5.9279999999999999</v>
      </c>
      <c r="I67" s="77">
        <f>ROUND((C39*$D$50+D39)/10,3)</f>
        <v>7.0869999999999997</v>
      </c>
    </row>
    <row r="68" spans="1:10">
      <c r="B68" s="133" t="s">
        <v>257</v>
      </c>
      <c r="C68" s="77"/>
      <c r="D68" s="77"/>
      <c r="E68" s="77">
        <f>ROUND(E24*$D$50/10,3)</f>
        <v>14.457000000000001</v>
      </c>
      <c r="F68" s="77"/>
      <c r="G68" s="77"/>
      <c r="H68" s="77"/>
      <c r="I68" s="77"/>
      <c r="J68" s="77"/>
    </row>
    <row r="69" spans="1:10">
      <c r="B69" s="133" t="s">
        <v>258</v>
      </c>
      <c r="C69" s="77"/>
      <c r="D69" s="77"/>
      <c r="E69" s="77">
        <f>ROUND(E25*$D$50/10,3)</f>
        <v>5.7939999999999996</v>
      </c>
      <c r="F69" s="77"/>
      <c r="G69" s="77"/>
      <c r="H69" s="77"/>
      <c r="I69" s="77"/>
      <c r="J69" s="77"/>
    </row>
    <row r="70" spans="1:10">
      <c r="C70" s="77"/>
      <c r="D70" s="77"/>
      <c r="E70" s="77"/>
      <c r="F70" s="77"/>
      <c r="G70" s="77"/>
      <c r="H70" s="77"/>
      <c r="I70" s="77"/>
    </row>
    <row r="71" spans="1:10">
      <c r="B71" s="22" t="s">
        <v>259</v>
      </c>
      <c r="C71" s="77"/>
      <c r="D71" s="77"/>
      <c r="E71" s="77"/>
      <c r="F71" s="77"/>
      <c r="G71" s="77"/>
      <c r="H71" s="77"/>
      <c r="I71" s="77">
        <f>H40</f>
        <v>7.2949999999999999</v>
      </c>
      <c r="J71" s="129"/>
    </row>
    <row r="72" spans="1:10">
      <c r="B72" s="22"/>
      <c r="C72" s="77"/>
      <c r="D72" s="77"/>
      <c r="E72" s="77"/>
      <c r="F72" s="77"/>
      <c r="G72" s="77"/>
      <c r="H72" s="77"/>
      <c r="I72" s="77"/>
      <c r="J72" s="129"/>
    </row>
    <row r="73" spans="1:10">
      <c r="B73" s="22"/>
      <c r="I73" s="129"/>
      <c r="J73" s="129"/>
    </row>
    <row r="74" spans="1:10">
      <c r="A74" s="63" t="s">
        <v>340</v>
      </c>
      <c r="B74" s="17" t="s">
        <v>341</v>
      </c>
      <c r="I74" s="129"/>
      <c r="J74" s="129"/>
    </row>
    <row r="75" spans="1:10">
      <c r="B75" s="22"/>
      <c r="I75" s="129"/>
      <c r="J75" s="129"/>
    </row>
    <row r="76" spans="1:10">
      <c r="C76" s="8" t="str">
        <f>'BGS Cost &amp; Bid Factors'!C$6</f>
        <v>SC1</v>
      </c>
      <c r="D76" s="8" t="str">
        <f>'BGS Cost &amp; Bid Factors'!D$6</f>
        <v>SC5</v>
      </c>
      <c r="E76" s="8" t="str">
        <f>'BGS Cost &amp; Bid Factors'!E$6</f>
        <v>SC3</v>
      </c>
      <c r="F76" s="8" t="str">
        <f>'BGS Cost &amp; Bid Factors'!F$6</f>
        <v>SC2 ND</v>
      </c>
      <c r="G76" s="8" t="str">
        <f>'BGS Cost &amp; Bid Factors'!G$6</f>
        <v>SC4</v>
      </c>
      <c r="H76" s="8" t="str">
        <f>'BGS Cost &amp; Bid Factors'!H$6</f>
        <v>SC6</v>
      </c>
      <c r="I76" s="8" t="str">
        <f>'BGS Cost &amp; Bid Factors'!I$6</f>
        <v>SC2 Dem</v>
      </c>
      <c r="J76" s="129"/>
    </row>
    <row r="77" spans="1:10">
      <c r="B77" s="73" t="s">
        <v>275</v>
      </c>
      <c r="J77" s="129"/>
    </row>
    <row r="78" spans="1:10">
      <c r="B78" s="127" t="s">
        <v>71</v>
      </c>
      <c r="C78" s="143">
        <f>ROUND((C57*'BGS Cost &amp; Bid Factors'!M$48)/100,0)</f>
        <v>29210</v>
      </c>
      <c r="D78" s="143">
        <f>ROUND((D57*'BGS Cost &amp; Bid Factors'!N$48)/100,0)</f>
        <v>493</v>
      </c>
      <c r="E78" s="15">
        <f>ROUND((E58*'BGS Cost &amp; Bid Factors'!O$49+E59*'BGS Cost &amp; Bid Factors'!O$50)/100,0)</f>
        <v>8</v>
      </c>
      <c r="F78" s="143">
        <f>ROUND((F57*'BGS Cost &amp; Bid Factors'!P$48)/100,0)</f>
        <v>1144</v>
      </c>
      <c r="G78" s="143">
        <f>ROUND((G57*'BGS Cost &amp; Bid Factors'!Q$48)/100,0)</f>
        <v>100</v>
      </c>
      <c r="H78" s="143">
        <f>ROUND((H57*'BGS Cost &amp; Bid Factors'!R$48)/100,0)</f>
        <v>92</v>
      </c>
      <c r="I78" s="16">
        <v>16579</v>
      </c>
      <c r="J78" s="129"/>
    </row>
    <row r="79" spans="1:10">
      <c r="B79" s="127" t="s">
        <v>64</v>
      </c>
      <c r="C79" s="80">
        <f>ROUND(C67*'BGS Cost &amp; Bid Factors'!M$44/100,0)</f>
        <v>43553</v>
      </c>
      <c r="D79" s="80">
        <f>ROUND(D67*'BGS Cost &amp; Bid Factors'!N$44/100,0)</f>
        <v>989</v>
      </c>
      <c r="E79" s="81">
        <f>ROUND((E68*'BGS Cost &amp; Bid Factors'!O$45+E69*'BGS Cost &amp; Bid Factors'!O$46)/100,0)</f>
        <v>16</v>
      </c>
      <c r="F79" s="80">
        <f>ROUND(F67*'BGS Cost &amp; Bid Factors'!P$44/100,0)</f>
        <v>2466</v>
      </c>
      <c r="G79" s="80">
        <f>ROUND(G67*'BGS Cost &amp; Bid Factors'!Q$44/100,0)</f>
        <v>268</v>
      </c>
      <c r="H79" s="80">
        <f>ROUND(H67*'BGS Cost &amp; Bid Factors'!R$44/100,0)</f>
        <v>223</v>
      </c>
      <c r="I79" s="178">
        <v>28464</v>
      </c>
      <c r="J79" s="129"/>
    </row>
    <row r="80" spans="1:10">
      <c r="B80" s="127" t="s">
        <v>38</v>
      </c>
      <c r="C80" s="119">
        <f t="shared" ref="C80:I80" si="0">+C79+C78</f>
        <v>72763</v>
      </c>
      <c r="D80" s="119">
        <f t="shared" si="0"/>
        <v>1482</v>
      </c>
      <c r="E80" s="83">
        <f t="shared" si="0"/>
        <v>24</v>
      </c>
      <c r="F80" s="119">
        <f t="shared" si="0"/>
        <v>3610</v>
      </c>
      <c r="G80" s="119">
        <f t="shared" si="0"/>
        <v>368</v>
      </c>
      <c r="H80" s="119">
        <f t="shared" si="0"/>
        <v>315</v>
      </c>
      <c r="I80" s="119">
        <f t="shared" si="0"/>
        <v>45043</v>
      </c>
      <c r="J80" s="129"/>
    </row>
    <row r="81" spans="1:10">
      <c r="B81" s="127"/>
      <c r="C81" s="119"/>
      <c r="D81" s="119"/>
      <c r="E81" s="83"/>
      <c r="F81" s="83"/>
      <c r="G81" s="83"/>
      <c r="H81" s="83"/>
      <c r="I81" s="83"/>
      <c r="J81" s="129"/>
    </row>
    <row r="82" spans="1:10">
      <c r="B82" s="127" t="s">
        <v>38</v>
      </c>
      <c r="C82" s="119"/>
      <c r="D82" s="119"/>
      <c r="E82" s="83"/>
      <c r="F82" s="83"/>
      <c r="G82" s="83"/>
      <c r="H82" s="83"/>
      <c r="I82" s="83"/>
      <c r="J82" s="129"/>
    </row>
    <row r="83" spans="1:10">
      <c r="B83" s="127" t="s">
        <v>71</v>
      </c>
      <c r="C83" s="119">
        <f>SUM(C78:I78)</f>
        <v>47626</v>
      </c>
      <c r="D83" s="119"/>
      <c r="E83" s="83"/>
      <c r="F83" s="83"/>
      <c r="G83" s="83"/>
      <c r="H83" s="83"/>
      <c r="I83" s="83"/>
      <c r="J83" s="129"/>
    </row>
    <row r="84" spans="1:10">
      <c r="B84" s="127" t="s">
        <v>64</v>
      </c>
      <c r="C84" s="82">
        <f>SUM(C79:I79)</f>
        <v>75979</v>
      </c>
      <c r="D84" s="28"/>
      <c r="E84" s="45"/>
      <c r="J84" s="129"/>
    </row>
    <row r="85" spans="1:10">
      <c r="B85" s="127" t="s">
        <v>38</v>
      </c>
      <c r="C85" s="119">
        <f>+C84+C83</f>
        <v>123605</v>
      </c>
      <c r="D85" s="28"/>
      <c r="E85" s="45"/>
      <c r="J85" s="129"/>
    </row>
    <row r="86" spans="1:10">
      <c r="B86" s="127"/>
      <c r="C86" s="119"/>
      <c r="D86" s="28"/>
      <c r="E86" s="45"/>
      <c r="J86" s="129"/>
    </row>
    <row r="87" spans="1:10">
      <c r="C87" s="45"/>
      <c r="D87" s="45"/>
      <c r="E87" s="45"/>
      <c r="F87" s="45"/>
      <c r="G87" s="45"/>
      <c r="H87" s="45"/>
      <c r="I87" s="45"/>
      <c r="J87" s="129"/>
    </row>
    <row r="88" spans="1:10">
      <c r="B88" s="76" t="s">
        <v>342</v>
      </c>
      <c r="C88" s="45"/>
      <c r="D88" s="45"/>
      <c r="E88" s="45"/>
      <c r="F88" s="45"/>
      <c r="G88" s="45"/>
      <c r="H88" s="45"/>
      <c r="I88" s="45"/>
      <c r="J88" s="129"/>
    </row>
    <row r="89" spans="1:10">
      <c r="A89" s="174"/>
      <c r="B89" s="28"/>
      <c r="C89" s="62"/>
      <c r="D89" s="62"/>
      <c r="E89" s="62"/>
      <c r="F89" s="62"/>
      <c r="G89" s="62"/>
      <c r="H89" s="45"/>
      <c r="I89" s="45"/>
      <c r="J89" s="129"/>
    </row>
    <row r="90" spans="1:10" ht="15">
      <c r="A90" s="174"/>
      <c r="B90" s="28" t="s">
        <v>343</v>
      </c>
      <c r="C90" s="117" t="s">
        <v>38</v>
      </c>
      <c r="D90" s="117" t="s">
        <v>324</v>
      </c>
      <c r="E90" s="117" t="s">
        <v>344</v>
      </c>
      <c r="F90" s="62"/>
      <c r="G90" s="62"/>
      <c r="H90" s="45"/>
      <c r="I90" s="45"/>
      <c r="J90" s="129"/>
    </row>
    <row r="91" spans="1:10">
      <c r="A91" s="174"/>
      <c r="B91" s="179" t="s">
        <v>71</v>
      </c>
      <c r="C91" s="119">
        <f>'Weighted Avg Price Calc'!G$27/1000</f>
        <v>48140.464</v>
      </c>
      <c r="D91" s="144">
        <f>ROUND('BGS Cost &amp; Bid Factors'!$C$147*SUM('BGS Cost &amp; Bid Factors'!$C$141:$I$141)/12*'BGS Cost &amp; Bid Factors'!H$144/1000*'BGS Cost &amp; Bid Factors'!C447,0)</f>
        <v>3915</v>
      </c>
      <c r="E91" s="119">
        <f>C91-D91</f>
        <v>44225.464</v>
      </c>
      <c r="F91" s="62"/>
      <c r="G91" s="62"/>
      <c r="H91" s="45"/>
      <c r="I91" s="45"/>
      <c r="J91" s="129"/>
    </row>
    <row r="92" spans="1:10" ht="15">
      <c r="A92" s="174"/>
      <c r="B92" s="179" t="s">
        <v>64</v>
      </c>
      <c r="C92" s="118">
        <f>'Weighted Avg Price Calc'!G$28/1000</f>
        <v>74514.186000000002</v>
      </c>
      <c r="D92" s="118">
        <f>ROUND('BGS Cost &amp; Bid Factors'!$C$147*SUM('BGS Cost &amp; Bid Factors'!$C$141:$I$141)/12*'BGS Cost &amp; Bid Factors'!H$145/1000*'BGS Cost &amp; Bid Factors'!C459,0)</f>
        <v>7829</v>
      </c>
      <c r="E92" s="118">
        <f>C92-D92</f>
        <v>66685.186000000002</v>
      </c>
      <c r="F92" s="62"/>
      <c r="G92" s="62"/>
      <c r="H92" s="45"/>
      <c r="I92" s="45"/>
      <c r="J92" s="129"/>
    </row>
    <row r="93" spans="1:10">
      <c r="A93" s="174"/>
      <c r="B93" s="179" t="s">
        <v>38</v>
      </c>
      <c r="C93" s="119">
        <f>+C92+C91</f>
        <v>122654.65</v>
      </c>
      <c r="D93" s="119">
        <f>D91+D92</f>
        <v>11744</v>
      </c>
      <c r="E93" s="119">
        <f>E91+E92</f>
        <v>110910.65</v>
      </c>
      <c r="F93" s="62"/>
      <c r="G93" s="62"/>
      <c r="H93" s="45"/>
      <c r="I93" s="45"/>
      <c r="J93" s="129"/>
    </row>
    <row r="94" spans="1:10">
      <c r="A94" s="174"/>
      <c r="B94" s="28"/>
      <c r="C94" s="62"/>
      <c r="D94" s="62"/>
      <c r="E94" s="62"/>
      <c r="F94" s="62"/>
      <c r="G94" s="62"/>
      <c r="H94" s="45"/>
      <c r="I94" s="45"/>
      <c r="J94" s="129"/>
    </row>
    <row r="95" spans="1:10" ht="15">
      <c r="A95" s="174"/>
      <c r="B95" s="28" t="s">
        <v>345</v>
      </c>
      <c r="C95" s="117" t="s">
        <v>38</v>
      </c>
      <c r="D95" s="117" t="s">
        <v>324</v>
      </c>
      <c r="E95" s="117" t="s">
        <v>344</v>
      </c>
      <c r="F95" s="62"/>
      <c r="G95" s="62"/>
      <c r="H95" s="45"/>
      <c r="I95" s="45"/>
      <c r="J95" s="129"/>
    </row>
    <row r="96" spans="1:10">
      <c r="A96" s="174"/>
      <c r="B96" s="179" t="s">
        <v>71</v>
      </c>
      <c r="C96" s="119">
        <v>5044</v>
      </c>
      <c r="D96" s="119">
        <v>0</v>
      </c>
      <c r="E96" s="119">
        <f>C96-D96</f>
        <v>5044</v>
      </c>
      <c r="F96" s="62"/>
      <c r="G96" s="62"/>
      <c r="H96" s="45"/>
      <c r="I96" s="45"/>
      <c r="J96" s="129"/>
    </row>
    <row r="97" spans="1:10" ht="15">
      <c r="A97" s="174"/>
      <c r="B97" s="179" t="s">
        <v>64</v>
      </c>
      <c r="C97" s="118">
        <v>7711</v>
      </c>
      <c r="D97" s="118">
        <v>0</v>
      </c>
      <c r="E97" s="118">
        <f>C97-D97</f>
        <v>7711</v>
      </c>
      <c r="F97" s="62"/>
      <c r="G97" s="62"/>
      <c r="H97" s="45"/>
      <c r="I97" s="45"/>
      <c r="J97" s="129"/>
    </row>
    <row r="98" spans="1:10">
      <c r="A98" s="174"/>
      <c r="B98" s="179" t="s">
        <v>38</v>
      </c>
      <c r="C98" s="119">
        <f>+C97+C96</f>
        <v>12755</v>
      </c>
      <c r="D98" s="119">
        <f>D96+D97</f>
        <v>0</v>
      </c>
      <c r="E98" s="119">
        <f>E96+E97</f>
        <v>12755</v>
      </c>
      <c r="F98" s="62"/>
      <c r="G98" s="62"/>
      <c r="H98" s="45"/>
      <c r="I98" s="45"/>
      <c r="J98" s="129"/>
    </row>
    <row r="99" spans="1:10">
      <c r="A99" s="174"/>
      <c r="B99" s="28"/>
      <c r="C99" s="62"/>
      <c r="D99" s="62"/>
      <c r="E99" s="62"/>
      <c r="F99" s="62"/>
      <c r="G99" s="62"/>
      <c r="H99" s="45"/>
      <c r="I99" s="45"/>
      <c r="J99" s="129"/>
    </row>
    <row r="100" spans="1:10" ht="15">
      <c r="B100" s="28" t="s">
        <v>346</v>
      </c>
      <c r="C100" s="120" t="s">
        <v>38</v>
      </c>
      <c r="D100" s="120" t="s">
        <v>324</v>
      </c>
      <c r="E100" s="120" t="s">
        <v>344</v>
      </c>
      <c r="F100" s="45"/>
      <c r="G100" s="45"/>
      <c r="H100" s="45"/>
      <c r="I100" s="45"/>
      <c r="J100" s="129"/>
    </row>
    <row r="101" spans="1:10">
      <c r="B101" s="127" t="s">
        <v>71</v>
      </c>
      <c r="C101" s="119">
        <f>C91+C96</f>
        <v>53184.464</v>
      </c>
      <c r="D101" s="119">
        <f>D91+D96</f>
        <v>3915</v>
      </c>
      <c r="E101" s="83">
        <f>C101-D101</f>
        <v>49269.464</v>
      </c>
      <c r="J101" s="129"/>
    </row>
    <row r="102" spans="1:10" ht="15">
      <c r="B102" s="127" t="s">
        <v>64</v>
      </c>
      <c r="C102" s="118">
        <f>C92+C97</f>
        <v>82225.186000000002</v>
      </c>
      <c r="D102" s="118">
        <f>D92+D97</f>
        <v>7829</v>
      </c>
      <c r="E102" s="118">
        <f>C102-D102</f>
        <v>74396.186000000002</v>
      </c>
      <c r="J102" s="129"/>
    </row>
    <row r="103" spans="1:10">
      <c r="B103" s="127" t="s">
        <v>38</v>
      </c>
      <c r="C103" s="83">
        <f>+C102+C101</f>
        <v>135409.65</v>
      </c>
      <c r="D103" s="83">
        <f>+D102+D101</f>
        <v>11744</v>
      </c>
      <c r="E103" s="119">
        <f>E101+E102</f>
        <v>123665.65</v>
      </c>
      <c r="J103" s="129"/>
    </row>
    <row r="104" spans="1:10">
      <c r="C104" s="45"/>
      <c r="D104" s="84"/>
      <c r="E104" s="45"/>
      <c r="F104" s="75"/>
      <c r="G104" s="22" t="s">
        <v>347</v>
      </c>
      <c r="J104" s="129"/>
    </row>
    <row r="105" spans="1:10">
      <c r="B105" s="4" t="s">
        <v>113</v>
      </c>
      <c r="C105" s="22" t="s">
        <v>318</v>
      </c>
      <c r="D105" s="22" t="s">
        <v>318</v>
      </c>
      <c r="E105" s="22"/>
      <c r="G105" s="22" t="s">
        <v>348</v>
      </c>
      <c r="J105" s="129"/>
    </row>
    <row r="106" spans="1:10">
      <c r="B106" s="22"/>
      <c r="C106" s="70" t="s">
        <v>349</v>
      </c>
      <c r="D106" s="70" t="s">
        <v>350</v>
      </c>
      <c r="E106" s="70" t="s">
        <v>351</v>
      </c>
      <c r="G106" s="70" t="s">
        <v>352</v>
      </c>
      <c r="I106" s="129"/>
      <c r="J106" s="129"/>
    </row>
    <row r="107" spans="1:10">
      <c r="B107" s="127" t="s">
        <v>71</v>
      </c>
      <c r="C107" s="83">
        <f>C83</f>
        <v>47626</v>
      </c>
      <c r="D107" s="83">
        <f>E101</f>
        <v>49269.464</v>
      </c>
      <c r="E107" s="83">
        <f>D107-C107</f>
        <v>1643.4639999999999</v>
      </c>
      <c r="G107" s="1">
        <f>ROUND(1+E107/C83,5)</f>
        <v>1.03451</v>
      </c>
      <c r="I107" s="129"/>
      <c r="J107" s="129"/>
    </row>
    <row r="108" spans="1:10">
      <c r="B108" s="127" t="s">
        <v>64</v>
      </c>
      <c r="C108" s="85">
        <f>C84</f>
        <v>75979</v>
      </c>
      <c r="D108" s="85">
        <f>E102</f>
        <v>74396.186000000002</v>
      </c>
      <c r="E108" s="85">
        <f>D108-C108</f>
        <v>-1582.8139999999985</v>
      </c>
      <c r="G108" s="1">
        <f>ROUND(1+E108/C84,5)</f>
        <v>0.97916999999999998</v>
      </c>
      <c r="I108" s="129"/>
      <c r="J108" s="129"/>
    </row>
    <row r="109" spans="1:10">
      <c r="B109" s="127" t="s">
        <v>38</v>
      </c>
      <c r="C109" s="119">
        <f>+C108+C107</f>
        <v>123605</v>
      </c>
      <c r="D109" s="119">
        <f>+D108+D107</f>
        <v>123665.65</v>
      </c>
      <c r="E109" s="119">
        <f>+E108+E107</f>
        <v>60.650000000001455</v>
      </c>
      <c r="I109" s="129"/>
      <c r="J109" s="129"/>
    </row>
    <row r="110" spans="1:10">
      <c r="B110" s="22"/>
      <c r="I110" s="129"/>
      <c r="J110" s="129"/>
    </row>
    <row r="111" spans="1:10">
      <c r="A111" s="63" t="s">
        <v>353</v>
      </c>
      <c r="B111" s="17" t="s">
        <v>354</v>
      </c>
    </row>
    <row r="112" spans="1:10">
      <c r="A112" s="63"/>
      <c r="B112" s="17"/>
    </row>
    <row r="113" spans="1:10">
      <c r="A113" s="63"/>
      <c r="B113" s="17"/>
    </row>
    <row r="114" spans="1:10">
      <c r="B114" s="86" t="s">
        <v>355</v>
      </c>
    </row>
    <row r="115" spans="1:10">
      <c r="B115" s="1"/>
    </row>
    <row r="116" spans="1:10">
      <c r="C116" s="8" t="str">
        <f>'BGS Cost &amp; Bid Factors'!C$6</f>
        <v>SC1</v>
      </c>
      <c r="D116" s="8" t="str">
        <f>'BGS Cost &amp; Bid Factors'!D$6</f>
        <v>SC5</v>
      </c>
      <c r="E116" s="8" t="str">
        <f>'BGS Cost &amp; Bid Factors'!E$6</f>
        <v>SC3</v>
      </c>
      <c r="F116" s="8" t="str">
        <f>'BGS Cost &amp; Bid Factors'!F$6</f>
        <v>SC2 ND</v>
      </c>
      <c r="G116" s="8" t="str">
        <f>'BGS Cost &amp; Bid Factors'!G$6</f>
        <v>SC4</v>
      </c>
      <c r="H116" s="8" t="str">
        <f>'BGS Cost &amp; Bid Factors'!H$6</f>
        <v>SC6</v>
      </c>
      <c r="I116" s="8" t="str">
        <f>'BGS Cost &amp; Bid Factors'!I$6</f>
        <v>SC2 Dem</v>
      </c>
      <c r="J116" s="6"/>
    </row>
    <row r="117" spans="1:10">
      <c r="C117" s="6"/>
      <c r="D117" s="6"/>
      <c r="E117" s="6"/>
      <c r="F117" s="6"/>
      <c r="G117" s="6"/>
      <c r="H117" s="6"/>
      <c r="I117" s="6"/>
      <c r="J117" s="6"/>
    </row>
    <row r="118" spans="1:10">
      <c r="B118" s="76" t="s">
        <v>71</v>
      </c>
    </row>
    <row r="119" spans="1:10">
      <c r="B119" s="133" t="s">
        <v>256</v>
      </c>
      <c r="C119" s="31">
        <f>ROUND(C57*$G$107,3)</f>
        <v>9.9179999999999993</v>
      </c>
      <c r="D119" s="115">
        <f>ROUND(D57*$G$107,3)</f>
        <v>9.3610000000000007</v>
      </c>
      <c r="F119" s="115">
        <f>ROUND(F57*$G$107,3)</f>
        <v>10.179</v>
      </c>
      <c r="G119" s="115">
        <f>ROUND(G57*$G$107,3)</f>
        <v>5.8449999999999998</v>
      </c>
      <c r="H119" s="115">
        <f>ROUND(H57*$G$107,3)</f>
        <v>5.8360000000000003</v>
      </c>
      <c r="I119" s="115">
        <f>ROUND(I57*$G$107,3)</f>
        <v>7.5789999999999997</v>
      </c>
      <c r="J119" s="77"/>
    </row>
    <row r="120" spans="1:10">
      <c r="B120" s="133" t="s">
        <v>257</v>
      </c>
      <c r="E120" s="115">
        <f>ROUND(E58*$G$107,3)</f>
        <v>15.81</v>
      </c>
      <c r="J120" s="77"/>
    </row>
    <row r="121" spans="1:10">
      <c r="B121" s="133" t="s">
        <v>258</v>
      </c>
      <c r="E121" s="115">
        <f>ROUND(E59*$G$107,3)</f>
        <v>5.65</v>
      </c>
      <c r="J121" s="77"/>
    </row>
    <row r="122" spans="1:10">
      <c r="B122" s="29" t="s">
        <v>43</v>
      </c>
      <c r="C122" s="31">
        <f t="shared" ref="C122:D124" si="1">ROUND(C60*$G$107,3)</f>
        <v>8.8889999999999993</v>
      </c>
      <c r="D122" s="115">
        <f t="shared" si="1"/>
        <v>8.1709999999999994</v>
      </c>
      <c r="E122" s="77"/>
      <c r="J122" s="77"/>
    </row>
    <row r="123" spans="1:10">
      <c r="B123" s="31" t="s">
        <v>44</v>
      </c>
      <c r="C123" s="31">
        <f t="shared" si="1"/>
        <v>10.180999999999999</v>
      </c>
      <c r="D123" s="115">
        <f t="shared" si="1"/>
        <v>9.4730000000000008</v>
      </c>
      <c r="E123" s="77"/>
      <c r="J123" s="77"/>
    </row>
    <row r="124" spans="1:10">
      <c r="B124" s="31" t="s">
        <v>45</v>
      </c>
      <c r="C124" s="29" t="s">
        <v>161</v>
      </c>
      <c r="D124" s="115">
        <f t="shared" si="1"/>
        <v>10.35</v>
      </c>
      <c r="E124" s="77"/>
      <c r="J124" s="77"/>
    </row>
    <row r="126" spans="1:10">
      <c r="B126" s="22" t="s">
        <v>259</v>
      </c>
      <c r="I126" s="115">
        <f>ROUND(I64*$G$107,3)</f>
        <v>7.2549999999999999</v>
      </c>
      <c r="J126" s="129"/>
    </row>
    <row r="128" spans="1:10">
      <c r="B128" s="76" t="s">
        <v>64</v>
      </c>
    </row>
    <row r="129" spans="1:10">
      <c r="B129" s="133" t="s">
        <v>256</v>
      </c>
      <c r="C129" s="31">
        <f>ROUND(C67*$G$108,3)</f>
        <v>10.082000000000001</v>
      </c>
      <c r="D129" s="31">
        <f>ROUND(D67*$G$108,3)</f>
        <v>8.3249999999999993</v>
      </c>
      <c r="F129" s="115">
        <f>ROUND(F67*$G$108,3)</f>
        <v>8.5879999999999992</v>
      </c>
      <c r="G129" s="115">
        <f>ROUND(G67*$G$108,3)</f>
        <v>5.8310000000000004</v>
      </c>
      <c r="H129" s="115">
        <f>ROUND(H67*$G$108,3)</f>
        <v>5.8049999999999997</v>
      </c>
      <c r="I129" s="115">
        <f>ROUND(I67*$G$108,3)</f>
        <v>6.9390000000000001</v>
      </c>
    </row>
    <row r="130" spans="1:10">
      <c r="B130" s="133" t="s">
        <v>257</v>
      </c>
      <c r="E130" s="115">
        <f>ROUND(E68*$G$108,3)</f>
        <v>14.156000000000001</v>
      </c>
      <c r="J130" s="77"/>
    </row>
    <row r="131" spans="1:10">
      <c r="B131" s="133" t="s">
        <v>258</v>
      </c>
      <c r="E131" s="115">
        <f>ROUND(E69*$G$108,3)</f>
        <v>5.673</v>
      </c>
      <c r="J131" s="77"/>
    </row>
    <row r="133" spans="1:10">
      <c r="B133" s="22" t="s">
        <v>259</v>
      </c>
      <c r="I133" s="115">
        <f>ROUND(I71*$G$108,3)</f>
        <v>7.1429999999999998</v>
      </c>
      <c r="J133" s="129"/>
    </row>
    <row r="134" spans="1:10">
      <c r="A134" s="174"/>
      <c r="B134" s="29"/>
      <c r="C134" s="28"/>
      <c r="D134" s="28"/>
      <c r="E134" s="28"/>
      <c r="F134" s="28"/>
      <c r="G134" s="28"/>
      <c r="H134" s="28"/>
      <c r="I134" s="115"/>
      <c r="J134" s="180"/>
    </row>
    <row r="135" spans="1:10">
      <c r="A135" s="174"/>
      <c r="B135" s="86" t="s">
        <v>356</v>
      </c>
      <c r="C135" s="28"/>
      <c r="D135" s="28" t="s">
        <v>261</v>
      </c>
      <c r="E135" s="149">
        <v>7.0000000000000007E-2</v>
      </c>
      <c r="F135" s="28"/>
      <c r="G135" s="28"/>
      <c r="H135" s="28"/>
      <c r="I135" s="28"/>
      <c r="J135" s="180"/>
    </row>
    <row r="136" spans="1:10">
      <c r="A136" s="174"/>
      <c r="B136" s="28"/>
      <c r="C136" s="28"/>
      <c r="D136" s="28"/>
      <c r="E136" s="28"/>
      <c r="F136" s="28"/>
      <c r="G136" s="28"/>
      <c r="H136" s="28"/>
      <c r="I136" s="28"/>
      <c r="J136" s="180"/>
    </row>
    <row r="137" spans="1:10">
      <c r="A137" s="174"/>
      <c r="B137" s="28"/>
      <c r="C137" s="69" t="s">
        <v>8</v>
      </c>
      <c r="D137" s="69" t="s">
        <v>9</v>
      </c>
      <c r="E137" s="69" t="s">
        <v>10</v>
      </c>
      <c r="F137" s="69" t="s">
        <v>11</v>
      </c>
      <c r="G137" s="69" t="s">
        <v>12</v>
      </c>
      <c r="H137" s="69" t="s">
        <v>13</v>
      </c>
      <c r="I137" s="69" t="s">
        <v>14</v>
      </c>
      <c r="J137" s="180"/>
    </row>
    <row r="138" spans="1:10">
      <c r="A138" s="174"/>
      <c r="B138" s="78" t="s">
        <v>71</v>
      </c>
      <c r="C138" s="28"/>
      <c r="D138" s="28"/>
      <c r="E138" s="28"/>
      <c r="F138" s="28"/>
      <c r="G138" s="28"/>
      <c r="H138" s="28"/>
      <c r="I138" s="28"/>
      <c r="J138" s="180"/>
    </row>
    <row r="139" spans="1:10">
      <c r="A139" s="174"/>
      <c r="B139" s="31" t="s">
        <v>256</v>
      </c>
      <c r="C139" s="31"/>
      <c r="D139" s="31"/>
      <c r="E139" s="28"/>
      <c r="F139" s="115">
        <f>ROUND(F119*(1+$E$135),3)</f>
        <v>10.891999999999999</v>
      </c>
      <c r="G139" s="115">
        <f>ROUND(G119*(1+$E$135),3)</f>
        <v>6.2539999999999996</v>
      </c>
      <c r="H139" s="115">
        <f>ROUND(H119*(1+$E$135),3)</f>
        <v>6.2450000000000001</v>
      </c>
      <c r="I139" s="115">
        <f>ROUND(I119*(1+$E$135),3)</f>
        <v>8.11</v>
      </c>
      <c r="J139" s="180"/>
    </row>
    <row r="140" spans="1:10">
      <c r="A140" s="174"/>
      <c r="B140" s="31" t="s">
        <v>257</v>
      </c>
      <c r="C140" s="28"/>
      <c r="D140" s="28"/>
      <c r="E140" s="115">
        <f>ROUND(E120*(1+$E$135),3)</f>
        <v>16.917000000000002</v>
      </c>
      <c r="F140" s="28"/>
      <c r="G140" s="28"/>
      <c r="H140" s="28"/>
      <c r="I140" s="28"/>
      <c r="J140" s="180"/>
    </row>
    <row r="141" spans="1:10">
      <c r="A141" s="174"/>
      <c r="B141" s="31" t="s">
        <v>258</v>
      </c>
      <c r="C141" s="28"/>
      <c r="D141" s="28"/>
      <c r="E141" s="115">
        <f>ROUND(E121*(1+$E$135),3)</f>
        <v>6.0460000000000003</v>
      </c>
      <c r="F141" s="28"/>
      <c r="G141" s="28"/>
      <c r="H141" s="28"/>
      <c r="I141" s="28"/>
      <c r="J141" s="180"/>
    </row>
    <row r="142" spans="1:10">
      <c r="A142" s="174"/>
      <c r="B142" s="29" t="s">
        <v>43</v>
      </c>
      <c r="C142" s="115">
        <f>ROUND(C122*(1+$E$135),3)</f>
        <v>9.5109999999999992</v>
      </c>
      <c r="D142" s="115">
        <f>ROUND(D122*(1+$E$135),3)</f>
        <v>8.7430000000000003</v>
      </c>
      <c r="E142" s="34"/>
      <c r="F142" s="28"/>
      <c r="G142" s="28"/>
      <c r="H142" s="28"/>
      <c r="I142" s="28"/>
      <c r="J142" s="180"/>
    </row>
    <row r="143" spans="1:10">
      <c r="A143" s="174"/>
      <c r="B143" s="31" t="s">
        <v>44</v>
      </c>
      <c r="C143" s="115">
        <f>ROUND(C123*(1+$E$135),3)</f>
        <v>10.894</v>
      </c>
      <c r="D143" s="115">
        <f>ROUND(D123*(1+$E$135),3)</f>
        <v>10.135999999999999</v>
      </c>
      <c r="E143" s="34"/>
      <c r="F143" s="28"/>
      <c r="G143" s="28"/>
      <c r="H143" s="28"/>
      <c r="I143" s="28"/>
      <c r="J143" s="180"/>
    </row>
    <row r="144" spans="1:10">
      <c r="A144" s="174"/>
      <c r="B144" s="31" t="s">
        <v>45</v>
      </c>
      <c r="C144" s="29" t="s">
        <v>161</v>
      </c>
      <c r="D144" s="115">
        <f>ROUND(D124*(1+$E$135),3)</f>
        <v>11.074999999999999</v>
      </c>
      <c r="E144" s="34"/>
      <c r="F144" s="28"/>
      <c r="G144" s="28"/>
      <c r="H144" s="28"/>
      <c r="I144" s="28"/>
      <c r="J144" s="180"/>
    </row>
    <row r="145" spans="1:10">
      <c r="A145" s="174"/>
      <c r="B145" s="28"/>
      <c r="C145" s="28"/>
      <c r="D145" s="28"/>
      <c r="E145" s="28"/>
      <c r="F145" s="28"/>
      <c r="G145" s="28"/>
      <c r="H145" s="28"/>
      <c r="I145" s="28"/>
      <c r="J145" s="180"/>
    </row>
    <row r="146" spans="1:10">
      <c r="A146" s="174"/>
      <c r="B146" s="29" t="s">
        <v>259</v>
      </c>
      <c r="C146" s="28"/>
      <c r="D146" s="28"/>
      <c r="E146" s="28"/>
      <c r="F146" s="28"/>
      <c r="G146" s="28"/>
      <c r="H146" s="28"/>
      <c r="I146" s="115">
        <f>ROUND(I126*(1+$E$135),2)</f>
        <v>7.76</v>
      </c>
      <c r="J146" s="180"/>
    </row>
    <row r="147" spans="1:10">
      <c r="A147" s="174"/>
      <c r="B147" s="28"/>
      <c r="C147" s="28"/>
      <c r="D147" s="28"/>
      <c r="E147" s="28"/>
      <c r="F147" s="28"/>
      <c r="G147" s="28"/>
      <c r="H147" s="28"/>
      <c r="I147" s="28"/>
      <c r="J147" s="180"/>
    </row>
    <row r="148" spans="1:10">
      <c r="A148" s="174"/>
      <c r="B148" s="78" t="s">
        <v>64</v>
      </c>
      <c r="C148" s="28"/>
      <c r="D148" s="28"/>
      <c r="E148" s="28"/>
      <c r="F148" s="28"/>
      <c r="G148" s="28"/>
      <c r="H148" s="28"/>
      <c r="I148" s="28"/>
      <c r="J148" s="180"/>
    </row>
    <row r="149" spans="1:10">
      <c r="A149" s="174"/>
      <c r="B149" s="31" t="s">
        <v>256</v>
      </c>
      <c r="C149" s="115">
        <f>ROUND(C129*(1+$E$135),3)</f>
        <v>10.788</v>
      </c>
      <c r="D149" s="115">
        <f>ROUND(D129*(1+$E$135),3)</f>
        <v>8.9079999999999995</v>
      </c>
      <c r="E149" s="28"/>
      <c r="F149" s="115">
        <f>ROUND(F129*(1+$E$135),3)</f>
        <v>9.1890000000000001</v>
      </c>
      <c r="G149" s="115">
        <f>ROUND(G129*(1+$E$135),3)</f>
        <v>6.2389999999999999</v>
      </c>
      <c r="H149" s="115">
        <f>ROUND(H129*(1+$E$135),3)</f>
        <v>6.2110000000000003</v>
      </c>
      <c r="I149" s="115">
        <f>ROUND(I129*(1+$E$135),3)</f>
        <v>7.4249999999999998</v>
      </c>
      <c r="J149" s="180"/>
    </row>
    <row r="150" spans="1:10">
      <c r="A150" s="174"/>
      <c r="B150" s="31" t="s">
        <v>257</v>
      </c>
      <c r="C150" s="28"/>
      <c r="D150" s="28"/>
      <c r="E150" s="115">
        <f>ROUND(E130*(1+$E$135),3)</f>
        <v>15.147</v>
      </c>
      <c r="F150" s="28"/>
      <c r="G150" s="28"/>
      <c r="H150" s="28"/>
      <c r="I150" s="28"/>
      <c r="J150" s="180"/>
    </row>
    <row r="151" spans="1:10">
      <c r="A151" s="174"/>
      <c r="B151" s="31" t="s">
        <v>258</v>
      </c>
      <c r="C151" s="28"/>
      <c r="D151" s="28"/>
      <c r="E151" s="115">
        <f>ROUND(E131*(1+$E$135),3)</f>
        <v>6.07</v>
      </c>
      <c r="F151" s="28"/>
      <c r="G151" s="28"/>
      <c r="H151" s="28"/>
      <c r="I151" s="28"/>
      <c r="J151" s="180"/>
    </row>
    <row r="152" spans="1:10">
      <c r="A152" s="174"/>
      <c r="B152" s="28"/>
      <c r="C152" s="28"/>
      <c r="D152" s="28"/>
      <c r="E152" s="28"/>
      <c r="F152" s="28"/>
      <c r="G152" s="28"/>
      <c r="H152" s="28"/>
      <c r="I152" s="28"/>
      <c r="J152" s="180"/>
    </row>
    <row r="153" spans="1:10">
      <c r="A153" s="174"/>
      <c r="B153" s="29" t="s">
        <v>259</v>
      </c>
      <c r="C153" s="28"/>
      <c r="D153" s="28"/>
      <c r="E153" s="28"/>
      <c r="F153" s="28"/>
      <c r="G153" s="28"/>
      <c r="H153" s="28"/>
      <c r="I153" s="115">
        <f>ROUND(I133*(1+$E$135),2)</f>
        <v>7.64</v>
      </c>
      <c r="J153" s="180"/>
    </row>
    <row r="154" spans="1:10">
      <c r="A154" s="174"/>
      <c r="B154" s="29"/>
      <c r="C154" s="28"/>
      <c r="D154" s="28"/>
      <c r="E154" s="28"/>
      <c r="F154" s="28"/>
      <c r="G154" s="28"/>
      <c r="H154" s="28"/>
      <c r="I154" s="115"/>
      <c r="J154" s="180"/>
    </row>
    <row r="155" spans="1:10">
      <c r="B155" s="22"/>
      <c r="I155" s="129"/>
      <c r="J155" s="129"/>
    </row>
    <row r="156" spans="1:10">
      <c r="A156" s="63" t="s">
        <v>357</v>
      </c>
      <c r="B156" s="63" t="s">
        <v>358</v>
      </c>
      <c r="I156" s="129"/>
      <c r="J156" s="129"/>
    </row>
    <row r="157" spans="1:10">
      <c r="B157" s="63"/>
      <c r="I157" s="129"/>
      <c r="J157" s="129"/>
    </row>
    <row r="158" spans="1:10">
      <c r="B158" s="63"/>
      <c r="I158" s="129"/>
      <c r="J158" s="129"/>
    </row>
    <row r="159" spans="1:10">
      <c r="B159" s="38" t="s">
        <v>275</v>
      </c>
      <c r="I159" s="129"/>
      <c r="J159" s="129"/>
    </row>
    <row r="160" spans="1:10">
      <c r="B160" s="38"/>
      <c r="I160" s="129"/>
      <c r="J160" s="129"/>
    </row>
    <row r="161" spans="2:10">
      <c r="C161" s="8" t="str">
        <f>'BGS Cost &amp; Bid Factors'!C$6</f>
        <v>SC1</v>
      </c>
      <c r="D161" s="8" t="str">
        <f>'BGS Cost &amp; Bid Factors'!D$6</f>
        <v>SC5</v>
      </c>
      <c r="E161" s="8" t="str">
        <f>'BGS Cost &amp; Bid Factors'!E$6</f>
        <v>SC3</v>
      </c>
      <c r="F161" s="8" t="str">
        <f>'BGS Cost &amp; Bid Factors'!F$6</f>
        <v>SC2 ND</v>
      </c>
      <c r="G161" s="8" t="str">
        <f>'BGS Cost &amp; Bid Factors'!G$6</f>
        <v>SC4</v>
      </c>
      <c r="H161" s="8" t="str">
        <f>'BGS Cost &amp; Bid Factors'!H$6</f>
        <v>SC6</v>
      </c>
      <c r="I161" s="8" t="str">
        <f>'BGS Cost &amp; Bid Factors'!I$6</f>
        <v>SC2 Dem</v>
      </c>
      <c r="J161" s="129"/>
    </row>
    <row r="162" spans="2:10">
      <c r="B162" s="38"/>
      <c r="J162" s="129"/>
    </row>
    <row r="163" spans="2:10">
      <c r="B163" s="127" t="s">
        <v>71</v>
      </c>
      <c r="C163" s="143">
        <f>ROUND((C119*'BGS Cost &amp; Bid Factors'!M$48)/100,0)</f>
        <v>30218</v>
      </c>
      <c r="D163" s="143">
        <f>ROUND((D119*'BGS Cost &amp; Bid Factors'!N$48)/100,0)</f>
        <v>510</v>
      </c>
      <c r="E163" s="15">
        <f>ROUND((E120*'BGS Cost &amp; Bid Factors'!O$49+E121*'BGS Cost &amp; Bid Factors'!O$50)/100,0)</f>
        <v>9</v>
      </c>
      <c r="F163" s="143">
        <f>ROUND((F119*'BGS Cost &amp; Bid Factors'!P$48)/100,0)</f>
        <v>1184</v>
      </c>
      <c r="G163" s="143">
        <f>ROUND((G119*'BGS Cost &amp; Bid Factors'!Q$48)/100,0)</f>
        <v>104</v>
      </c>
      <c r="H163" s="143">
        <f>ROUND((H119*'BGS Cost &amp; Bid Factors'!R$48)/100,0)</f>
        <v>95</v>
      </c>
      <c r="I163" s="15">
        <v>17151</v>
      </c>
      <c r="J163" s="129"/>
    </row>
    <row r="164" spans="2:10">
      <c r="B164" s="127" t="s">
        <v>64</v>
      </c>
      <c r="C164" s="80">
        <f>ROUND(C129*'BGS Cost &amp; Bid Factors'!M$44/100,0)</f>
        <v>42648</v>
      </c>
      <c r="D164" s="80">
        <f>ROUND(D129*'BGS Cost &amp; Bid Factors'!N$44/100,0)</f>
        <v>968</v>
      </c>
      <c r="E164" s="81">
        <f>ROUND((E130*'BGS Cost &amp; Bid Factors'!O$45+E131*'BGS Cost &amp; Bid Factors'!O$46)/100,0)</f>
        <v>15</v>
      </c>
      <c r="F164" s="80">
        <f>ROUND(F129*'BGS Cost &amp; Bid Factors'!P$44/100,0)</f>
        <v>2414</v>
      </c>
      <c r="G164" s="80">
        <f>ROUND(G129*'BGS Cost &amp; Bid Factors'!Q$44/100,0)</f>
        <v>263</v>
      </c>
      <c r="H164" s="80">
        <f>ROUND(H129*'BGS Cost &amp; Bid Factors'!R$44/100,0)</f>
        <v>219</v>
      </c>
      <c r="I164" s="81">
        <v>27870</v>
      </c>
      <c r="J164" s="129"/>
    </row>
    <row r="165" spans="2:10">
      <c r="B165" s="127" t="s">
        <v>38</v>
      </c>
      <c r="C165" s="119">
        <f t="shared" ref="C165:I165" si="2">+C164+C163</f>
        <v>72866</v>
      </c>
      <c r="D165" s="119">
        <f t="shared" si="2"/>
        <v>1478</v>
      </c>
      <c r="E165" s="83">
        <f t="shared" si="2"/>
        <v>24</v>
      </c>
      <c r="F165" s="119">
        <f t="shared" si="2"/>
        <v>3598</v>
      </c>
      <c r="G165" s="119">
        <f t="shared" si="2"/>
        <v>367</v>
      </c>
      <c r="H165" s="119">
        <f t="shared" si="2"/>
        <v>314</v>
      </c>
      <c r="I165" s="83">
        <f t="shared" si="2"/>
        <v>45021</v>
      </c>
      <c r="J165" s="129"/>
    </row>
    <row r="166" spans="2:10">
      <c r="B166" s="127"/>
      <c r="C166" s="119"/>
      <c r="D166" s="119"/>
      <c r="E166" s="83"/>
      <c r="F166" s="83"/>
      <c r="G166" s="83"/>
      <c r="H166" s="83"/>
      <c r="I166" s="83"/>
      <c r="J166" s="129"/>
    </row>
    <row r="167" spans="2:10">
      <c r="B167" s="127" t="s">
        <v>38</v>
      </c>
      <c r="C167" s="119"/>
      <c r="D167" s="119"/>
      <c r="E167" s="83"/>
      <c r="F167" s="83"/>
      <c r="G167" s="83"/>
      <c r="H167" s="83"/>
      <c r="I167" s="83"/>
      <c r="J167" s="129"/>
    </row>
    <row r="168" spans="2:10">
      <c r="B168" s="127" t="s">
        <v>71</v>
      </c>
      <c r="C168" s="119">
        <f>SUM(C163:I163)</f>
        <v>49271</v>
      </c>
      <c r="D168" s="119"/>
      <c r="E168" s="83"/>
      <c r="F168" s="83"/>
      <c r="G168" s="83"/>
      <c r="H168" s="83"/>
      <c r="I168" s="83"/>
      <c r="J168" s="129"/>
    </row>
    <row r="169" spans="2:10">
      <c r="B169" s="127" t="s">
        <v>64</v>
      </c>
      <c r="C169" s="82">
        <f>SUM(C164:I164)</f>
        <v>74397</v>
      </c>
      <c r="D169" s="28"/>
      <c r="E169" s="45"/>
      <c r="J169" s="129"/>
    </row>
    <row r="170" spans="2:10">
      <c r="B170" s="127" t="s">
        <v>38</v>
      </c>
      <c r="C170" s="119">
        <f>+C169+C168</f>
        <v>123668</v>
      </c>
      <c r="D170" s="28"/>
      <c r="E170" s="45"/>
      <c r="J170" s="129"/>
    </row>
    <row r="171" spans="2:10">
      <c r="B171" s="127"/>
      <c r="C171" s="119"/>
      <c r="D171" s="28"/>
      <c r="E171" s="45"/>
      <c r="J171" s="129"/>
    </row>
    <row r="172" spans="2:10">
      <c r="B172" s="76" t="s">
        <v>359</v>
      </c>
      <c r="C172" s="6"/>
      <c r="D172" s="6"/>
      <c r="E172" s="6"/>
      <c r="F172" s="6"/>
      <c r="G172" s="6"/>
      <c r="H172" s="6"/>
      <c r="I172" s="6"/>
      <c r="J172" s="129"/>
    </row>
    <row r="173" spans="2:10">
      <c r="C173" s="6"/>
      <c r="D173" s="6"/>
      <c r="E173" s="6"/>
      <c r="F173" s="6"/>
      <c r="G173" s="6"/>
      <c r="H173" s="6"/>
      <c r="I173" s="6"/>
      <c r="J173" s="129"/>
    </row>
    <row r="174" spans="2:10">
      <c r="B174" s="28" t="s">
        <v>343</v>
      </c>
      <c r="C174" s="62"/>
      <c r="D174" s="62"/>
      <c r="E174" s="62"/>
      <c r="F174" s="6"/>
      <c r="G174" s="6"/>
      <c r="H174" s="6"/>
      <c r="I174" s="6"/>
      <c r="J174" s="129"/>
    </row>
    <row r="175" spans="2:10" ht="15">
      <c r="B175" s="28"/>
      <c r="C175" s="117" t="s">
        <v>38</v>
      </c>
      <c r="D175" s="117" t="s">
        <v>324</v>
      </c>
      <c r="E175" s="117" t="s">
        <v>344</v>
      </c>
      <c r="F175" s="6"/>
      <c r="G175" s="6"/>
      <c r="H175" s="6"/>
      <c r="I175" s="6"/>
      <c r="J175" s="129"/>
    </row>
    <row r="176" spans="2:10">
      <c r="B176" s="179" t="s">
        <v>71</v>
      </c>
      <c r="C176" s="119">
        <f>'Weighted Avg Price Calc'!G$27/1000</f>
        <v>48140.464</v>
      </c>
      <c r="D176" s="144">
        <f>ROUND('BGS Cost &amp; Bid Factors'!$C$147*SUM('BGS Cost &amp; Bid Factors'!$C$141:$I$141)/12*'BGS Cost &amp; Bid Factors'!H$144/1000*'BGS Cost &amp; Bid Factors'!C447,0)</f>
        <v>3915</v>
      </c>
      <c r="E176" s="119">
        <f>C176-D176</f>
        <v>44225.464</v>
      </c>
      <c r="F176" s="6"/>
      <c r="G176" s="6"/>
      <c r="H176" s="6"/>
      <c r="I176" s="6"/>
      <c r="J176" s="129"/>
    </row>
    <row r="177" spans="2:10" ht="15">
      <c r="B177" s="179" t="s">
        <v>64</v>
      </c>
      <c r="C177" s="118">
        <f>'Weighted Avg Price Calc'!G$28/1000</f>
        <v>74514.186000000002</v>
      </c>
      <c r="D177" s="118">
        <f>ROUND('BGS Cost &amp; Bid Factors'!$C$147*SUM('BGS Cost &amp; Bid Factors'!$C$141:$I$141)/12*'BGS Cost &amp; Bid Factors'!H$145/1000*'BGS Cost &amp; Bid Factors'!C447,0)</f>
        <v>7829</v>
      </c>
      <c r="E177" s="118">
        <f>C177-D177</f>
        <v>66685.186000000002</v>
      </c>
      <c r="F177" s="6"/>
      <c r="G177" s="6"/>
      <c r="H177" s="6"/>
      <c r="I177" s="6"/>
      <c r="J177" s="129"/>
    </row>
    <row r="178" spans="2:10">
      <c r="B178" s="179" t="s">
        <v>38</v>
      </c>
      <c r="C178" s="119">
        <f>+C177+C176</f>
        <v>122654.65</v>
      </c>
      <c r="D178" s="119">
        <f>D176+D177</f>
        <v>11744</v>
      </c>
      <c r="E178" s="119">
        <f>E176+E177</f>
        <v>110910.65</v>
      </c>
      <c r="F178" s="6"/>
      <c r="G178" s="6"/>
      <c r="H178" s="6"/>
      <c r="I178" s="6"/>
      <c r="J178" s="129"/>
    </row>
    <row r="179" spans="2:10">
      <c r="B179" s="28"/>
      <c r="C179" s="62"/>
      <c r="D179" s="62"/>
      <c r="E179" s="62"/>
      <c r="F179" s="6"/>
      <c r="G179" s="6"/>
      <c r="H179" s="6"/>
      <c r="I179" s="6"/>
      <c r="J179" s="129"/>
    </row>
    <row r="180" spans="2:10">
      <c r="B180" s="28" t="s">
        <v>345</v>
      </c>
      <c r="C180" s="62"/>
      <c r="D180" s="62"/>
      <c r="E180" s="62"/>
      <c r="F180" s="6"/>
      <c r="G180" s="6"/>
      <c r="H180" s="6"/>
      <c r="I180" s="6"/>
      <c r="J180" s="129"/>
    </row>
    <row r="181" spans="2:10" ht="15">
      <c r="B181" s="28"/>
      <c r="C181" s="117" t="s">
        <v>38</v>
      </c>
      <c r="D181" s="117" t="s">
        <v>324</v>
      </c>
      <c r="E181" s="117" t="s">
        <v>344</v>
      </c>
      <c r="F181" s="6"/>
      <c r="G181" s="6"/>
      <c r="H181" s="6"/>
      <c r="I181" s="6"/>
      <c r="J181" s="129"/>
    </row>
    <row r="182" spans="2:10">
      <c r="B182" s="179" t="s">
        <v>71</v>
      </c>
      <c r="C182" s="119">
        <v>5044</v>
      </c>
      <c r="D182" s="119">
        <v>0</v>
      </c>
      <c r="E182" s="119">
        <f>C182-D182</f>
        <v>5044</v>
      </c>
      <c r="F182" s="6"/>
      <c r="G182" s="6"/>
      <c r="H182" s="6"/>
      <c r="I182" s="6"/>
      <c r="J182" s="129"/>
    </row>
    <row r="183" spans="2:10" ht="15">
      <c r="B183" s="179" t="s">
        <v>64</v>
      </c>
      <c r="C183" s="118">
        <v>7711</v>
      </c>
      <c r="D183" s="118">
        <v>0</v>
      </c>
      <c r="E183" s="118">
        <f>C183-D183</f>
        <v>7711</v>
      </c>
      <c r="F183" s="6"/>
      <c r="G183" s="6"/>
      <c r="H183" s="6"/>
      <c r="I183" s="6"/>
      <c r="J183" s="129"/>
    </row>
    <row r="184" spans="2:10">
      <c r="B184" s="179" t="s">
        <v>38</v>
      </c>
      <c r="C184" s="119">
        <f>+C183+C182</f>
        <v>12755</v>
      </c>
      <c r="D184" s="119">
        <f>D182+D183</f>
        <v>0</v>
      </c>
      <c r="E184" s="119">
        <f>E182+E183</f>
        <v>12755</v>
      </c>
      <c r="F184" s="6"/>
      <c r="G184" s="6"/>
      <c r="H184" s="6"/>
      <c r="I184" s="6"/>
      <c r="J184" s="129"/>
    </row>
    <row r="185" spans="2:10">
      <c r="B185" s="28"/>
      <c r="C185" s="62"/>
      <c r="D185" s="62"/>
      <c r="E185" s="62"/>
      <c r="F185" s="6"/>
      <c r="G185" s="6"/>
      <c r="H185" s="6"/>
      <c r="I185" s="6"/>
      <c r="J185" s="129"/>
    </row>
    <row r="186" spans="2:10">
      <c r="B186" s="28" t="s">
        <v>346</v>
      </c>
      <c r="C186" s="6"/>
      <c r="D186" s="6"/>
      <c r="E186" s="6"/>
      <c r="F186" s="6"/>
      <c r="G186" s="6"/>
      <c r="H186" s="6"/>
      <c r="I186" s="6"/>
      <c r="J186" s="129"/>
    </row>
    <row r="187" spans="2:10" ht="15">
      <c r="C187" s="120" t="s">
        <v>38</v>
      </c>
      <c r="D187" s="120" t="s">
        <v>324</v>
      </c>
      <c r="E187" s="120" t="s">
        <v>344</v>
      </c>
      <c r="F187" s="45"/>
      <c r="G187" s="45"/>
      <c r="H187" s="45"/>
      <c r="I187" s="45"/>
      <c r="J187" s="129"/>
    </row>
    <row r="188" spans="2:10">
      <c r="B188" s="127" t="s">
        <v>71</v>
      </c>
      <c r="C188" s="119">
        <f>C176+C182</f>
        <v>53184.464</v>
      </c>
      <c r="D188" s="119">
        <f>D176+D182</f>
        <v>3915</v>
      </c>
      <c r="E188" s="83">
        <f>C188-D188</f>
        <v>49269.464</v>
      </c>
      <c r="J188" s="129"/>
    </row>
    <row r="189" spans="2:10" ht="15">
      <c r="B189" s="127" t="s">
        <v>64</v>
      </c>
      <c r="C189" s="118">
        <f>C177+C183</f>
        <v>82225.186000000002</v>
      </c>
      <c r="D189" s="118">
        <f>D177+D183</f>
        <v>7829</v>
      </c>
      <c r="E189" s="118">
        <f>C189-D189</f>
        <v>74396.186000000002</v>
      </c>
      <c r="J189" s="129"/>
    </row>
    <row r="190" spans="2:10">
      <c r="B190" s="127" t="s">
        <v>38</v>
      </c>
      <c r="C190" s="83">
        <f>+C189+C188</f>
        <v>135409.65</v>
      </c>
      <c r="D190" s="119">
        <f>D188+D189</f>
        <v>11744</v>
      </c>
      <c r="E190" s="119">
        <f>E188+E189</f>
        <v>123665.65</v>
      </c>
      <c r="J190" s="129"/>
    </row>
    <row r="191" spans="2:10">
      <c r="C191" s="45"/>
      <c r="D191" s="84"/>
      <c r="E191" s="45"/>
      <c r="F191" s="75"/>
      <c r="J191" s="129"/>
    </row>
    <row r="192" spans="2:10">
      <c r="B192" s="4" t="s">
        <v>113</v>
      </c>
      <c r="G192" s="22"/>
      <c r="J192" s="129"/>
    </row>
    <row r="193" spans="1:10">
      <c r="C193" s="22" t="s">
        <v>318</v>
      </c>
      <c r="D193" s="22" t="s">
        <v>318</v>
      </c>
      <c r="E193" s="22"/>
      <c r="G193" s="22"/>
      <c r="J193" s="129"/>
    </row>
    <row r="194" spans="1:10">
      <c r="B194" s="22"/>
      <c r="C194" s="70" t="s">
        <v>349</v>
      </c>
      <c r="D194" s="70" t="s">
        <v>350</v>
      </c>
      <c r="E194" s="70" t="s">
        <v>351</v>
      </c>
      <c r="G194" s="70"/>
      <c r="I194" s="129"/>
      <c r="J194" s="129"/>
    </row>
    <row r="195" spans="1:10">
      <c r="B195" s="127" t="s">
        <v>71</v>
      </c>
      <c r="C195" s="83">
        <f>C168</f>
        <v>49271</v>
      </c>
      <c r="D195" s="83">
        <f>E188</f>
        <v>49269.464</v>
      </c>
      <c r="E195" s="83">
        <f>D195-C195</f>
        <v>-1.5360000000000582</v>
      </c>
      <c r="I195" s="129"/>
      <c r="J195" s="129"/>
    </row>
    <row r="196" spans="1:10">
      <c r="B196" s="127" t="s">
        <v>64</v>
      </c>
      <c r="C196" s="85">
        <f>C169</f>
        <v>74397</v>
      </c>
      <c r="D196" s="85">
        <f>E189</f>
        <v>74396.186000000002</v>
      </c>
      <c r="E196" s="85">
        <f>D196-C196</f>
        <v>-0.8139999999984866</v>
      </c>
      <c r="I196" s="129"/>
      <c r="J196" s="129"/>
    </row>
    <row r="197" spans="1:10">
      <c r="B197" s="127" t="s">
        <v>38</v>
      </c>
      <c r="C197" s="119">
        <f>+C196+C195</f>
        <v>123668</v>
      </c>
      <c r="D197" s="119">
        <f>+D196+D195</f>
        <v>123665.65</v>
      </c>
      <c r="E197" s="119">
        <f>+E196+E195</f>
        <v>-2.3499999999985448</v>
      </c>
      <c r="I197" s="129"/>
      <c r="J197" s="129"/>
    </row>
    <row r="198" spans="1:10">
      <c r="B198" s="22"/>
      <c r="I198" s="129"/>
      <c r="J198" s="129"/>
    </row>
    <row r="199" spans="1:10">
      <c r="A199" s="12"/>
      <c r="B199" s="17" t="s">
        <v>263</v>
      </c>
      <c r="J199" s="129"/>
    </row>
    <row r="200" spans="1:10">
      <c r="A200" s="12"/>
      <c r="B200" s="17"/>
      <c r="J200" s="129"/>
    </row>
    <row r="201" spans="1:10">
      <c r="A201" s="12"/>
      <c r="B201" s="38" t="s">
        <v>264</v>
      </c>
      <c r="J201" s="129"/>
    </row>
    <row r="202" spans="1:10">
      <c r="A202" s="12"/>
      <c r="B202" s="79"/>
      <c r="C202" s="6" t="str">
        <f t="shared" ref="C202:I202" si="3">C55</f>
        <v>SC1</v>
      </c>
      <c r="D202" s="6" t="str">
        <f t="shared" si="3"/>
        <v>SC5</v>
      </c>
      <c r="E202" s="6" t="str">
        <f t="shared" si="3"/>
        <v>SC3</v>
      </c>
      <c r="F202" s="6" t="str">
        <f t="shared" si="3"/>
        <v>SC2 ND</v>
      </c>
      <c r="G202" s="6" t="str">
        <f t="shared" si="3"/>
        <v>SC4</v>
      </c>
      <c r="H202" s="6" t="str">
        <f t="shared" si="3"/>
        <v>SC6</v>
      </c>
      <c r="I202" s="6" t="str">
        <f t="shared" si="3"/>
        <v>SC2 Dem</v>
      </c>
      <c r="J202" s="129"/>
    </row>
    <row r="203" spans="1:10">
      <c r="A203" s="12"/>
      <c r="B203" s="79" t="s">
        <v>265</v>
      </c>
      <c r="C203" s="131">
        <f>'BGS Cost &amp; Bid Factors'!C536</f>
        <v>1.1299999999999999</v>
      </c>
      <c r="D203" s="131">
        <f>'BGS Cost &amp; Bid Factors'!D536</f>
        <v>0.74199999999999999</v>
      </c>
      <c r="E203" s="131">
        <f>'BGS Cost &amp; Bid Factors'!E536</f>
        <v>0.75800000000000001</v>
      </c>
      <c r="F203" s="131">
        <f>'BGS Cost &amp; Bid Factors'!F536</f>
        <v>0.51600000000000001</v>
      </c>
      <c r="G203" s="131">
        <f>'BGS Cost &amp; Bid Factors'!G536</f>
        <v>0.66200000000000003</v>
      </c>
      <c r="H203" s="131">
        <f>'BGS Cost &amp; Bid Factors'!H536</f>
        <v>0.57999999999999996</v>
      </c>
      <c r="I203" s="131">
        <f>'BGS Cost &amp; Bid Factors'!I536</f>
        <v>0.51600000000000001</v>
      </c>
      <c r="J203" s="129"/>
    </row>
    <row r="204" spans="1:10">
      <c r="A204" s="12"/>
      <c r="B204" s="79" t="s">
        <v>266</v>
      </c>
      <c r="I204" s="175">
        <f>'BGS Cost &amp; Bid Factors'!I537</f>
        <v>1.29</v>
      </c>
      <c r="J204" s="129"/>
    </row>
    <row r="205" spans="1:10">
      <c r="I205" s="175">
        <f>'BGS Cost &amp; Bid Factors'!I538</f>
        <v>1.1100000000000001</v>
      </c>
      <c r="J205" s="129"/>
    </row>
    <row r="206" spans="1:10">
      <c r="J206" s="129"/>
    </row>
    <row r="207" spans="1:10">
      <c r="J207" s="129"/>
    </row>
    <row r="208" spans="1:10">
      <c r="B208" s="38" t="s">
        <v>267</v>
      </c>
      <c r="J208" s="129"/>
    </row>
    <row r="209" spans="2:10">
      <c r="J209" s="129"/>
    </row>
    <row r="210" spans="2:10">
      <c r="J210" s="129"/>
    </row>
    <row r="211" spans="2:10">
      <c r="B211" s="76" t="s">
        <v>71</v>
      </c>
      <c r="J211" s="129"/>
    </row>
    <row r="212" spans="2:10">
      <c r="B212" s="133" t="s">
        <v>256</v>
      </c>
      <c r="C212" s="77">
        <f t="shared" ref="C212:I219" si="4">IF(C119&gt;0,C119+C$203,"")</f>
        <v>11.047999999999998</v>
      </c>
      <c r="D212" s="77">
        <f t="shared" si="4"/>
        <v>10.103000000000002</v>
      </c>
      <c r="E212" s="77" t="str">
        <f t="shared" si="4"/>
        <v/>
      </c>
      <c r="F212" s="77">
        <f t="shared" si="4"/>
        <v>10.695</v>
      </c>
      <c r="G212" s="77">
        <f t="shared" si="4"/>
        <v>6.5069999999999997</v>
      </c>
      <c r="H212" s="77">
        <f t="shared" si="4"/>
        <v>6.4160000000000004</v>
      </c>
      <c r="I212" s="77">
        <f t="shared" si="4"/>
        <v>8.0949999999999989</v>
      </c>
      <c r="J212" s="129"/>
    </row>
    <row r="213" spans="2:10">
      <c r="B213" s="133" t="s">
        <v>257</v>
      </c>
      <c r="C213" s="77" t="str">
        <f t="shared" si="4"/>
        <v/>
      </c>
      <c r="D213" s="77" t="str">
        <f t="shared" si="4"/>
        <v/>
      </c>
      <c r="E213" s="77">
        <f t="shared" si="4"/>
        <v>16.568000000000001</v>
      </c>
      <c r="F213" s="77" t="str">
        <f t="shared" si="4"/>
        <v/>
      </c>
      <c r="G213" s="77" t="str">
        <f t="shared" si="4"/>
        <v/>
      </c>
      <c r="H213" s="77" t="str">
        <f t="shared" si="4"/>
        <v/>
      </c>
      <c r="I213" s="77" t="str">
        <f t="shared" si="4"/>
        <v/>
      </c>
      <c r="J213" s="129"/>
    </row>
    <row r="214" spans="2:10">
      <c r="B214" s="133" t="s">
        <v>258</v>
      </c>
      <c r="C214" s="77" t="str">
        <f t="shared" si="4"/>
        <v/>
      </c>
      <c r="D214" s="77" t="str">
        <f t="shared" si="4"/>
        <v/>
      </c>
      <c r="E214" s="77">
        <f t="shared" si="4"/>
        <v>6.4080000000000004</v>
      </c>
      <c r="F214" s="77" t="str">
        <f t="shared" si="4"/>
        <v/>
      </c>
      <c r="G214" s="77" t="str">
        <f t="shared" si="4"/>
        <v/>
      </c>
      <c r="H214" s="77" t="str">
        <f t="shared" si="4"/>
        <v/>
      </c>
      <c r="I214" s="77" t="str">
        <f t="shared" si="4"/>
        <v/>
      </c>
      <c r="J214" s="129"/>
    </row>
    <row r="215" spans="2:10">
      <c r="B215" s="29" t="s">
        <v>43</v>
      </c>
      <c r="C215" s="77">
        <f t="shared" si="4"/>
        <v>10.018999999999998</v>
      </c>
      <c r="D215" s="77">
        <f t="shared" si="4"/>
        <v>8.9130000000000003</v>
      </c>
      <c r="E215" s="77" t="str">
        <f t="shared" si="4"/>
        <v/>
      </c>
      <c r="F215" s="77" t="str">
        <f t="shared" si="4"/>
        <v/>
      </c>
      <c r="G215" s="77" t="str">
        <f t="shared" si="4"/>
        <v/>
      </c>
      <c r="H215" s="77" t="str">
        <f t="shared" si="4"/>
        <v/>
      </c>
      <c r="I215" s="77" t="str">
        <f t="shared" si="4"/>
        <v/>
      </c>
      <c r="J215" s="129"/>
    </row>
    <row r="216" spans="2:10">
      <c r="B216" s="31" t="s">
        <v>44</v>
      </c>
      <c r="C216" s="77">
        <f t="shared" si="4"/>
        <v>11.311</v>
      </c>
      <c r="D216" s="77">
        <f t="shared" si="4"/>
        <v>10.215</v>
      </c>
      <c r="E216" s="77" t="str">
        <f t="shared" si="4"/>
        <v/>
      </c>
      <c r="F216" s="77" t="str">
        <f t="shared" si="4"/>
        <v/>
      </c>
      <c r="G216" s="77" t="str">
        <f t="shared" si="4"/>
        <v/>
      </c>
      <c r="H216" s="77" t="str">
        <f t="shared" si="4"/>
        <v/>
      </c>
      <c r="I216" s="77" t="str">
        <f t="shared" si="4"/>
        <v/>
      </c>
      <c r="J216" s="129"/>
    </row>
    <row r="217" spans="2:10">
      <c r="B217" s="31" t="s">
        <v>45</v>
      </c>
      <c r="C217" s="77" t="e">
        <f>IF(C124&gt;0,C124+C$203,"")</f>
        <v>#VALUE!</v>
      </c>
      <c r="D217" s="77">
        <f t="shared" si="4"/>
        <v>11.091999999999999</v>
      </c>
      <c r="E217" s="77" t="str">
        <f t="shared" si="4"/>
        <v/>
      </c>
      <c r="F217" s="77" t="str">
        <f t="shared" si="4"/>
        <v/>
      </c>
      <c r="G217" s="77" t="str">
        <f t="shared" si="4"/>
        <v/>
      </c>
      <c r="H217" s="77" t="str">
        <f t="shared" si="4"/>
        <v/>
      </c>
      <c r="I217" s="77" t="str">
        <f t="shared" si="4"/>
        <v/>
      </c>
      <c r="J217" s="129"/>
    </row>
    <row r="218" spans="2:10">
      <c r="C218" s="77" t="str">
        <f t="shared" si="4"/>
        <v/>
      </c>
      <c r="D218" s="77" t="str">
        <f t="shared" si="4"/>
        <v/>
      </c>
      <c r="E218" s="77" t="str">
        <f t="shared" si="4"/>
        <v/>
      </c>
      <c r="F218" s="77" t="str">
        <f t="shared" si="4"/>
        <v/>
      </c>
      <c r="G218" s="77" t="str">
        <f t="shared" si="4"/>
        <v/>
      </c>
      <c r="H218" s="77" t="str">
        <f t="shared" si="4"/>
        <v/>
      </c>
      <c r="I218" s="77" t="str">
        <f t="shared" si="4"/>
        <v/>
      </c>
      <c r="J218" s="129"/>
    </row>
    <row r="219" spans="2:10">
      <c r="B219" s="22" t="s">
        <v>259</v>
      </c>
      <c r="C219" s="77" t="str">
        <f t="shared" si="4"/>
        <v/>
      </c>
      <c r="D219" s="77" t="str">
        <f t="shared" si="4"/>
        <v/>
      </c>
      <c r="E219" s="77" t="str">
        <f t="shared" si="4"/>
        <v/>
      </c>
      <c r="F219" s="77" t="str">
        <f t="shared" si="4"/>
        <v/>
      </c>
      <c r="G219" s="77" t="str">
        <f t="shared" si="4"/>
        <v/>
      </c>
      <c r="H219" s="77" t="str">
        <f t="shared" si="4"/>
        <v/>
      </c>
      <c r="I219" s="77">
        <f>IF(I126&gt;0,I126+I$204,"")</f>
        <v>8.5449999999999999</v>
      </c>
      <c r="J219" s="129"/>
    </row>
    <row r="220" spans="2:10">
      <c r="J220" s="129"/>
    </row>
    <row r="221" spans="2:10">
      <c r="B221" s="76" t="s">
        <v>64</v>
      </c>
      <c r="J221" s="129"/>
    </row>
    <row r="222" spans="2:10">
      <c r="B222" s="133" t="s">
        <v>256</v>
      </c>
      <c r="C222" s="77">
        <f t="shared" ref="C222:I226" si="5">IF(C129&gt;0,C129+C$203,"")</f>
        <v>11.212</v>
      </c>
      <c r="D222" s="77">
        <f t="shared" si="5"/>
        <v>9.0670000000000002</v>
      </c>
      <c r="E222" s="77" t="str">
        <f t="shared" si="5"/>
        <v/>
      </c>
      <c r="F222" s="77">
        <f t="shared" si="5"/>
        <v>9.1039999999999992</v>
      </c>
      <c r="G222" s="77">
        <f t="shared" si="5"/>
        <v>6.4930000000000003</v>
      </c>
      <c r="H222" s="77">
        <f t="shared" si="5"/>
        <v>6.3849999999999998</v>
      </c>
      <c r="I222" s="77">
        <f t="shared" si="5"/>
        <v>7.4550000000000001</v>
      </c>
      <c r="J222" s="129"/>
    </row>
    <row r="223" spans="2:10">
      <c r="B223" s="133" t="s">
        <v>257</v>
      </c>
      <c r="C223" s="77" t="str">
        <f t="shared" si="5"/>
        <v/>
      </c>
      <c r="D223" s="77" t="str">
        <f t="shared" si="5"/>
        <v/>
      </c>
      <c r="E223" s="77">
        <f t="shared" si="5"/>
        <v>14.914000000000001</v>
      </c>
      <c r="F223" s="77" t="str">
        <f t="shared" si="5"/>
        <v/>
      </c>
      <c r="G223" s="77" t="str">
        <f t="shared" si="5"/>
        <v/>
      </c>
      <c r="H223" s="77" t="str">
        <f t="shared" si="5"/>
        <v/>
      </c>
      <c r="I223" s="77" t="str">
        <f t="shared" si="5"/>
        <v/>
      </c>
      <c r="J223" s="129"/>
    </row>
    <row r="224" spans="2:10">
      <c r="B224" s="133" t="s">
        <v>258</v>
      </c>
      <c r="C224" s="77" t="str">
        <f t="shared" si="5"/>
        <v/>
      </c>
      <c r="D224" s="77" t="str">
        <f t="shared" si="5"/>
        <v/>
      </c>
      <c r="E224" s="77">
        <f t="shared" si="5"/>
        <v>6.431</v>
      </c>
      <c r="F224" s="77" t="str">
        <f t="shared" si="5"/>
        <v/>
      </c>
      <c r="G224" s="77" t="str">
        <f t="shared" si="5"/>
        <v/>
      </c>
      <c r="H224" s="77" t="str">
        <f t="shared" si="5"/>
        <v/>
      </c>
      <c r="I224" s="77" t="str">
        <f t="shared" si="5"/>
        <v/>
      </c>
      <c r="J224" s="129"/>
    </row>
    <row r="225" spans="2:10">
      <c r="C225" s="77" t="str">
        <f t="shared" si="5"/>
        <v/>
      </c>
      <c r="D225" s="77" t="str">
        <f t="shared" si="5"/>
        <v/>
      </c>
      <c r="E225" s="77" t="str">
        <f t="shared" si="5"/>
        <v/>
      </c>
      <c r="F225" s="77" t="str">
        <f t="shared" si="5"/>
        <v/>
      </c>
      <c r="G225" s="77" t="str">
        <f t="shared" si="5"/>
        <v/>
      </c>
      <c r="H225" s="77" t="str">
        <f t="shared" si="5"/>
        <v/>
      </c>
      <c r="I225" s="77" t="str">
        <f t="shared" si="5"/>
        <v/>
      </c>
      <c r="J225" s="129"/>
    </row>
    <row r="226" spans="2:10">
      <c r="B226" s="22" t="s">
        <v>259</v>
      </c>
      <c r="C226" s="77" t="str">
        <f t="shared" si="5"/>
        <v/>
      </c>
      <c r="D226" s="77" t="str">
        <f t="shared" si="5"/>
        <v/>
      </c>
      <c r="E226" s="77" t="str">
        <f t="shared" si="5"/>
        <v/>
      </c>
      <c r="F226" s="77" t="str">
        <f t="shared" si="5"/>
        <v/>
      </c>
      <c r="G226" s="77" t="str">
        <f t="shared" si="5"/>
        <v/>
      </c>
      <c r="H226" s="77" t="str">
        <f t="shared" si="5"/>
        <v/>
      </c>
      <c r="I226" s="77">
        <f>IF(I133&gt;0,I133+I$205,"")</f>
        <v>8.2530000000000001</v>
      </c>
      <c r="J226" s="129"/>
    </row>
    <row r="227" spans="2:10">
      <c r="B227" s="22"/>
      <c r="I227" s="129"/>
      <c r="J227" s="129"/>
    </row>
    <row r="228" spans="2:10">
      <c r="B228" s="22"/>
      <c r="I228" s="129"/>
      <c r="J228" s="129"/>
    </row>
  </sheetData>
  <printOptions horizontalCentered="1"/>
  <pageMargins left="0.5" right="0.5" top="0.5" bottom="0.5" header="0.5" footer="0.25"/>
  <pageSetup scale="88" orientation="landscape" r:id="rId1"/>
  <headerFooter alignWithMargins="0">
    <oddHeader xml:space="preserve">&amp;R&amp;"Arial,Bold"Attachment C&amp;"Arial,Regular"
Page &amp;P of &amp;N
</oddHeader>
    <oddFooter>&amp;R&amp;D</oddFooter>
  </headerFooter>
  <rowBreaks count="5" manualBreakCount="5">
    <brk id="45" max="9" man="1"/>
    <brk id="73" max="9" man="1"/>
    <brk id="110" max="9" man="1"/>
    <brk id="155" max="9" man="1"/>
    <brk id="19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BGS Cost &amp; Bid Factors</vt:lpstr>
      <vt:lpstr>Weighted Avg Price Calc</vt:lpstr>
      <vt:lpstr>Rate Calculations</vt:lpstr>
      <vt:lpstr>'BGS Cost &amp; Bid Factors'!Print_Area</vt:lpstr>
      <vt:lpstr>'Rate Calculations'!Print_Area</vt:lpstr>
      <vt:lpstr>'Rate Calculations'!Print_Titles</vt:lpstr>
    </vt:vector>
  </TitlesOfParts>
  <Company>Con Edison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ruggieroc</dc:creator>
  <cp:lastModifiedBy>ruggieroc</cp:lastModifiedBy>
  <dcterms:created xsi:type="dcterms:W3CDTF">2013-01-07T16:55:46Z</dcterms:created>
  <dcterms:modified xsi:type="dcterms:W3CDTF">2013-01-07T17:00:27Z</dcterms:modified>
</cp:coreProperties>
</file>