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5625" windowWidth="19320" windowHeight="5685"/>
  </bookViews>
  <sheets>
    <sheet name="June 13- May 14" sheetId="1" r:id="rId1"/>
    <sheet name="auction results and rates" sheetId="3" r:id="rId2"/>
  </sheets>
  <definedNames>
    <definedName name="Auction" localSheetId="0">'June 13- May 14'!#REF!</definedName>
    <definedName name="_xlnm.Print_Area" localSheetId="1">'auction results and rates'!$A$5:$M$149</definedName>
    <definedName name="_xlnm.Print_Area" localSheetId="0">'June 13- May 14'!$A$1:$M$337</definedName>
    <definedName name="_xlnm.Print_Titles" localSheetId="1">'auction results and rates'!$1:$4</definedName>
    <definedName name="Z_689761CC_C80B_4574_9251_22E069AE5A7E_.wvu.PrintArea" localSheetId="1" hidden="1">'auction results and rates'!$A$6:$M$103</definedName>
    <definedName name="Z_689761CC_C80B_4574_9251_22E069AE5A7E_.wvu.PrintArea" localSheetId="0" hidden="1">'June 13- May 14'!$A$1:$M$303</definedName>
    <definedName name="Z_689761CC_C80B_4574_9251_22E069AE5A7E_.wvu.PrintTitles" localSheetId="1" hidden="1">'auction results and rates'!$1:$4</definedName>
    <definedName name="Z_E387223A_F425_4996_A843_D576BB2C4D04_.wvu.PrintArea" localSheetId="1" hidden="1">'auction results and rates'!$A$6:$M$103</definedName>
    <definedName name="Z_E387223A_F425_4996_A843_D576BB2C4D04_.wvu.PrintArea" localSheetId="0" hidden="1">'June 13- May 14'!$A$1:$M$299</definedName>
    <definedName name="Z_E387223A_F425_4996_A843_D576BB2C4D04_.wvu.PrintTitles" localSheetId="1" hidden="1">'auction results and rates'!$1:$4</definedName>
    <definedName name="Z_E387223A_F425_4996_A843_D576BB2C4D04_.wvu.Rows" localSheetId="0" hidden="1">'June 13- May 14'!$300:$302</definedName>
  </definedNames>
  <calcPr calcId="145621"/>
  <customWorkbookViews>
    <customWorkbookView name="BGS Filing" guid="{E387223A-F425-4996-A843-D576BB2C4D04}" maximized="1" windowWidth="994" windowHeight="507" activeSheetId="1"/>
    <customWorkbookView name="Retail Rate Development Detail" guid="{689761CC-C80B-4574-9251-22E069AE5A7E}" maximized="1" windowWidth="994" windowHeight="507" activeSheetId="1"/>
  </customWorkbookViews>
</workbook>
</file>

<file path=xl/calcChain.xml><?xml version="1.0" encoding="utf-8"?>
<calcChain xmlns="http://schemas.openxmlformats.org/spreadsheetml/2006/main">
  <c r="C325" i="1" l="1"/>
  <c r="I52" i="1" l="1"/>
  <c r="O9" i="1" l="1"/>
  <c r="P9" i="1"/>
  <c r="Q9" i="1"/>
  <c r="R9" i="1"/>
  <c r="S9" i="1"/>
  <c r="O10" i="1"/>
  <c r="P10" i="1"/>
  <c r="Q10" i="1"/>
  <c r="R10" i="1"/>
  <c r="S10" i="1"/>
  <c r="O11" i="1"/>
  <c r="P11" i="1"/>
  <c r="Q11" i="1"/>
  <c r="R11" i="1"/>
  <c r="S11" i="1"/>
  <c r="O12" i="1"/>
  <c r="P12" i="1"/>
  <c r="Q12" i="1"/>
  <c r="R12" i="1"/>
  <c r="S12" i="1"/>
  <c r="O13" i="1"/>
  <c r="P13" i="1"/>
  <c r="Q13" i="1"/>
  <c r="R13" i="1"/>
  <c r="S13" i="1"/>
  <c r="O14" i="1"/>
  <c r="P14" i="1"/>
  <c r="Q14" i="1"/>
  <c r="R14" i="1"/>
  <c r="S14" i="1"/>
  <c r="O15" i="1"/>
  <c r="P15" i="1"/>
  <c r="Q15" i="1"/>
  <c r="R15" i="1"/>
  <c r="S15" i="1"/>
  <c r="O16" i="1"/>
  <c r="P16" i="1"/>
  <c r="Q16" i="1"/>
  <c r="R16" i="1"/>
  <c r="S16" i="1"/>
  <c r="O17" i="1"/>
  <c r="P17" i="1"/>
  <c r="Q17" i="1"/>
  <c r="R17" i="1"/>
  <c r="S17" i="1"/>
  <c r="O18" i="1"/>
  <c r="P18" i="1"/>
  <c r="Q18" i="1"/>
  <c r="R18" i="1"/>
  <c r="S18" i="1"/>
  <c r="O19" i="1"/>
  <c r="P19" i="1"/>
  <c r="Q19" i="1"/>
  <c r="R19" i="1"/>
  <c r="S19" i="1"/>
  <c r="O20" i="1"/>
  <c r="P20" i="1"/>
  <c r="Q20" i="1"/>
  <c r="R20" i="1"/>
  <c r="S20" i="1"/>
  <c r="P27" i="1"/>
  <c r="P28" i="1"/>
  <c r="P29" i="1"/>
  <c r="P30" i="1"/>
  <c r="P31" i="1"/>
  <c r="P32" i="1"/>
  <c r="P33" i="1"/>
  <c r="P34" i="1"/>
  <c r="P35" i="1"/>
  <c r="P36" i="1"/>
  <c r="P37" i="1"/>
  <c r="P38" i="1"/>
  <c r="O45" i="1"/>
  <c r="P45" i="1"/>
  <c r="Q45" i="1"/>
  <c r="R45" i="1"/>
  <c r="S45" i="1"/>
  <c r="P46" i="1"/>
  <c r="P47" i="1"/>
  <c r="O48" i="1"/>
  <c r="P48" i="1"/>
  <c r="Q48" i="1"/>
  <c r="R48" i="1"/>
  <c r="S48" i="1"/>
  <c r="P49" i="1"/>
  <c r="P126" i="1"/>
  <c r="Q126" i="1" s="1"/>
  <c r="R126" i="1"/>
  <c r="S126" i="1"/>
  <c r="P129" i="1"/>
  <c r="Q129" i="1"/>
  <c r="P133" i="1"/>
  <c r="Q133" i="1"/>
  <c r="P130" i="1" l="1"/>
  <c r="P134" i="1"/>
  <c r="Q130" i="1"/>
  <c r="Q134" i="1"/>
  <c r="R134" i="1" s="1"/>
  <c r="P50" i="1"/>
  <c r="O85" i="3" s="1"/>
  <c r="R129" i="1"/>
  <c r="Q131" i="1"/>
  <c r="P135" i="1"/>
  <c r="P131" i="1"/>
  <c r="R133" i="1"/>
  <c r="R130" i="1"/>
  <c r="I70" i="1"/>
  <c r="H70" i="1"/>
  <c r="E63" i="1"/>
  <c r="E156" i="1"/>
  <c r="C291" i="1" s="1"/>
  <c r="H73" i="1"/>
  <c r="D70" i="1"/>
  <c r="E70" i="1" s="1"/>
  <c r="E10" i="3"/>
  <c r="D25" i="1"/>
  <c r="D43" i="1"/>
  <c r="D64" i="1"/>
  <c r="E64" i="1" s="1"/>
  <c r="D65" i="1"/>
  <c r="E65" i="1" s="1"/>
  <c r="D66" i="1"/>
  <c r="E66" i="1" s="1"/>
  <c r="D67" i="1"/>
  <c r="D69" i="1"/>
  <c r="E69" i="1" s="1"/>
  <c r="D72" i="1"/>
  <c r="E72" i="1" s="1"/>
  <c r="D73" i="1"/>
  <c r="E73" i="1" s="1"/>
  <c r="D74" i="1"/>
  <c r="E74" i="1" s="1"/>
  <c r="D79" i="1"/>
  <c r="D80" i="1" s="1"/>
  <c r="D82" i="1"/>
  <c r="F150" i="1"/>
  <c r="I74" i="1"/>
  <c r="I73" i="1"/>
  <c r="I72" i="1"/>
  <c r="H71" i="1"/>
  <c r="H69" i="1"/>
  <c r="I67" i="1"/>
  <c r="E67" i="1"/>
  <c r="I66" i="1"/>
  <c r="I65" i="1"/>
  <c r="H65" i="1"/>
  <c r="I64" i="1"/>
  <c r="E57" i="1"/>
  <c r="F57" i="1"/>
  <c r="G57" i="1"/>
  <c r="H57" i="1"/>
  <c r="I57" i="1"/>
  <c r="J57" i="1"/>
  <c r="T48" i="1"/>
  <c r="S85" i="3" s="1"/>
  <c r="U48" i="1"/>
  <c r="V48" i="1"/>
  <c r="U85" i="3" s="1"/>
  <c r="E79" i="1"/>
  <c r="E80" i="1" s="1"/>
  <c r="E82" i="1"/>
  <c r="F79" i="1"/>
  <c r="F80" i="1" s="1"/>
  <c r="F82" i="1"/>
  <c r="G79" i="1"/>
  <c r="G80" i="1" s="1"/>
  <c r="G82" i="1"/>
  <c r="H79" i="1"/>
  <c r="H80" i="1" s="1"/>
  <c r="H82" i="1"/>
  <c r="I79" i="1"/>
  <c r="I80" i="1" s="1"/>
  <c r="I82" i="1"/>
  <c r="J79" i="1"/>
  <c r="J80" i="1" s="1"/>
  <c r="J93" i="1" s="1"/>
  <c r="J111" i="1" s="1"/>
  <c r="J82" i="1"/>
  <c r="C79" i="1"/>
  <c r="C83" i="1" s="1"/>
  <c r="C84" i="1" s="1"/>
  <c r="K46" i="1"/>
  <c r="K47" i="1"/>
  <c r="K48" i="1"/>
  <c r="K49" i="1"/>
  <c r="K50" i="1"/>
  <c r="K51" i="1"/>
  <c r="K52" i="1"/>
  <c r="K53" i="1"/>
  <c r="K54" i="1"/>
  <c r="K55" i="1"/>
  <c r="K56" i="1"/>
  <c r="P86" i="3"/>
  <c r="R86" i="3"/>
  <c r="T45" i="1"/>
  <c r="S86" i="3" s="1"/>
  <c r="U45" i="1"/>
  <c r="T86" i="3" s="1"/>
  <c r="V45" i="1"/>
  <c r="U86" i="3" s="1"/>
  <c r="C165" i="1"/>
  <c r="R85" i="3"/>
  <c r="Q86" i="3"/>
  <c r="Q85" i="3"/>
  <c r="P85" i="3"/>
  <c r="F163" i="1"/>
  <c r="O52" i="1" s="1"/>
  <c r="D67" i="3"/>
  <c r="D83" i="3"/>
  <c r="E67" i="3"/>
  <c r="E83" i="3"/>
  <c r="F67" i="3"/>
  <c r="F83" i="3"/>
  <c r="G67" i="3"/>
  <c r="G83" i="3"/>
  <c r="H67" i="3"/>
  <c r="H83" i="3"/>
  <c r="I67" i="3"/>
  <c r="I83" i="3"/>
  <c r="J67" i="3"/>
  <c r="J83" i="3"/>
  <c r="C67" i="3"/>
  <c r="C83" i="3"/>
  <c r="U9" i="1"/>
  <c r="U10" i="1"/>
  <c r="U11" i="1"/>
  <c r="U12" i="1"/>
  <c r="U13" i="1"/>
  <c r="T9" i="1"/>
  <c r="T10" i="1"/>
  <c r="T11" i="1"/>
  <c r="T12" i="1"/>
  <c r="T13" i="1"/>
  <c r="T126" i="1"/>
  <c r="T20" i="1"/>
  <c r="T18" i="1"/>
  <c r="T19" i="1"/>
  <c r="U20" i="1"/>
  <c r="U18" i="1"/>
  <c r="U19" i="1"/>
  <c r="V13" i="1"/>
  <c r="V9" i="1"/>
  <c r="V10" i="1"/>
  <c r="V11" i="1"/>
  <c r="V12" i="1"/>
  <c r="V20" i="1"/>
  <c r="V18" i="1"/>
  <c r="V19" i="1"/>
  <c r="V17" i="1"/>
  <c r="V14" i="1"/>
  <c r="V15" i="1"/>
  <c r="V16" i="1"/>
  <c r="T17" i="1"/>
  <c r="T14" i="1"/>
  <c r="T15" i="1"/>
  <c r="T16" i="1"/>
  <c r="U17" i="1"/>
  <c r="U14" i="1"/>
  <c r="U15" i="1"/>
  <c r="U16" i="1"/>
  <c r="C290" i="1"/>
  <c r="I152" i="1"/>
  <c r="B74" i="1"/>
  <c r="B73" i="1"/>
  <c r="B72" i="1"/>
  <c r="B71" i="1"/>
  <c r="B70" i="1"/>
  <c r="B69" i="1"/>
  <c r="B68" i="1"/>
  <c r="B67" i="1"/>
  <c r="B66" i="1"/>
  <c r="B65" i="1"/>
  <c r="B64" i="1"/>
  <c r="B63" i="1"/>
  <c r="C161" i="1"/>
  <c r="C292" i="1"/>
  <c r="C293" i="1"/>
  <c r="C57" i="1"/>
  <c r="N86" i="3"/>
  <c r="K45" i="1"/>
  <c r="J167" i="1"/>
  <c r="H67" i="1"/>
  <c r="E68" i="1"/>
  <c r="D71" i="1"/>
  <c r="E71" i="1" s="1"/>
  <c r="H74" i="1"/>
  <c r="H72" i="1"/>
  <c r="H66" i="1"/>
  <c r="H64" i="1"/>
  <c r="F97" i="1" s="1"/>
  <c r="F115" i="1" s="1"/>
  <c r="I71" i="1"/>
  <c r="I69" i="1"/>
  <c r="D57" i="1"/>
  <c r="O86" i="3"/>
  <c r="C80" i="1"/>
  <c r="C93" i="1" l="1"/>
  <c r="C111" i="1" s="1"/>
  <c r="Q135" i="1"/>
  <c r="C97" i="1"/>
  <c r="C115" i="1" s="1"/>
  <c r="F93" i="1"/>
  <c r="F111" i="1" s="1"/>
  <c r="J97" i="1"/>
  <c r="J115" i="1" s="1"/>
  <c r="F164" i="1"/>
  <c r="J83" i="1"/>
  <c r="J84" i="1" s="1"/>
  <c r="W48" i="1"/>
  <c r="T85" i="3"/>
  <c r="T87" i="3" s="1"/>
  <c r="Q87" i="3"/>
  <c r="O87" i="3"/>
  <c r="K57" i="1"/>
  <c r="R87" i="3"/>
  <c r="U87" i="3"/>
  <c r="W45" i="1"/>
  <c r="O53" i="1"/>
  <c r="N85" i="3" s="1"/>
  <c r="S87" i="3"/>
  <c r="I97" i="1"/>
  <c r="I115" i="1" s="1"/>
  <c r="I93" i="1"/>
  <c r="I111" i="1" s="1"/>
  <c r="H97" i="1"/>
  <c r="H115" i="1" s="1"/>
  <c r="H93" i="1"/>
  <c r="H111" i="1" s="1"/>
  <c r="G93" i="1"/>
  <c r="G111" i="1" s="1"/>
  <c r="G97" i="1"/>
  <c r="G115" i="1" s="1"/>
  <c r="I83" i="1"/>
  <c r="I84" i="1" s="1"/>
  <c r="H83" i="1"/>
  <c r="H84" i="1" s="1"/>
  <c r="G83" i="1"/>
  <c r="G84" i="1" s="1"/>
  <c r="F83" i="1"/>
  <c r="F84" i="1" s="1"/>
  <c r="P87" i="3"/>
  <c r="C92" i="1"/>
  <c r="C110" i="1" s="1"/>
  <c r="C128" i="1" s="1"/>
  <c r="V86" i="3"/>
  <c r="H98" i="1"/>
  <c r="H116" i="1" s="1"/>
  <c r="G98" i="1"/>
  <c r="G116" i="1" s="1"/>
  <c r="F98" i="1"/>
  <c r="F116" i="1" s="1"/>
  <c r="F96" i="1"/>
  <c r="F114" i="1" s="1"/>
  <c r="F132" i="1" s="1"/>
  <c r="G96" i="1"/>
  <c r="G114" i="1" s="1"/>
  <c r="G132" i="1" s="1"/>
  <c r="H96" i="1"/>
  <c r="H114" i="1" s="1"/>
  <c r="H132" i="1" s="1"/>
  <c r="I96" i="1"/>
  <c r="I114" i="1" s="1"/>
  <c r="I132" i="1" s="1"/>
  <c r="J98" i="1"/>
  <c r="J116" i="1" s="1"/>
  <c r="I98" i="1"/>
  <c r="I116" i="1" s="1"/>
  <c r="J96" i="1"/>
  <c r="J114" i="1" s="1"/>
  <c r="J132" i="1" s="1"/>
  <c r="C98" i="1"/>
  <c r="C116" i="1" s="1"/>
  <c r="C96" i="1"/>
  <c r="C114" i="1" s="1"/>
  <c r="C132" i="1" s="1"/>
  <c r="E97" i="1"/>
  <c r="E115" i="1" s="1"/>
  <c r="E93" i="1"/>
  <c r="E111" i="1" s="1"/>
  <c r="E98" i="1"/>
  <c r="E116" i="1" s="1"/>
  <c r="E96" i="1"/>
  <c r="E114" i="1" s="1"/>
  <c r="E132" i="1" s="1"/>
  <c r="E236" i="1" s="1"/>
  <c r="D93" i="1"/>
  <c r="D111" i="1" s="1"/>
  <c r="D98" i="1"/>
  <c r="D116" i="1" s="1"/>
  <c r="D97" i="1"/>
  <c r="D115" i="1" s="1"/>
  <c r="D96" i="1"/>
  <c r="D114" i="1" s="1"/>
  <c r="T135" i="1" s="1"/>
  <c r="G92" i="1"/>
  <c r="D83" i="1"/>
  <c r="D84" i="1" s="1"/>
  <c r="E83" i="1"/>
  <c r="E84" i="1" s="1"/>
  <c r="H94" i="1"/>
  <c r="H112" i="1" s="1"/>
  <c r="F94" i="1"/>
  <c r="F112" i="1" s="1"/>
  <c r="F92" i="1"/>
  <c r="C94" i="1"/>
  <c r="C112" i="1" s="1"/>
  <c r="I94" i="1"/>
  <c r="I112" i="1" s="1"/>
  <c r="I92" i="1"/>
  <c r="E92" i="1"/>
  <c r="J92" i="1"/>
  <c r="D94" i="1"/>
  <c r="D112" i="1" s="1"/>
  <c r="J94" i="1"/>
  <c r="J112" i="1" s="1"/>
  <c r="D92" i="1"/>
  <c r="H92" i="1"/>
  <c r="E94" i="1"/>
  <c r="E112" i="1" s="1"/>
  <c r="G94" i="1"/>
  <c r="G112" i="1" s="1"/>
  <c r="V85" i="3" l="1"/>
  <c r="W50" i="1"/>
  <c r="O54" i="1"/>
  <c r="N87" i="3"/>
  <c r="V87" i="3" s="1"/>
  <c r="D130" i="1"/>
  <c r="S130" i="1" s="1"/>
  <c r="H236" i="1"/>
  <c r="G236" i="1"/>
  <c r="F236" i="1"/>
  <c r="C236" i="1"/>
  <c r="D132" i="1"/>
  <c r="C100" i="1"/>
  <c r="C118" i="1"/>
  <c r="C18" i="3"/>
  <c r="C22" i="3" s="1"/>
  <c r="D134" i="1"/>
  <c r="S134" i="1" s="1"/>
  <c r="G110" i="1"/>
  <c r="G100" i="1"/>
  <c r="D133" i="1"/>
  <c r="S133" i="1" s="1"/>
  <c r="J236" i="1"/>
  <c r="C17" i="3"/>
  <c r="I236" i="1"/>
  <c r="H100" i="1"/>
  <c r="H110" i="1"/>
  <c r="J110" i="1"/>
  <c r="J100" i="1"/>
  <c r="I110" i="1"/>
  <c r="I100" i="1"/>
  <c r="D129" i="1"/>
  <c r="S129" i="1" s="1"/>
  <c r="D100" i="1"/>
  <c r="D110" i="1"/>
  <c r="E110" i="1"/>
  <c r="E100" i="1"/>
  <c r="F110" i="1"/>
  <c r="F100" i="1"/>
  <c r="C136" i="1"/>
  <c r="S131" i="1" l="1"/>
  <c r="D233" i="1"/>
  <c r="D236" i="1"/>
  <c r="S135" i="1"/>
  <c r="D22" i="3"/>
  <c r="D238" i="1"/>
  <c r="D237" i="1"/>
  <c r="G128" i="1"/>
  <c r="G118" i="1"/>
  <c r="G102" i="1"/>
  <c r="D21" i="3"/>
  <c r="C21" i="3"/>
  <c r="C23" i="3" s="1"/>
  <c r="D128" i="1"/>
  <c r="T131" i="1"/>
  <c r="D118" i="1"/>
  <c r="H128" i="1"/>
  <c r="H118" i="1"/>
  <c r="F128" i="1"/>
  <c r="F118" i="1"/>
  <c r="E118" i="1"/>
  <c r="E128" i="1"/>
  <c r="I118" i="1"/>
  <c r="I128" i="1"/>
  <c r="J128" i="1"/>
  <c r="J118" i="1"/>
  <c r="D23" i="3" l="1"/>
  <c r="G136" i="1"/>
  <c r="I136" i="1"/>
  <c r="E136" i="1"/>
  <c r="C120" i="1"/>
  <c r="C137" i="1" s="1"/>
  <c r="D136" i="1"/>
  <c r="J136" i="1"/>
  <c r="F136" i="1"/>
  <c r="H136" i="1"/>
  <c r="E174" i="1" l="1"/>
  <c r="F174" i="1"/>
  <c r="G174" i="1"/>
  <c r="C174" i="1"/>
  <c r="D174" i="1"/>
  <c r="J174" i="1"/>
  <c r="D189" i="1" l="1"/>
  <c r="D195" i="1"/>
  <c r="I174" i="1"/>
  <c r="K144" i="1" l="1"/>
  <c r="K147" i="1"/>
  <c r="K174" i="1" s="1"/>
  <c r="C307" i="1" s="1"/>
  <c r="H174" i="1"/>
  <c r="K145" i="1" l="1"/>
  <c r="I156" i="1" l="1"/>
  <c r="I155" i="1"/>
  <c r="E178" i="1" l="1"/>
  <c r="G178" i="1"/>
  <c r="J178" i="1"/>
  <c r="D178" i="1"/>
  <c r="C178" i="1"/>
  <c r="H178" i="1"/>
  <c r="I157" i="1"/>
  <c r="F178" i="1"/>
  <c r="I178" i="1"/>
  <c r="E179" i="1"/>
  <c r="E193" i="1" s="1"/>
  <c r="H179" i="1"/>
  <c r="H193" i="1" s="1"/>
  <c r="C179" i="1"/>
  <c r="C193" i="1" s="1"/>
  <c r="I179" i="1"/>
  <c r="I193" i="1" s="1"/>
  <c r="D179" i="1"/>
  <c r="J179" i="1"/>
  <c r="J193" i="1" s="1"/>
  <c r="G179" i="1"/>
  <c r="G193" i="1" s="1"/>
  <c r="F179" i="1"/>
  <c r="F193" i="1" s="1"/>
  <c r="D232" i="1" l="1"/>
  <c r="D188" i="1"/>
  <c r="D231" i="1"/>
  <c r="D187" i="1"/>
  <c r="H272" i="1"/>
  <c r="D177" i="1"/>
  <c r="I177" i="1"/>
  <c r="E177" i="1"/>
  <c r="C177" i="1"/>
  <c r="H177" i="1"/>
  <c r="G177" i="1"/>
  <c r="F177" i="1"/>
  <c r="J177" i="1"/>
  <c r="J187" i="1"/>
  <c r="J231" i="1"/>
  <c r="G272" i="1"/>
  <c r="C272" i="1"/>
  <c r="F231" i="1"/>
  <c r="F187" i="1"/>
  <c r="J272" i="1"/>
  <c r="E272" i="1"/>
  <c r="H187" i="1"/>
  <c r="H231" i="1"/>
  <c r="G231" i="1"/>
  <c r="G187" i="1"/>
  <c r="D194" i="1"/>
  <c r="D193" i="1"/>
  <c r="F272" i="1"/>
  <c r="I272" i="1"/>
  <c r="I187" i="1"/>
  <c r="I231" i="1"/>
  <c r="C187" i="1"/>
  <c r="C231" i="1"/>
  <c r="E187" i="1"/>
  <c r="E231" i="1"/>
  <c r="E197" i="1" l="1"/>
  <c r="E239" i="1"/>
  <c r="C234" i="1"/>
  <c r="D272" i="1"/>
  <c r="C281" i="1" s="1"/>
  <c r="G239" i="1"/>
  <c r="G197" i="1"/>
  <c r="I239" i="1"/>
  <c r="I197" i="1"/>
  <c r="D271" i="1"/>
  <c r="C190" i="1"/>
  <c r="H271" i="1"/>
  <c r="H273" i="1" s="1"/>
  <c r="H277" i="1" s="1"/>
  <c r="J271" i="1"/>
  <c r="J273" i="1" s="1"/>
  <c r="J277" i="1" s="1"/>
  <c r="H197" i="1"/>
  <c r="H239" i="1"/>
  <c r="D239" i="1"/>
  <c r="D197" i="1"/>
  <c r="G271" i="1"/>
  <c r="F271" i="1"/>
  <c r="J197" i="1"/>
  <c r="J239" i="1"/>
  <c r="C197" i="1"/>
  <c r="C239" i="1"/>
  <c r="E271" i="1"/>
  <c r="E273" i="1" s="1"/>
  <c r="E277" i="1" s="1"/>
  <c r="I271" i="1"/>
  <c r="I273" i="1" s="1"/>
  <c r="I277" i="1" s="1"/>
  <c r="F239" i="1"/>
  <c r="F197" i="1"/>
  <c r="E286" i="1" l="1"/>
  <c r="D273" i="1"/>
  <c r="D277" i="1" s="1"/>
  <c r="I276" i="1"/>
  <c r="G273" i="1"/>
  <c r="G277" i="1" s="1"/>
  <c r="J276" i="1"/>
  <c r="C216" i="1"/>
  <c r="C50" i="3" s="1"/>
  <c r="C191" i="1"/>
  <c r="C217" i="1" s="1"/>
  <c r="C51" i="3" s="1"/>
  <c r="C235" i="1"/>
  <c r="C259" i="1" s="1"/>
  <c r="C258" i="1"/>
  <c r="E276" i="1"/>
  <c r="H276" i="1"/>
  <c r="F273" i="1"/>
  <c r="F277" i="1" s="1"/>
  <c r="G276" i="1" l="1"/>
  <c r="C201" i="1"/>
  <c r="D276" i="1"/>
  <c r="C242" i="1"/>
  <c r="F276" i="1"/>
  <c r="C271" i="1"/>
  <c r="F203" i="1" l="1"/>
  <c r="F204" i="1"/>
  <c r="G245" i="1"/>
  <c r="G244" i="1"/>
  <c r="C280" i="1"/>
  <c r="C273" i="1"/>
  <c r="C277" i="1" s="1"/>
  <c r="H223" i="1" l="1"/>
  <c r="H59" i="3" s="1"/>
  <c r="D214" i="1"/>
  <c r="D47" i="3" s="1"/>
  <c r="D221" i="1"/>
  <c r="D57" i="3" s="1"/>
  <c r="H219" i="1"/>
  <c r="H55" i="3" s="1"/>
  <c r="G219" i="1"/>
  <c r="G55" i="3" s="1"/>
  <c r="E219" i="1"/>
  <c r="E55" i="3" s="1"/>
  <c r="F219" i="1"/>
  <c r="F55" i="3" s="1"/>
  <c r="C219" i="1"/>
  <c r="C55" i="3" s="1"/>
  <c r="J219" i="1"/>
  <c r="J55" i="3" s="1"/>
  <c r="I219" i="1"/>
  <c r="I55" i="3" s="1"/>
  <c r="D219" i="1"/>
  <c r="D55" i="3" s="1"/>
  <c r="D212" i="1"/>
  <c r="D45" i="3" s="1"/>
  <c r="E212" i="1"/>
  <c r="E45" i="3" s="1"/>
  <c r="H212" i="1"/>
  <c r="H45" i="3" s="1"/>
  <c r="F212" i="1"/>
  <c r="F45" i="3" s="1"/>
  <c r="C215" i="1"/>
  <c r="C49" i="3" s="1"/>
  <c r="J212" i="1"/>
  <c r="J45" i="3" s="1"/>
  <c r="D213" i="1"/>
  <c r="D46" i="3" s="1"/>
  <c r="D220" i="1"/>
  <c r="D56" i="3" s="1"/>
  <c r="G212" i="1"/>
  <c r="G45" i="3" s="1"/>
  <c r="I212" i="1"/>
  <c r="I45" i="3" s="1"/>
  <c r="E223" i="1"/>
  <c r="E59" i="3" s="1"/>
  <c r="C223" i="1"/>
  <c r="C59" i="3" s="1"/>
  <c r="F223" i="1"/>
  <c r="F59" i="3" s="1"/>
  <c r="D223" i="1"/>
  <c r="D59" i="3" s="1"/>
  <c r="G223" i="1"/>
  <c r="G59" i="3" s="1"/>
  <c r="J223" i="1"/>
  <c r="J59" i="3" s="1"/>
  <c r="I223" i="1"/>
  <c r="I59" i="3" s="1"/>
  <c r="C276" i="1"/>
  <c r="C261" i="1"/>
  <c r="D261" i="1"/>
  <c r="G261" i="1"/>
  <c r="I261" i="1"/>
  <c r="J261" i="1"/>
  <c r="H261" i="1"/>
  <c r="D256" i="1"/>
  <c r="E261" i="1"/>
  <c r="F261" i="1"/>
  <c r="D263" i="1"/>
  <c r="D262" i="1"/>
  <c r="E254" i="1"/>
  <c r="I254" i="1"/>
  <c r="D255" i="1"/>
  <c r="G254" i="1"/>
  <c r="H254" i="1"/>
  <c r="F254" i="1"/>
  <c r="C257" i="1"/>
  <c r="J254" i="1"/>
  <c r="D254" i="1"/>
  <c r="C264" i="1"/>
  <c r="D264" i="1"/>
  <c r="E264" i="1"/>
  <c r="I264" i="1"/>
  <c r="F264" i="1"/>
  <c r="H264" i="1"/>
  <c r="J264" i="1"/>
  <c r="G264" i="1"/>
  <c r="E285" i="1"/>
  <c r="C282" i="1"/>
  <c r="C286" i="1" s="1"/>
  <c r="C285" i="1" l="1"/>
  <c r="M286" i="1"/>
  <c r="E14" i="3" s="1"/>
  <c r="E22" i="3" s="1"/>
  <c r="M285" i="1"/>
  <c r="E13" i="3" s="1"/>
  <c r="E21" i="3" s="1"/>
  <c r="C96" i="3" l="1"/>
  <c r="E23" i="3"/>
  <c r="C27" i="3"/>
  <c r="C95" i="3"/>
  <c r="C26" i="3"/>
  <c r="C29" i="3" l="1"/>
  <c r="C34" i="3"/>
  <c r="C143" i="3"/>
  <c r="C97" i="3"/>
  <c r="C142" i="3"/>
  <c r="C144" i="3" l="1"/>
  <c r="I69" i="3"/>
  <c r="G76" i="3"/>
  <c r="C73" i="3"/>
  <c r="D78" i="3"/>
  <c r="E69" i="3"/>
  <c r="C306" i="1"/>
  <c r="C308" i="1" s="1"/>
  <c r="D71" i="3"/>
  <c r="F69" i="3"/>
  <c r="C74" i="3"/>
  <c r="G69" i="3"/>
  <c r="D70" i="3"/>
  <c r="J76" i="3"/>
  <c r="H69" i="3"/>
  <c r="E76" i="3"/>
  <c r="D69" i="3"/>
  <c r="D77" i="3"/>
  <c r="D76" i="3"/>
  <c r="J69" i="3"/>
  <c r="C76" i="3"/>
  <c r="F76" i="3"/>
  <c r="I76" i="3"/>
  <c r="H76" i="3"/>
  <c r="C33" i="3"/>
  <c r="C35" i="3" s="1"/>
  <c r="H86" i="3" l="1"/>
  <c r="I86" i="3"/>
  <c r="H85" i="3"/>
  <c r="F86" i="3"/>
  <c r="D86" i="3"/>
  <c r="J86" i="3"/>
  <c r="F85" i="3"/>
  <c r="C86" i="3"/>
  <c r="D85" i="3"/>
  <c r="C85" i="3"/>
  <c r="E86" i="3"/>
  <c r="G85" i="3"/>
  <c r="J319" i="1"/>
  <c r="G319" i="1"/>
  <c r="E319" i="1"/>
  <c r="D319" i="1"/>
  <c r="F319" i="1"/>
  <c r="H319" i="1"/>
  <c r="I319" i="1"/>
  <c r="C319" i="1"/>
  <c r="G86" i="3"/>
  <c r="J85" i="3"/>
  <c r="E85" i="3"/>
  <c r="I85" i="3"/>
  <c r="F87" i="3" l="1"/>
  <c r="H320" i="1"/>
  <c r="H337" i="1"/>
  <c r="G87" i="3"/>
  <c r="F320" i="1"/>
  <c r="F337" i="1"/>
  <c r="J337" i="1"/>
  <c r="J320" i="1"/>
  <c r="E87" i="3"/>
  <c r="C87" i="3"/>
  <c r="C90" i="3"/>
  <c r="C320" i="1"/>
  <c r="C337" i="1"/>
  <c r="D320" i="1"/>
  <c r="D337" i="1"/>
  <c r="J87" i="3"/>
  <c r="I87" i="3"/>
  <c r="I320" i="1"/>
  <c r="I337" i="1"/>
  <c r="E337" i="1"/>
  <c r="E320" i="1"/>
  <c r="G337" i="1"/>
  <c r="G320" i="1"/>
  <c r="C89" i="3"/>
  <c r="C100" i="3" s="1"/>
  <c r="D87" i="3"/>
  <c r="H87" i="3"/>
  <c r="J98" i="3" l="1"/>
  <c r="E100" i="3"/>
  <c r="C91" i="3"/>
  <c r="C102" i="3" s="1"/>
  <c r="J100" i="3" s="1"/>
  <c r="C101" i="3"/>
  <c r="C315" i="1" l="1"/>
  <c r="C333" i="1" s="1"/>
  <c r="C314" i="1"/>
  <c r="C332" i="1" s="1"/>
  <c r="H115" i="3"/>
  <c r="H132" i="3" s="1"/>
  <c r="F115" i="3"/>
  <c r="F132" i="3" s="1"/>
  <c r="C119" i="3"/>
  <c r="H311" i="1"/>
  <c r="H329" i="1" s="1"/>
  <c r="J311" i="1"/>
  <c r="J329" i="1" s="1"/>
  <c r="E115" i="3"/>
  <c r="E132" i="3" s="1"/>
  <c r="D116" i="3"/>
  <c r="D115" i="3"/>
  <c r="G115" i="3"/>
  <c r="G132" i="3" s="1"/>
  <c r="F311" i="1"/>
  <c r="F329" i="1" s="1"/>
  <c r="I311" i="1"/>
  <c r="I329" i="1" s="1"/>
  <c r="D117" i="3"/>
  <c r="E311" i="1"/>
  <c r="E329" i="1" s="1"/>
  <c r="G311" i="1"/>
  <c r="G329" i="1" s="1"/>
  <c r="D313" i="1"/>
  <c r="D331" i="1" s="1"/>
  <c r="D311" i="1"/>
  <c r="D312" i="1"/>
  <c r="D330" i="1" s="1"/>
  <c r="C120" i="3"/>
  <c r="I115" i="3"/>
  <c r="I132" i="3" s="1"/>
  <c r="J115" i="3"/>
  <c r="J132" i="3" s="1"/>
  <c r="J99" i="3"/>
  <c r="E101" i="3"/>
  <c r="C132" i="3" l="1"/>
  <c r="D132" i="3"/>
  <c r="C122" i="3"/>
  <c r="C133" i="3" s="1"/>
  <c r="F316" i="1"/>
  <c r="F334" i="1" s="1"/>
  <c r="G122" i="3"/>
  <c r="G133" i="3" s="1"/>
  <c r="G134" i="3" s="1"/>
  <c r="H316" i="1"/>
  <c r="H334" i="1" s="1"/>
  <c r="H122" i="3"/>
  <c r="H133" i="3" s="1"/>
  <c r="H134" i="3" s="1"/>
  <c r="D123" i="3"/>
  <c r="D318" i="1"/>
  <c r="D336" i="1" s="1"/>
  <c r="G316" i="1"/>
  <c r="G334" i="1" s="1"/>
  <c r="C316" i="1"/>
  <c r="C334" i="1" s="1"/>
  <c r="D124" i="3"/>
  <c r="J316" i="1"/>
  <c r="J334" i="1" s="1"/>
  <c r="I122" i="3"/>
  <c r="I133" i="3" s="1"/>
  <c r="I134" i="3" s="1"/>
  <c r="F122" i="3"/>
  <c r="F133" i="3" s="1"/>
  <c r="F134" i="3" s="1"/>
  <c r="J122" i="3"/>
  <c r="J133" i="3" s="1"/>
  <c r="J134" i="3" s="1"/>
  <c r="E316" i="1"/>
  <c r="E334" i="1" s="1"/>
  <c r="I316" i="1"/>
  <c r="I334" i="1" s="1"/>
  <c r="D122" i="3"/>
  <c r="E122" i="3"/>
  <c r="E133" i="3" s="1"/>
  <c r="E134" i="3" s="1"/>
  <c r="D317" i="1"/>
  <c r="D335" i="1" s="1"/>
  <c r="D316" i="1"/>
  <c r="C136" i="3" l="1"/>
  <c r="C147" i="3" s="1"/>
  <c r="D133" i="3"/>
  <c r="D134" i="3" s="1"/>
  <c r="C134" i="3"/>
  <c r="C137" i="3" l="1"/>
  <c r="C148" i="3" s="1"/>
  <c r="C149" i="3" s="1"/>
  <c r="C138" i="3" l="1"/>
</calcChain>
</file>

<file path=xl/comments1.xml><?xml version="1.0" encoding="utf-8"?>
<comments xmlns="http://schemas.openxmlformats.org/spreadsheetml/2006/main">
  <authors>
    <author>Farivar Mohseni , Amir H</author>
  </authors>
  <commentList>
    <comment ref="E169" authorId="0">
      <text>
        <r>
          <rPr>
            <b/>
            <sz val="8"/>
            <color indexed="81"/>
            <rFont val="Tahoma"/>
            <family val="2"/>
          </rPr>
          <t>Farivar Mohseni , Amir H:</t>
        </r>
        <r>
          <rPr>
            <sz val="8"/>
            <color indexed="81"/>
            <rFont val="Tahoma"/>
            <family val="2"/>
          </rPr>
          <t xml:space="preserve">
????????????????????</t>
        </r>
      </text>
    </comment>
  </commentList>
</comments>
</file>

<file path=xl/comments2.xml><?xml version="1.0" encoding="utf-8"?>
<comments xmlns="http://schemas.openxmlformats.org/spreadsheetml/2006/main">
  <authors>
    <author>Farivar Mohseni , Amir H</author>
  </authors>
  <commentList>
    <comment ref="C6" authorId="0">
      <text>
        <r>
          <rPr>
            <b/>
            <sz val="8"/>
            <color indexed="81"/>
            <rFont val="Tahoma"/>
            <family val="2"/>
          </rPr>
          <t>Farivar Mohseni , Amir H:</t>
        </r>
        <r>
          <rPr>
            <sz val="8"/>
            <color indexed="81"/>
            <rFont val="Tahoma"/>
            <family val="2"/>
          </rPr>
          <t xml:space="preserve">
must update</t>
        </r>
      </text>
    </comment>
  </commentList>
</comments>
</file>

<file path=xl/sharedStrings.xml><?xml version="1.0" encoding="utf-8"?>
<sst xmlns="http://schemas.openxmlformats.org/spreadsheetml/2006/main" count="586" uniqueCount="268">
  <si>
    <t>Table #1</t>
  </si>
  <si>
    <t>% usage during PJM On-Peak period</t>
  </si>
  <si>
    <t>On-Peak periods defined as the 16 hr PJM Trading period, adj for NERC holidays</t>
  </si>
  <si>
    <t xml:space="preserve">% usage during Off-Peak period </t>
  </si>
  <si>
    <t>(data rounded to nearest %)</t>
  </si>
  <si>
    <t>RS</t>
  </si>
  <si>
    <t>MGS - SEC</t>
  </si>
  <si>
    <t>MGS - PRI</t>
  </si>
  <si>
    <t>AGS - SEC</t>
  </si>
  <si>
    <t>AGS - PRI</t>
  </si>
  <si>
    <t>SPL/CSL</t>
  </si>
  <si>
    <t>DDC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</si>
  <si>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</si>
  <si>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</si>
  <si>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</si>
  <si>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</si>
  <si>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</si>
  <si>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</si>
  <si>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</si>
  <si>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</si>
  <si>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</si>
  <si>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</si>
  <si>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</si>
  <si>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</si>
  <si>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</si>
  <si>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Class Usage @ customer</t>
  </si>
  <si>
    <t>Usage by season</t>
  </si>
  <si>
    <t>calendar month sales forecasted for period</t>
  </si>
  <si>
    <t>in MWh</t>
  </si>
  <si>
    <t>Total</t>
  </si>
  <si>
    <t>winter MWh =</t>
  </si>
  <si>
    <t>summer MWh =</t>
  </si>
  <si>
    <t>Table #3</t>
  </si>
  <si>
    <t>Forwards Prices - Energy Only @ bulk system</t>
  </si>
  <si>
    <t>Table #4</t>
  </si>
  <si>
    <t>in $/MWh</t>
  </si>
  <si>
    <t>On-Peak</t>
  </si>
  <si>
    <t>Off-Peak</t>
  </si>
  <si>
    <t>Table #5</t>
  </si>
  <si>
    <t>Losses</t>
  </si>
  <si>
    <t>Expansion Factor =</t>
  </si>
  <si>
    <t>Table #6</t>
  </si>
  <si>
    <t>Summary of Average BGS Energy Only Unit Costs @ customer - PJM Time Periods</t>
  </si>
  <si>
    <t>based on Forwards @ PJM West - corrected for congestion &amp; losses</t>
  </si>
  <si>
    <t>Summer - all hrs</t>
  </si>
  <si>
    <t>Winter - all hrs</t>
  </si>
  <si>
    <t>Annual</t>
  </si>
  <si>
    <t>System Average Cost @ customer - (limited to classes shown above) =</t>
  </si>
  <si>
    <t>Table #7</t>
  </si>
  <si>
    <t>Generation &amp; Transmission Obligations and Costs and Other Adjustments</t>
  </si>
  <si>
    <t>in MW</t>
  </si>
  <si>
    <t>Gen Load - MW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</si>
  <si>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</si>
  <si>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</si>
  <si>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</si>
  <si>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</si>
  <si>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</si>
  <si>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</si>
  <si>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</si>
  <si>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</si>
  <si>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</t>
  </si>
  <si>
    <t>per MW-yr</t>
  </si>
  <si>
    <t>Generation Capacity Cost</t>
  </si>
  <si>
    <t>Summer</t>
  </si>
  <si>
    <t>$/MW/day</t>
  </si>
  <si>
    <t>Summer Total</t>
  </si>
  <si>
    <t>Winter</t>
  </si>
  <si>
    <t>Winter Total</t>
  </si>
  <si>
    <t>Annual Total</t>
  </si>
  <si>
    <t>Residential Inversion Determination</t>
  </si>
  <si>
    <t>Charges</t>
  </si>
  <si>
    <t>% usage</t>
  </si>
  <si>
    <t>SUM 'First 750 KWh</t>
  </si>
  <si>
    <t>Block 1 (0-750 kWh/m)</t>
  </si>
  <si>
    <t>WIN' First 500 KWh</t>
  </si>
  <si>
    <t>Block 2 (&gt;750 kWh/m)</t>
  </si>
  <si>
    <t>Calculated inversion =</t>
  </si>
  <si>
    <t>SUM '&gt; 750 KWh</t>
  </si>
  <si>
    <t>WIN &gt; 500 KWh</t>
  </si>
  <si>
    <t>Table #8</t>
  </si>
  <si>
    <t>Ancillary Services</t>
  </si>
  <si>
    <t>forecasted overall annual average</t>
  </si>
  <si>
    <t>Table #9</t>
  </si>
  <si>
    <t xml:space="preserve">Summary of Obligation Costs expressed as $/MWh @ customer </t>
  </si>
  <si>
    <t>Transmission Obl - yr round</t>
  </si>
  <si>
    <t xml:space="preserve">Generation Obl -                </t>
  </si>
  <si>
    <t>per annual MWh</t>
  </si>
  <si>
    <t>recovery per summer MWh</t>
  </si>
  <si>
    <t>recovery per winter MWh</t>
  </si>
  <si>
    <t>Table #10</t>
  </si>
  <si>
    <t>Summary of BGS Unit Costs @ customer</t>
  </si>
  <si>
    <t>Includes energy, G&amp;T obligations, and Ancillary Services</t>
  </si>
  <si>
    <t>Grand Total Cost in $1000 =</t>
  </si>
  <si>
    <t>All In Average cost for rates shown (@ customer) =</t>
  </si>
  <si>
    <t>All In Average costs for rates shown (@ bulk system) =</t>
  </si>
  <si>
    <t>Table #11</t>
  </si>
  <si>
    <t>Includes energy, G&amp;T obligations, and Ancillary Services - unadjusted for billing vs. PJM time period differences</t>
  </si>
  <si>
    <t>All usage Multiplier</t>
  </si>
  <si>
    <t>Constant</t>
  </si>
  <si>
    <t>for Block 1 (0-750 kWh/m) usage</t>
  </si>
  <si>
    <t>for Block 2 (&gt;750 kWh/m) usage</t>
  </si>
  <si>
    <t>Table #12</t>
  </si>
  <si>
    <t>Summary of BGS Unit Costs Less Transmission @ customer</t>
  </si>
  <si>
    <t>Includes energy, Generation capacity obligations, and Ancillary Services - unadjusted for billing vs. PJM time period differences.  Transmission billed at retail tariff level.</t>
  </si>
  <si>
    <t>All In (Less Transmission) Average cost for rates shown (@ customer) =</t>
  </si>
  <si>
    <t>All In (Less Transmission) Average costs for rates shown (@ bulk system) =</t>
  </si>
  <si>
    <t>Table #13</t>
  </si>
  <si>
    <t xml:space="preserve">Includes energy, Generation capacity obligations, and Ancillary Services - unadjusted for billing vs. PJM time period differences.  </t>
  </si>
  <si>
    <t>Transmission billed at retail tariff level.</t>
  </si>
  <si>
    <t>Table #14</t>
  </si>
  <si>
    <t>Summary of Total BGS Costs by Season</t>
  </si>
  <si>
    <t>Total Costs by Rate - in $1000</t>
  </si>
  <si>
    <t>% of Annual Total $ by Rate</t>
  </si>
  <si>
    <t>Total Costs - in $1000</t>
  </si>
  <si>
    <t>% of Annual Total $</t>
  </si>
  <si>
    <t xml:space="preserve">         If total $ were split on a per MWh basis (on bulk system MWhs):</t>
  </si>
  <si>
    <t>per MWh @ bulk system</t>
  </si>
  <si>
    <t>Ratio to All-In Cost</t>
  </si>
  <si>
    <t>&gt;&gt;&gt;</t>
  </si>
  <si>
    <t>Table #15</t>
  </si>
  <si>
    <t>Table #16</t>
  </si>
  <si>
    <t>Table #17</t>
  </si>
  <si>
    <t>Assumptions:</t>
  </si>
  <si>
    <t>Gen Cost =</t>
  </si>
  <si>
    <t>per MW-day</t>
  </si>
  <si>
    <t>summer</t>
  </si>
  <si>
    <t>=</t>
  </si>
  <si>
    <t>winter</t>
  </si>
  <si>
    <t>Trans cost =</t>
  </si>
  <si>
    <t>Ancillary Services =</t>
  </si>
  <si>
    <t>Energy Prices =</t>
  </si>
  <si>
    <t>Usage patterns =</t>
  </si>
  <si>
    <t>Obligations =</t>
  </si>
  <si>
    <t>Losses =</t>
  </si>
  <si>
    <t xml:space="preserve"> existing loss factors as approved in previous LEAC cases</t>
  </si>
  <si>
    <t>PJM Time Periods =</t>
  </si>
  <si>
    <t>Off/On Pk</t>
  </si>
  <si>
    <t>LMP ratio</t>
  </si>
  <si>
    <t>Ratio of BGS Unit Costs @ customer to All In Average Cost @ bulk system (rounded to 3 decimal places)</t>
  </si>
  <si>
    <t>Ratio of BGS Unit Costs @ customer to All In Average Cost Less Transmission @ bulk system (rounded to 3 decimal places)</t>
  </si>
  <si>
    <t>per MWH</t>
  </si>
  <si>
    <t>(rounded to 4 decimal places)</t>
  </si>
  <si>
    <t>Zone-Hub Basis Differential</t>
  </si>
  <si>
    <t xml:space="preserve">On-Peak </t>
  </si>
  <si>
    <t>On Peak</t>
  </si>
  <si>
    <t>Off Peak</t>
  </si>
  <si>
    <t>on peak</t>
  </si>
  <si>
    <t>off peak</t>
  </si>
  <si>
    <t>RS TOU - BGS</t>
  </si>
  <si>
    <t>% Usage During ACECO On-Peak Billing Period</t>
  </si>
  <si>
    <t xml:space="preserve"> 'Based on 3 Year Average</t>
  </si>
  <si>
    <t>($/MWH)</t>
  </si>
  <si>
    <t>Summary of Average BGS Energy Only Costs @ customer - PJM Time Periods</t>
  </si>
  <si>
    <t>based on Forwards prices corrected for congestion &amp; losses</t>
  </si>
  <si>
    <t>in $1000</t>
  </si>
  <si>
    <t>PJM on pk</t>
  </si>
  <si>
    <t>PJM off pk</t>
  </si>
  <si>
    <t>System Total</t>
  </si>
  <si>
    <t>Summary of Average BGS Energy Only Unit Costs @ customer - ACECO Time Periods</t>
  </si>
  <si>
    <t>based on Forwards prices corrected for congestion &amp; losses - ACECO billing time periods</t>
  </si>
  <si>
    <t>Annual Average</t>
  </si>
  <si>
    <t>System Average</t>
  </si>
  <si>
    <t>ACECO On pk</t>
  </si>
  <si>
    <t>ACECO Off pk</t>
  </si>
  <si>
    <t>MWhs in PJM time periods</t>
  </si>
  <si>
    <t>Difference in MWhs</t>
  </si>
  <si>
    <t>Check on total $ recovered</t>
  </si>
  <si>
    <t>PJM time periods (Table #8)</t>
  </si>
  <si>
    <t>MWhs in ACECO time periods</t>
  </si>
  <si>
    <t>(PJM - ACECO)</t>
  </si>
  <si>
    <t>ACECO time periods</t>
  </si>
  <si>
    <t xml:space="preserve">ACECO On-Peak </t>
  </si>
  <si>
    <t>ACECO Off-Peak</t>
  </si>
  <si>
    <t>Total Rate Revenue - in $1000</t>
  </si>
  <si>
    <t>Total Supplier Payment - in $1000</t>
  </si>
  <si>
    <t>line #</t>
  </si>
  <si>
    <t>Payment Identifier &gt;&gt;</t>
  </si>
  <si>
    <t>Notes:</t>
  </si>
  <si>
    <t>Winning Bid - in $/MWh</t>
  </si>
  <si>
    <t>winning Bids</t>
  </si>
  <si>
    <t># of Traunches for Bid</t>
  </si>
  <si>
    <t>from then current Bid</t>
  </si>
  <si>
    <t>Total # of Traunches</t>
  </si>
  <si>
    <t>Payment Factors</t>
  </si>
  <si>
    <t xml:space="preserve">                           Summer</t>
  </si>
  <si>
    <t>from then current Bid Factor Spreadsheet</t>
  </si>
  <si>
    <t xml:space="preserve">                           Winter</t>
  </si>
  <si>
    <t>Applicable Customer Usage @ bulk system - in MWh</t>
  </si>
  <si>
    <t xml:space="preserve">                           Summer MWh</t>
  </si>
  <si>
    <t>from current Bid Factor Spreadsheet</t>
  </si>
  <si>
    <t xml:space="preserve">                           Winter MWh</t>
  </si>
  <si>
    <t>Total Payment to Suppliers - in $1000</t>
  </si>
  <si>
    <t>= (1) * (2)/(3) * (4) * (6)</t>
  </si>
  <si>
    <t>= (1) * (2)/(3) * (5) * (7)</t>
  </si>
  <si>
    <t xml:space="preserve">                           Total</t>
  </si>
  <si>
    <t>Average Payment to Suppliers - in $/MWh</t>
  </si>
  <si>
    <t>= sum(line 8) / (6) - rounded to 2 decimal places</t>
  </si>
  <si>
    <t>= sum(line 9) / (7) - rounded to 2 decimal places</t>
  </si>
  <si>
    <t xml:space="preserve">                Total weighted average</t>
  </si>
  <si>
    <t xml:space="preserve">   &lt;&lt;&lt; used in calculation of</t>
  </si>
  <si>
    <t>= sum(line 10) / [ (6) + (7)]</t>
  </si>
  <si>
    <t xml:space="preserve">           Customer Rates</t>
  </si>
  <si>
    <t xml:space="preserve">   rounded to 2 decimal places</t>
  </si>
  <si>
    <t>Reconciliation of amounts - in $1000</t>
  </si>
  <si>
    <t>Weighted avg * Total MWh =</t>
  </si>
  <si>
    <t>= (13) * [(6)+(7)] / 1000</t>
  </si>
  <si>
    <t>Total Payment to Suppliers =</t>
  </si>
  <si>
    <t>= sum (line 10)</t>
  </si>
  <si>
    <t>Difference =</t>
  </si>
  <si>
    <t>= line (14) - line (15)</t>
  </si>
  <si>
    <t>Ratio of BGS Unit Costs @ customer to All-In Average Cost @ bulk system</t>
  </si>
  <si>
    <t>from Table #14 of the bid factor spreadsheet ---</t>
  </si>
  <si>
    <t>includes energy, G&amp;T obligations, and Ancillary Services - adjusted to billing time periods</t>
  </si>
  <si>
    <t>Annual - all hrs</t>
  </si>
  <si>
    <t xml:space="preserve">   rounded to 4 decimal places</t>
  </si>
  <si>
    <t>Total Summer</t>
  </si>
  <si>
    <t>Total Winter</t>
  </si>
  <si>
    <t>Grand Total</t>
  </si>
  <si>
    <t>Differences - in $1000</t>
  </si>
  <si>
    <t>% difference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</si>
  <si>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</si>
  <si>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</si>
  <si>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Block 1</t>
  </si>
  <si>
    <t>Block 2</t>
  </si>
  <si>
    <t>PJM trading time periods - 7 AM to 11 PM weekdays, local time, x NERC holidays</t>
  </si>
  <si>
    <t xml:space="preserve">     - New Year's, Memorial, 4th of July, Labor Day, Thanksgiving &amp; Christmas</t>
  </si>
  <si>
    <t xml:space="preserve"> forecasted energy use by class, on/off % from 2001 - 2003 class load profiles</t>
  </si>
  <si>
    <t>kWh Rate</t>
  </si>
  <si>
    <t>Adjustment</t>
  </si>
  <si>
    <t xml:space="preserve">   rounded to 5 decimal places</t>
  </si>
  <si>
    <t>Factors</t>
  </si>
  <si>
    <t>round to 3 decimal places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</si>
  <si>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</si>
  <si>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</si>
  <si>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</si>
  <si>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</si>
  <si>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>Table E</t>
  </si>
  <si>
    <r>
      <t xml:space="preserve">Final Resulting BGS Rates (in cents per kWh) - </t>
    </r>
    <r>
      <rPr>
        <i/>
        <sz val="10"/>
        <rFont val="Arial"/>
        <family val="2"/>
      </rPr>
      <t>with preliminary kWh rates adjusted by the kWh Rate Adjustment Factor</t>
    </r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</si>
  <si>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</si>
  <si>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</si>
  <si>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Table A</t>
  </si>
  <si>
    <t>Auction Results</t>
  </si>
  <si>
    <t>Table B</t>
  </si>
  <si>
    <t>Table #18</t>
  </si>
  <si>
    <t>Retail Rates Charged to BGS FP Customers</t>
  </si>
  <si>
    <t>Includes energy, Generation Obligations, and Ancillary Services - Transmission billed at current Tariff Rates</t>
  </si>
  <si>
    <t>Weighted Avg. Winning Bid &gt;&gt;&gt;&gt;</t>
  </si>
  <si>
    <t>Less Transmission &gt;&gt;&gt;&gt;&gt;&gt;&gt;&gt;&gt;</t>
  </si>
  <si>
    <t>BGS Avg. Price &gt;&gt;&gt;&gt;&gt;&gt;&gt;&gt;&gt;&gt;&gt;</t>
  </si>
  <si>
    <t>Table #19</t>
  </si>
  <si>
    <t>Retail Rates Charged to BGS FP Customers including Revenue Assessment and SUT</t>
  </si>
  <si>
    <t>in $/kWh</t>
  </si>
  <si>
    <t>Revenue Assessment Factor</t>
  </si>
  <si>
    <t>(BPU, RPA Assessments)</t>
  </si>
  <si>
    <t xml:space="preserve">Quotes for the period June 1, 2007 to May 30, 2008 - corrected for hub-zone basis differential. </t>
  </si>
  <si>
    <t xml:space="preserve"> class totals as of June 2006</t>
  </si>
  <si>
    <t>Marginal Loss Factor (w/ EHV Losses) =</t>
  </si>
  <si>
    <t>Loss Factors + EHV Losses =</t>
  </si>
  <si>
    <t>Delivery Loss Factor</t>
  </si>
  <si>
    <t>Loss Factor w/o Marginal Loss =</t>
  </si>
  <si>
    <t>Expansion Factor w/o Marginal Loss =</t>
  </si>
  <si>
    <t>Atlantic City Electric Company</t>
  </si>
  <si>
    <t>obligations - values effective June 2009; costs are market estimates</t>
  </si>
  <si>
    <t>remaining portion of 36 month bid - 2011/12 filing</t>
  </si>
  <si>
    <t>based on results of February 2011 BGS FP Auction</t>
  </si>
  <si>
    <t>remaining portion of 36 month bid - 2012/13 filing</t>
  </si>
  <si>
    <t>36 month bid - 2013/14 filing</t>
  </si>
  <si>
    <t>Calculation of June 2013 to May 2014 BGS-FP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</si>
</sst>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0.0000%"/>
    <numFmt numFmtId="168" formatCode="#,##0.0"/>
    <numFmt numFmtId="169" formatCode="_(&quot;$&quot;* #,##0_);_(&quot;$&quot;* \(#,##0\);_(&quot;$&quot;* &quot;-&quot;??_);_(@_)"/>
    <numFmt numFmtId="170" formatCode="0.00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_);_(@_)"/>
    <numFmt numFmtId="173" formatCode="0.0%"/>
    <numFmt numFmtId="174" formatCode="_(* #,##0_);_(* \(#,##0\);_(* &quot;-&quot;??_);_(@_)"/>
    <numFmt numFmtId="175" formatCode="_(* #,##0.000_);_(* \(#,##0.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_(&quot;$&quot;* #,##0.000000_);_(&quot;$&quot;* \(#,##0.000000\);_(&quot;$&quot;* &quot;-&quot;??_);_(@_)"/>
    <numFmt numFmtId="179" formatCode="#,##0.000_);\(#,##0.000\)"/>
    <numFmt numFmtId="180" formatCode="#,##0.0000_);\(#,##0.0000\)"/>
    <numFmt numFmtId="181" formatCode="_(* #,##0.000000_);_(* \(#,##0.00000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9" fontId="8" fillId="0" borderId="0" xfId="3" applyFont="1" applyFill="1"/>
    <xf numFmtId="9" fontId="8" fillId="0" borderId="0" xfId="3" applyFont="1" applyFill="1" applyBorder="1"/>
    <xf numFmtId="0" fontId="6" fillId="0" borderId="0" xfId="0" applyFont="1" applyFill="1"/>
    <xf numFmtId="0" fontId="4" fillId="0" borderId="0" xfId="0" applyFont="1" applyFill="1"/>
    <xf numFmtId="0" fontId="0" fillId="0" borderId="0" xfId="0" applyFill="1"/>
    <xf numFmtId="44" fontId="8" fillId="0" borderId="0" xfId="2" applyFont="1" applyFill="1"/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9" fillId="0" borderId="0" xfId="0" applyFont="1" applyFill="1" applyAlignment="1">
      <alignment horizontal="center"/>
    </xf>
    <xf numFmtId="170" fontId="7" fillId="0" borderId="0" xfId="0" applyNumberFormat="1" applyFont="1" applyFill="1"/>
    <xf numFmtId="0" fontId="7" fillId="0" borderId="0" xfId="0" applyFont="1" applyFill="1"/>
    <xf numFmtId="10" fontId="7" fillId="0" borderId="0" xfId="0" applyNumberFormat="1" applyFont="1" applyFill="1"/>
    <xf numFmtId="170" fontId="9" fillId="0" borderId="0" xfId="0" applyNumberFormat="1" applyFont="1" applyFill="1"/>
    <xf numFmtId="0" fontId="7" fillId="0" borderId="0" xfId="0" applyFont="1" applyFill="1" applyAlignment="1">
      <alignment horizontal="right"/>
    </xf>
    <xf numFmtId="44" fontId="7" fillId="0" borderId="0" xfId="2" quotePrefix="1" applyFont="1" applyFill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7" fontId="0" fillId="0" borderId="0" xfId="0" applyNumberFormat="1" applyFill="1" applyBorder="1"/>
    <xf numFmtId="43" fontId="6" fillId="0" borderId="0" xfId="1" quotePrefix="1" applyFont="1" applyFill="1" applyBorder="1"/>
    <xf numFmtId="43" fontId="6" fillId="0" borderId="0" xfId="1" quotePrefix="1" applyNumberFormat="1" applyFont="1" applyFill="1" applyBorder="1"/>
    <xf numFmtId="44" fontId="6" fillId="0" borderId="0" xfId="2" quotePrefix="1" applyFont="1" applyFill="1" applyBorder="1"/>
    <xf numFmtId="0" fontId="0" fillId="0" borderId="0" xfId="0" applyFill="1" applyAlignment="1">
      <alignment horizontal="left"/>
    </xf>
    <xf numFmtId="2" fontId="6" fillId="0" borderId="0" xfId="0" applyNumberFormat="1" applyFont="1" applyFill="1" applyBorder="1"/>
    <xf numFmtId="0" fontId="6" fillId="0" borderId="0" xfId="0" applyFont="1" applyFill="1" applyAlignment="1">
      <alignment horizontal="center"/>
    </xf>
    <xf numFmtId="164" fontId="7" fillId="0" borderId="0" xfId="0" applyNumberFormat="1" applyFont="1" applyFill="1"/>
    <xf numFmtId="175" fontId="6" fillId="0" borderId="0" xfId="1" quotePrefix="1" applyNumberFormat="1" applyFont="1" applyFill="1" applyBorder="1"/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17" fontId="0" fillId="0" borderId="0" xfId="0" applyNumberFormat="1" applyFill="1"/>
    <xf numFmtId="17" fontId="0" fillId="0" borderId="0" xfId="0" applyNumberFormat="1" applyFill="1" applyAlignment="1">
      <alignment horizontal="right"/>
    </xf>
    <xf numFmtId="169" fontId="7" fillId="0" borderId="0" xfId="2" quotePrefix="1" applyNumberFormat="1" applyFont="1" applyFill="1"/>
    <xf numFmtId="169" fontId="7" fillId="0" borderId="0" xfId="2" applyNumberFormat="1" applyFont="1" applyFill="1"/>
    <xf numFmtId="44" fontId="7" fillId="0" borderId="0" xfId="2" quotePrefix="1" applyNumberFormat="1" applyFont="1" applyFill="1"/>
    <xf numFmtId="44" fontId="7" fillId="0" borderId="0" xfId="2" applyFont="1" applyFill="1"/>
    <xf numFmtId="173" fontId="6" fillId="0" borderId="0" xfId="0" applyNumberFormat="1" applyFont="1" applyFill="1" applyAlignment="1">
      <alignment horizontal="center"/>
    </xf>
    <xf numFmtId="3" fontId="0" fillId="0" borderId="0" xfId="0" applyNumberFormat="1" applyFill="1"/>
    <xf numFmtId="169" fontId="0" fillId="0" borderId="0" xfId="2" applyNumberFormat="1" applyFont="1" applyFill="1"/>
    <xf numFmtId="169" fontId="11" fillId="0" borderId="0" xfId="2" applyNumberFormat="1" applyFont="1" applyFill="1"/>
    <xf numFmtId="169" fontId="0" fillId="0" borderId="0" xfId="0" applyNumberFormat="1" applyFill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3" fontId="7" fillId="0" borderId="0" xfId="0" applyNumberFormat="1" applyFont="1" applyFill="1"/>
    <xf numFmtId="3" fontId="8" fillId="0" borderId="0" xfId="0" applyNumberFormat="1" applyFont="1" applyFill="1"/>
    <xf numFmtId="43" fontId="7" fillId="0" borderId="0" xfId="1" quotePrefix="1" applyFont="1" applyFill="1"/>
    <xf numFmtId="43" fontId="7" fillId="0" borderId="0" xfId="1" quotePrefix="1" applyNumberFormat="1" applyFont="1" applyFill="1" applyBorder="1"/>
    <xf numFmtId="175" fontId="0" fillId="0" borderId="0" xfId="0" applyNumberFormat="1" applyFill="1"/>
    <xf numFmtId="175" fontId="6" fillId="0" borderId="0" xfId="0" applyNumberFormat="1" applyFont="1" applyFill="1"/>
    <xf numFmtId="0" fontId="6" fillId="0" borderId="0" xfId="0" applyFont="1" applyFill="1" applyAlignment="1">
      <alignment horizontal="right"/>
    </xf>
    <xf numFmtId="43" fontId="7" fillId="0" borderId="0" xfId="1" quotePrefix="1" applyNumberFormat="1" applyFont="1" applyFill="1"/>
    <xf numFmtId="175" fontId="7" fillId="0" borderId="0" xfId="1" quotePrefix="1" applyNumberFormat="1" applyFont="1" applyFill="1"/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9" fontId="1" fillId="0" borderId="0" xfId="2" applyNumberFormat="1" applyFill="1"/>
    <xf numFmtId="169" fontId="1" fillId="0" borderId="0" xfId="2" quotePrefix="1" applyNumberFormat="1" applyFont="1" applyFill="1"/>
    <xf numFmtId="169" fontId="11" fillId="0" borderId="0" xfId="0" applyNumberFormat="1" applyFont="1" applyFill="1"/>
    <xf numFmtId="167" fontId="1" fillId="0" borderId="0" xfId="3" applyNumberFormat="1" applyFill="1"/>
    <xf numFmtId="175" fontId="6" fillId="0" borderId="0" xfId="1" quotePrefix="1" applyNumberFormat="1" applyFont="1" applyFill="1"/>
    <xf numFmtId="169" fontId="1" fillId="0" borderId="0" xfId="2" quotePrefix="1" applyNumberFormat="1" applyFont="1" applyFill="1" applyBorder="1"/>
    <xf numFmtId="169" fontId="11" fillId="0" borderId="0" xfId="2" quotePrefix="1" applyNumberFormat="1" applyFont="1" applyFill="1" applyBorder="1"/>
    <xf numFmtId="169" fontId="0" fillId="0" borderId="0" xfId="0" applyNumberFormat="1" applyFill="1" applyBorder="1"/>
    <xf numFmtId="174" fontId="1" fillId="0" borderId="0" xfId="1" applyNumberFormat="1" applyFill="1"/>
    <xf numFmtId="174" fontId="1" fillId="0" borderId="0" xfId="1" quotePrefix="1" applyNumberFormat="1" applyFont="1" applyFill="1"/>
    <xf numFmtId="174" fontId="11" fillId="0" borderId="0" xfId="1" applyNumberFormat="1" applyFont="1" applyFill="1"/>
    <xf numFmtId="174" fontId="0" fillId="0" borderId="0" xfId="1" applyNumberFormat="1" applyFont="1" applyFill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165" fontId="0" fillId="0" borderId="6" xfId="0" applyNumberFormat="1" applyFill="1" applyBorder="1"/>
    <xf numFmtId="169" fontId="0" fillId="0" borderId="0" xfId="2" quotePrefix="1" applyNumberFormat="1" applyFont="1" applyFill="1"/>
    <xf numFmtId="0" fontId="0" fillId="0" borderId="0" xfId="0" applyFill="1" applyBorder="1" applyAlignment="1">
      <alignment horizontal="right"/>
    </xf>
    <xf numFmtId="179" fontId="14" fillId="0" borderId="0" xfId="1" applyNumberFormat="1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10" fontId="8" fillId="0" borderId="0" xfId="3" quotePrefix="1" applyNumberFormat="1" applyFont="1" applyFill="1"/>
    <xf numFmtId="169" fontId="8" fillId="0" borderId="0" xfId="2" applyNumberFormat="1" applyFont="1" applyFill="1"/>
    <xf numFmtId="167" fontId="8" fillId="0" borderId="0" xfId="0" applyNumberFormat="1" applyFont="1" applyFill="1"/>
    <xf numFmtId="4" fontId="8" fillId="0" borderId="0" xfId="0" applyNumberFormat="1" applyFont="1" applyFill="1"/>
    <xf numFmtId="166" fontId="8" fillId="0" borderId="0" xfId="0" applyNumberFormat="1" applyFont="1" applyFill="1"/>
    <xf numFmtId="0" fontId="0" fillId="0" borderId="0" xfId="0" applyFill="1" applyAlignment="1"/>
    <xf numFmtId="0" fontId="12" fillId="0" borderId="3" xfId="0" applyFont="1" applyFill="1" applyBorder="1"/>
    <xf numFmtId="171" fontId="6" fillId="0" borderId="5" xfId="2" applyNumberFormat="1" applyFont="1" applyFill="1" applyBorder="1"/>
    <xf numFmtId="171" fontId="6" fillId="0" borderId="0" xfId="2" applyNumberFormat="1" applyFont="1" applyFill="1" applyBorder="1"/>
    <xf numFmtId="0" fontId="12" fillId="0" borderId="6" xfId="0" applyFont="1" applyFill="1" applyBorder="1"/>
    <xf numFmtId="171" fontId="6" fillId="0" borderId="1" xfId="2" applyNumberFormat="1" applyFont="1" applyFill="1" applyBorder="1"/>
    <xf numFmtId="0" fontId="12" fillId="0" borderId="7" xfId="0" applyFont="1" applyFill="1" applyBorder="1"/>
    <xf numFmtId="44" fontId="6" fillId="0" borderId="8" xfId="2" applyFont="1" applyFill="1" applyBorder="1"/>
    <xf numFmtId="44" fontId="6" fillId="0" borderId="0" xfId="2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quotePrefix="1" applyFont="1" applyFill="1" applyBorder="1"/>
    <xf numFmtId="39" fontId="7" fillId="0" borderId="0" xfId="0" quotePrefix="1" applyNumberFormat="1" applyFont="1" applyFill="1"/>
    <xf numFmtId="0" fontId="4" fillId="0" borderId="0" xfId="0" quotePrefix="1" applyFont="1" applyFill="1"/>
    <xf numFmtId="0" fontId="4" fillId="0" borderId="0" xfId="0" applyFont="1" applyFill="1" applyAlignment="1">
      <alignment horizontal="center"/>
    </xf>
    <xf numFmtId="9" fontId="8" fillId="0" borderId="0" xfId="3" quotePrefix="1" applyFont="1" applyFill="1"/>
    <xf numFmtId="9" fontId="7" fillId="0" borderId="0" xfId="3" quotePrefix="1" applyFont="1" applyFill="1"/>
    <xf numFmtId="9" fontId="0" fillId="0" borderId="0" xfId="0" applyNumberFormat="1" applyFill="1"/>
    <xf numFmtId="17" fontId="6" fillId="0" borderId="0" xfId="0" applyNumberFormat="1" applyFont="1" applyFill="1"/>
    <xf numFmtId="165" fontId="0" fillId="0" borderId="0" xfId="0" applyNumberFormat="1" applyFill="1"/>
    <xf numFmtId="177" fontId="0" fillId="0" borderId="0" xfId="1" applyNumberFormat="1" applyFont="1" applyFill="1"/>
    <xf numFmtId="39" fontId="7" fillId="0" borderId="0" xfId="0" applyNumberFormat="1" applyFont="1" applyFill="1"/>
    <xf numFmtId="39" fontId="0" fillId="0" borderId="0" xfId="0" applyNumberFormat="1" applyFill="1"/>
    <xf numFmtId="2" fontId="0" fillId="0" borderId="0" xfId="0" applyNumberFormat="1" applyFill="1"/>
    <xf numFmtId="2" fontId="6" fillId="0" borderId="0" xfId="0" applyNumberFormat="1" applyFont="1" applyFill="1"/>
    <xf numFmtId="2" fontId="16" fillId="0" borderId="0" xfId="0" applyNumberFormat="1" applyFont="1" applyFill="1"/>
    <xf numFmtId="0" fontId="0" fillId="0" borderId="0" xfId="0" quotePrefix="1" applyFill="1"/>
    <xf numFmtId="44" fontId="1" fillId="0" borderId="0" xfId="2" applyFill="1"/>
    <xf numFmtId="174" fontId="1" fillId="0" borderId="0" xfId="1" applyNumberFormat="1" applyFill="1" applyAlignment="1">
      <alignment horizontal="right"/>
    </xf>
    <xf numFmtId="44" fontId="1" fillId="0" borderId="0" xfId="2" quotePrefix="1" applyFont="1" applyFill="1"/>
    <xf numFmtId="44" fontId="0" fillId="0" borderId="0" xfId="0" applyNumberFormat="1" applyFill="1"/>
    <xf numFmtId="172" fontId="0" fillId="0" borderId="0" xfId="0" applyNumberFormat="1" applyFill="1"/>
    <xf numFmtId="171" fontId="0" fillId="0" borderId="0" xfId="0" applyNumberFormat="1" applyFill="1"/>
    <xf numFmtId="9" fontId="1" fillId="0" borderId="0" xfId="3" applyFill="1"/>
    <xf numFmtId="169" fontId="1" fillId="0" borderId="0" xfId="3" applyNumberFormat="1" applyFill="1"/>
    <xf numFmtId="181" fontId="0" fillId="0" borderId="0" xfId="0" applyNumberFormat="1" applyFill="1"/>
    <xf numFmtId="43" fontId="0" fillId="0" borderId="0" xfId="0" applyNumberFormat="1" applyFill="1"/>
    <xf numFmtId="0" fontId="7" fillId="0" borderId="0" xfId="0" applyFont="1" applyFill="1" applyBorder="1"/>
    <xf numFmtId="170" fontId="0" fillId="0" borderId="0" xfId="0" applyNumberFormat="1" applyFill="1" applyBorder="1"/>
    <xf numFmtId="178" fontId="0" fillId="0" borderId="0" xfId="0" applyNumberFormat="1" applyFill="1" applyBorder="1"/>
    <xf numFmtId="17" fontId="0" fillId="0" borderId="0" xfId="0" applyNumberFormat="1" applyFill="1" applyBorder="1" applyAlignment="1">
      <alignment horizontal="right"/>
    </xf>
    <xf numFmtId="178" fontId="1" fillId="0" borderId="0" xfId="2" applyNumberFormat="1" applyFill="1" applyBorder="1"/>
    <xf numFmtId="17" fontId="4" fillId="0" borderId="0" xfId="0" applyNumberFormat="1" applyFont="1" applyFill="1"/>
    <xf numFmtId="10" fontId="13" fillId="0" borderId="0" xfId="0" applyNumberFormat="1" applyFont="1" applyFill="1"/>
    <xf numFmtId="3" fontId="4" fillId="0" borderId="0" xfId="0" applyNumberFormat="1" applyFont="1" applyFill="1" applyAlignment="1">
      <alignment horizontal="left"/>
    </xf>
    <xf numFmtId="3" fontId="0" fillId="0" borderId="0" xfId="0" quotePrefix="1" applyNumberFormat="1" applyFill="1"/>
    <xf numFmtId="17" fontId="0" fillId="0" borderId="0" xfId="0" applyNumberFormat="1" applyFill="1" applyAlignment="1">
      <alignment horizontal="center"/>
    </xf>
    <xf numFmtId="168" fontId="8" fillId="0" borderId="0" xfId="0" applyNumberFormat="1" applyFont="1" applyFill="1"/>
    <xf numFmtId="168" fontId="0" fillId="0" borderId="0" xfId="0" applyNumberFormat="1" applyFill="1"/>
    <xf numFmtId="176" fontId="6" fillId="0" borderId="0" xfId="0" applyNumberFormat="1" applyFont="1" applyFill="1" applyAlignment="1">
      <alignment horizontal="center"/>
    </xf>
    <xf numFmtId="168" fontId="7" fillId="0" borderId="0" xfId="0" applyNumberFormat="1" applyFont="1" applyFill="1"/>
    <xf numFmtId="0" fontId="0" fillId="0" borderId="0" xfId="0" quotePrefix="1" applyFill="1" applyAlignment="1">
      <alignment horizontal="right"/>
    </xf>
    <xf numFmtId="168" fontId="7" fillId="0" borderId="0" xfId="0" applyNumberFormat="1" applyFont="1" applyFill="1" applyAlignment="1">
      <alignment horizontal="right"/>
    </xf>
    <xf numFmtId="0" fontId="7" fillId="0" borderId="0" xfId="0" quotePrefix="1" applyFont="1" applyFill="1" applyAlignment="1">
      <alignment horizontal="center"/>
    </xf>
    <xf numFmtId="44" fontId="8" fillId="0" borderId="0" xfId="2" applyNumberFormat="1" applyFont="1" applyFill="1"/>
    <xf numFmtId="0" fontId="9" fillId="0" borderId="0" xfId="0" applyFont="1" applyFill="1" applyAlignment="1">
      <alignment horizontal="right"/>
    </xf>
    <xf numFmtId="169" fontId="0" fillId="0" borderId="2" xfId="0" applyNumberFormat="1" applyFill="1" applyBorder="1"/>
    <xf numFmtId="44" fontId="7" fillId="0" borderId="0" xfId="2" applyNumberFormat="1" applyFont="1" applyFill="1"/>
    <xf numFmtId="174" fontId="0" fillId="0" borderId="0" xfId="0" applyNumberFormat="1" applyFill="1"/>
    <xf numFmtId="174" fontId="1" fillId="0" borderId="2" xfId="1" applyNumberFormat="1" applyFill="1" applyBorder="1"/>
    <xf numFmtId="0" fontId="14" fillId="0" borderId="0" xfId="0" applyFont="1" applyFill="1" applyBorder="1"/>
    <xf numFmtId="180" fontId="15" fillId="0" borderId="0" xfId="1" applyNumberFormat="1" applyFont="1" applyFill="1" applyBorder="1" applyAlignment="1">
      <alignment horizontal="center"/>
    </xf>
    <xf numFmtId="176" fontId="0" fillId="0" borderId="0" xfId="0" applyNumberFormat="1" applyFill="1" applyBorder="1"/>
    <xf numFmtId="43" fontId="0" fillId="0" borderId="0" xfId="0" applyNumberFormat="1" applyFill="1" applyBorder="1"/>
    <xf numFmtId="178" fontId="0" fillId="0" borderId="0" xfId="0" applyNumberFormat="1" applyFill="1"/>
    <xf numFmtId="168" fontId="13" fillId="0" borderId="0" xfId="0" applyNumberFormat="1" applyFont="1" applyFill="1"/>
    <xf numFmtId="176" fontId="6" fillId="0" borderId="0" xfId="1" applyNumberFormat="1" applyFont="1" applyFill="1"/>
    <xf numFmtId="7" fontId="8" fillId="0" borderId="0" xfId="2" applyNumberFormat="1" applyFont="1" applyFill="1"/>
    <xf numFmtId="0" fontId="5" fillId="0" borderId="0" xfId="0" applyFont="1" applyFill="1" applyAlignment="1">
      <alignment horizontal="center"/>
    </xf>
    <xf numFmtId="164" fontId="8" fillId="0" borderId="0" xfId="0" applyNumberFormat="1" applyFont="1" applyFill="1"/>
    <xf numFmtId="164" fontId="8" fillId="0" borderId="9" xfId="0" applyNumberFormat="1" applyFont="1" applyFill="1" applyBorder="1"/>
    <xf numFmtId="164" fontId="0" fillId="0" borderId="10" xfId="0" applyNumberFormat="1" applyFill="1" applyBorder="1"/>
    <xf numFmtId="164" fontId="0" fillId="0" borderId="11" xfId="0" applyNumberFormat="1" applyFill="1" applyBorder="1"/>
    <xf numFmtId="0" fontId="1" fillId="0" borderId="0" xfId="0" applyFont="1" applyFill="1"/>
    <xf numFmtId="0" fontId="4" fillId="0" borderId="0" xfId="0" applyFont="1" applyFill="1" applyAlignment="1">
      <alignment horizontal="center" wrapText="1"/>
    </xf>
    <xf numFmtId="10" fontId="1" fillId="0" borderId="0" xfId="3" applyNumberFormat="1" applyFill="1"/>
    <xf numFmtId="9" fontId="1" fillId="0" borderId="0" xfId="3" applyFont="1" applyFill="1"/>
    <xf numFmtId="166" fontId="7" fillId="0" borderId="0" xfId="0" applyNumberFormat="1" applyFont="1" applyFill="1"/>
    <xf numFmtId="44" fontId="1" fillId="0" borderId="0" xfId="2" applyNumberFormat="1" applyFill="1"/>
    <xf numFmtId="172" fontId="7" fillId="0" borderId="0" xfId="2" applyNumberFormat="1" applyFont="1" applyFill="1"/>
    <xf numFmtId="44" fontId="6" fillId="0" borderId="0" xfId="2" quotePrefix="1" applyNumberFormat="1" applyFont="1" applyFill="1"/>
    <xf numFmtId="0" fontId="5" fillId="0" borderId="0" xfId="0" applyFont="1" applyFill="1"/>
    <xf numFmtId="166" fontId="5" fillId="0" borderId="0" xfId="0" applyNumberFormat="1" applyFont="1" applyFill="1"/>
    <xf numFmtId="0" fontId="0" fillId="0" borderId="1" xfId="0" applyFill="1" applyBorder="1"/>
    <xf numFmtId="0" fontId="9" fillId="0" borderId="6" xfId="0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8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339"/>
  <sheetViews>
    <sheetView tabSelected="1" topLeftCell="A296" zoomScale="90" zoomScaleNormal="90" workbookViewId="0">
      <selection activeCell="C63" sqref="C63"/>
    </sheetView>
  </sheetViews>
  <sheetFormatPr defaultRowHeight="12.75" x14ac:dyDescent="0.2"/>
  <cols>
    <col min="1" max="1" width="16.42578125" style="28" bestFit="1" customWidth="1"/>
    <col min="2" max="2" width="42.28515625" style="5" customWidth="1"/>
    <col min="3" max="4" width="14.28515625" style="5" customWidth="1"/>
    <col min="5" max="5" width="14.85546875" style="5" customWidth="1"/>
    <col min="6" max="6" width="12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5.85546875" style="5" customWidth="1"/>
    <col min="11" max="11" width="10.7109375" style="5" customWidth="1"/>
    <col min="12" max="12" width="10.7109375" style="5" bestFit="1" customWidth="1"/>
    <col min="13" max="13" width="13.42578125" style="5" bestFit="1" customWidth="1"/>
    <col min="14" max="14" width="14.42578125" style="5" bestFit="1" customWidth="1"/>
    <col min="15" max="15" width="12.5703125" style="5" bestFit="1" customWidth="1"/>
    <col min="16" max="16" width="20.7109375" style="5" customWidth="1"/>
    <col min="17" max="17" width="23.85546875" style="5" bestFit="1" customWidth="1"/>
    <col min="18" max="18" width="18.42578125" style="5" bestFit="1" customWidth="1"/>
    <col min="19" max="19" width="25" style="5" bestFit="1" customWidth="1"/>
    <col min="20" max="20" width="25.28515625" style="5" bestFit="1" customWidth="1"/>
    <col min="21" max="21" width="10.140625" style="5" bestFit="1" customWidth="1"/>
    <col min="22" max="22" width="9.140625" style="5"/>
    <col min="23" max="23" width="10.140625" style="5" bestFit="1" customWidth="1"/>
    <col min="24" max="24" width="10.28515625" style="5" customWidth="1"/>
    <col min="25" max="25" width="11.85546875" style="5" customWidth="1"/>
    <col min="26" max="27" width="9.140625" style="5"/>
    <col min="28" max="28" width="14.140625" style="5" customWidth="1"/>
    <col min="29" max="16384" width="9.140625" style="5"/>
  </cols>
  <sheetData>
    <row r="2" spans="1:22" ht="15.75" x14ac:dyDescent="0.25">
      <c r="B2" s="96"/>
    </row>
    <row r="3" spans="1:22" x14ac:dyDescent="0.2">
      <c r="A3" s="97"/>
    </row>
    <row r="4" spans="1:22" x14ac:dyDescent="0.2">
      <c r="F4" s="35"/>
    </row>
    <row r="5" spans="1:22" x14ac:dyDescent="0.2">
      <c r="A5" s="34" t="s">
        <v>0</v>
      </c>
      <c r="B5" s="98" t="s">
        <v>1</v>
      </c>
      <c r="C5" s="99"/>
      <c r="D5" s="99"/>
      <c r="F5" s="4" t="s">
        <v>2</v>
      </c>
      <c r="N5" s="98"/>
      <c r="O5" s="98" t="s">
        <v>3</v>
      </c>
      <c r="P5" s="98"/>
      <c r="Q5" s="12"/>
      <c r="R5" s="12"/>
      <c r="S5" s="12"/>
      <c r="T5" s="12"/>
      <c r="U5" s="12"/>
      <c r="V5" s="12"/>
    </row>
    <row r="6" spans="1:22" x14ac:dyDescent="0.2">
      <c r="A6" s="34"/>
      <c r="B6" s="100" t="s">
        <v>4</v>
      </c>
      <c r="C6" s="99"/>
      <c r="D6" s="99"/>
      <c r="F6" s="4"/>
      <c r="N6" s="98"/>
      <c r="O6" s="98"/>
      <c r="P6" s="98"/>
      <c r="Q6" s="12"/>
      <c r="R6" s="12"/>
      <c r="S6" s="12"/>
      <c r="T6" s="12"/>
      <c r="U6" s="12"/>
      <c r="V6" s="12"/>
    </row>
    <row r="7" spans="1:22" x14ac:dyDescent="0.2">
      <c r="A7" s="35"/>
      <c r="C7" s="55" t="s">
        <v>5</v>
      </c>
      <c r="D7" s="55" t="s">
        <v>148</v>
      </c>
      <c r="E7" s="55" t="s">
        <v>6</v>
      </c>
      <c r="F7" s="55" t="s">
        <v>7</v>
      </c>
      <c r="G7" s="55" t="s">
        <v>8</v>
      </c>
      <c r="H7" s="55" t="s">
        <v>9</v>
      </c>
      <c r="I7" s="55" t="s">
        <v>10</v>
      </c>
      <c r="J7" s="55" t="s">
        <v>11</v>
      </c>
      <c r="L7" s="30"/>
      <c r="N7" s="101"/>
      <c r="O7" s="30" t="s">
        <v>5</v>
      </c>
      <c r="P7" s="30" t="s">
        <v>148</v>
      </c>
      <c r="Q7" s="30" t="s">
        <v>6</v>
      </c>
      <c r="R7" s="30" t="s">
        <v>7</v>
      </c>
      <c r="S7" s="30" t="s">
        <v>8</v>
      </c>
      <c r="T7" s="30" t="s">
        <v>9</v>
      </c>
      <c r="U7" s="30" t="s">
        <v>10</v>
      </c>
      <c r="V7" s="30" t="s">
        <v>11</v>
      </c>
    </row>
    <row r="8" spans="1:22" x14ac:dyDescent="0.2">
      <c r="A8" s="35"/>
      <c r="O8" s="12"/>
      <c r="P8" s="12"/>
      <c r="Q8" s="12"/>
      <c r="R8" s="12"/>
      <c r="S8" s="12"/>
      <c r="T8" s="12"/>
      <c r="U8" s="12"/>
      <c r="V8" s="12"/>
    </row>
    <row r="9" spans="1:22" x14ac:dyDescent="0.2">
      <c r="A9" s="35"/>
      <c r="B9" s="36" t="s">
        <v>12</v>
      </c>
      <c r="C9" s="82">
        <v>0.5010204015463654</v>
      </c>
      <c r="D9" s="82">
        <v>0.5015434615696821</v>
      </c>
      <c r="E9" s="82">
        <v>0.56761241334086843</v>
      </c>
      <c r="F9" s="82">
        <v>0.56645790928366302</v>
      </c>
      <c r="G9" s="82">
        <v>0.54975992843556309</v>
      </c>
      <c r="H9" s="82">
        <v>0.52571268775962887</v>
      </c>
      <c r="I9" s="82">
        <v>0.34510202992234862</v>
      </c>
      <c r="J9" s="82">
        <v>0.46885929276315136</v>
      </c>
      <c r="L9" s="102"/>
      <c r="N9" s="102"/>
      <c r="O9" s="103">
        <f t="shared" ref="O9:O20" si="0">1-C9</f>
        <v>0.4989795984536346</v>
      </c>
      <c r="P9" s="103">
        <f t="shared" ref="P9:P20" si="1">1-D9</f>
        <v>0.4984565384303179</v>
      </c>
      <c r="Q9" s="103">
        <f t="shared" ref="Q9:Q20" si="2">1-E9</f>
        <v>0.43238758665913157</v>
      </c>
      <c r="R9" s="103">
        <f t="shared" ref="R9:R20" si="3">1-F9</f>
        <v>0.43354209071633698</v>
      </c>
      <c r="S9" s="103">
        <f t="shared" ref="S9:S20" si="4">1-G9</f>
        <v>0.45024007156443691</v>
      </c>
      <c r="T9" s="103">
        <f t="shared" ref="T9:T20" si="5">1-H9</f>
        <v>0.47428731224037113</v>
      </c>
      <c r="U9" s="103">
        <f t="shared" ref="U9:U20" si="6">1-I9</f>
        <v>0.65489797007765138</v>
      </c>
      <c r="V9" s="103">
        <f t="shared" ref="V9:V20" si="7">1-J9</f>
        <v>0.53114070723684859</v>
      </c>
    </row>
    <row r="10" spans="1:22" x14ac:dyDescent="0.2">
      <c r="A10" s="35"/>
      <c r="B10" s="36" t="s">
        <v>13</v>
      </c>
      <c r="C10" s="82">
        <v>0.48273156470724665</v>
      </c>
      <c r="D10" s="82">
        <v>0.4825163795800288</v>
      </c>
      <c r="E10" s="82">
        <v>0.55052562587780995</v>
      </c>
      <c r="F10" s="82">
        <v>0.57799779727567591</v>
      </c>
      <c r="G10" s="82">
        <v>0.54910098963798459</v>
      </c>
      <c r="H10" s="82">
        <v>0.5152166226442696</v>
      </c>
      <c r="I10" s="82">
        <v>0.35204263651351131</v>
      </c>
      <c r="J10" s="82">
        <v>0.47523433383247149</v>
      </c>
      <c r="L10" s="102"/>
      <c r="N10" s="102"/>
      <c r="O10" s="103">
        <f t="shared" si="0"/>
        <v>0.51726843529275335</v>
      </c>
      <c r="P10" s="103">
        <f t="shared" si="1"/>
        <v>0.5174836204199712</v>
      </c>
      <c r="Q10" s="103">
        <f t="shared" si="2"/>
        <v>0.44947437412219005</v>
      </c>
      <c r="R10" s="103">
        <f t="shared" si="3"/>
        <v>0.42200220272432409</v>
      </c>
      <c r="S10" s="103">
        <f t="shared" si="4"/>
        <v>0.45089901036201541</v>
      </c>
      <c r="T10" s="103">
        <f t="shared" si="5"/>
        <v>0.4847833773557304</v>
      </c>
      <c r="U10" s="103">
        <f t="shared" si="6"/>
        <v>0.64795736348648869</v>
      </c>
      <c r="V10" s="103">
        <f t="shared" si="7"/>
        <v>0.52476566616752851</v>
      </c>
    </row>
    <row r="11" spans="1:22" x14ac:dyDescent="0.2">
      <c r="A11" s="35"/>
      <c r="B11" s="36" t="s">
        <v>14</v>
      </c>
      <c r="C11" s="82">
        <v>0.47870841390061197</v>
      </c>
      <c r="D11" s="82">
        <v>0.47820574112200642</v>
      </c>
      <c r="E11" s="82">
        <v>0.56242188636964785</v>
      </c>
      <c r="F11" s="82">
        <v>0.58066007274963627</v>
      </c>
      <c r="G11" s="82">
        <v>0.55562126190036953</v>
      </c>
      <c r="H11" s="82">
        <v>0.53228674794175268</v>
      </c>
      <c r="I11" s="82">
        <v>0.29322273641057467</v>
      </c>
      <c r="J11" s="82">
        <v>0.46956293715133118</v>
      </c>
      <c r="L11" s="102"/>
      <c r="N11" s="102"/>
      <c r="O11" s="103">
        <f t="shared" si="0"/>
        <v>0.52129158609938808</v>
      </c>
      <c r="P11" s="103">
        <f t="shared" si="1"/>
        <v>0.52179425887799358</v>
      </c>
      <c r="Q11" s="103">
        <f t="shared" si="2"/>
        <v>0.43757811363035215</v>
      </c>
      <c r="R11" s="103">
        <f t="shared" si="3"/>
        <v>0.41933992725036373</v>
      </c>
      <c r="S11" s="103">
        <f t="shared" si="4"/>
        <v>0.44437873809963047</v>
      </c>
      <c r="T11" s="103">
        <f t="shared" si="5"/>
        <v>0.46771325205824732</v>
      </c>
      <c r="U11" s="103">
        <f t="shared" si="6"/>
        <v>0.70677726358942539</v>
      </c>
      <c r="V11" s="103">
        <f t="shared" si="7"/>
        <v>0.53043706284866876</v>
      </c>
    </row>
    <row r="12" spans="1:22" x14ac:dyDescent="0.2">
      <c r="A12" s="35"/>
      <c r="B12" s="36" t="s">
        <v>15</v>
      </c>
      <c r="C12" s="82">
        <v>0.48296713006962161</v>
      </c>
      <c r="D12" s="82">
        <v>0.48214991851856376</v>
      </c>
      <c r="E12" s="82">
        <v>0.55494266714782525</v>
      </c>
      <c r="F12" s="82">
        <v>0.60473773391062025</v>
      </c>
      <c r="G12" s="82">
        <v>0.54201140958175598</v>
      </c>
      <c r="H12" s="82">
        <v>0.53456968606711397</v>
      </c>
      <c r="I12" s="82">
        <v>0.29158754250424118</v>
      </c>
      <c r="J12" s="82">
        <v>0.45594413799364031</v>
      </c>
      <c r="L12" s="102"/>
      <c r="N12" s="102"/>
      <c r="O12" s="103">
        <f t="shared" si="0"/>
        <v>0.51703286993037834</v>
      </c>
      <c r="P12" s="103">
        <f t="shared" si="1"/>
        <v>0.51785008148143619</v>
      </c>
      <c r="Q12" s="103">
        <f t="shared" si="2"/>
        <v>0.44505733285217475</v>
      </c>
      <c r="R12" s="103">
        <f t="shared" si="3"/>
        <v>0.39526226608937975</v>
      </c>
      <c r="S12" s="103">
        <f t="shared" si="4"/>
        <v>0.45798859041824402</v>
      </c>
      <c r="T12" s="103">
        <f t="shared" si="5"/>
        <v>0.46543031393288603</v>
      </c>
      <c r="U12" s="103">
        <f t="shared" si="6"/>
        <v>0.70841245749575887</v>
      </c>
      <c r="V12" s="103">
        <f t="shared" si="7"/>
        <v>0.54405586200635969</v>
      </c>
    </row>
    <row r="13" spans="1:22" x14ac:dyDescent="0.2">
      <c r="A13" s="35"/>
      <c r="B13" s="36" t="s">
        <v>16</v>
      </c>
      <c r="C13" s="82">
        <v>0.4940867907626017</v>
      </c>
      <c r="D13" s="82">
        <v>0.49616407304860538</v>
      </c>
      <c r="E13" s="82">
        <v>0.57139379550617886</v>
      </c>
      <c r="F13" s="82">
        <v>0.56697226219193286</v>
      </c>
      <c r="G13" s="82">
        <v>0.55210979415580519</v>
      </c>
      <c r="H13" s="82">
        <v>0.54353790309786565</v>
      </c>
      <c r="I13" s="82">
        <v>0.26402144092766061</v>
      </c>
      <c r="J13" s="82">
        <v>0.46284640986638853</v>
      </c>
      <c r="L13" s="102"/>
      <c r="N13" s="102"/>
      <c r="O13" s="103">
        <f t="shared" si="0"/>
        <v>0.50591320923739835</v>
      </c>
      <c r="P13" s="103">
        <f t="shared" si="1"/>
        <v>0.50383592695139456</v>
      </c>
      <c r="Q13" s="103">
        <f t="shared" si="2"/>
        <v>0.42860620449382114</v>
      </c>
      <c r="R13" s="103">
        <f t="shared" si="3"/>
        <v>0.43302773780806714</v>
      </c>
      <c r="S13" s="103">
        <f t="shared" si="4"/>
        <v>0.44789020584419481</v>
      </c>
      <c r="T13" s="103">
        <f t="shared" si="5"/>
        <v>0.45646209690213435</v>
      </c>
      <c r="U13" s="103">
        <f t="shared" si="6"/>
        <v>0.73597855907233933</v>
      </c>
      <c r="V13" s="103">
        <f t="shared" si="7"/>
        <v>0.53715359013361152</v>
      </c>
    </row>
    <row r="14" spans="1:22" x14ac:dyDescent="0.2">
      <c r="A14" s="35"/>
      <c r="B14" s="36" t="s">
        <v>17</v>
      </c>
      <c r="C14" s="82">
        <v>0.53327890879794571</v>
      </c>
      <c r="D14" s="82">
        <v>0.53267166552409084</v>
      </c>
      <c r="E14" s="82">
        <v>0.57176298320843977</v>
      </c>
      <c r="F14" s="82">
        <v>0.62007766456169944</v>
      </c>
      <c r="G14" s="82">
        <v>0.54640369721082627</v>
      </c>
      <c r="H14" s="82">
        <v>0.54692468289877394</v>
      </c>
      <c r="I14" s="82">
        <v>0.26351232641173633</v>
      </c>
      <c r="J14" s="82">
        <v>0.45690009762226425</v>
      </c>
      <c r="L14" s="102"/>
      <c r="N14" s="102"/>
      <c r="O14" s="103">
        <f t="shared" si="0"/>
        <v>0.46672109120205429</v>
      </c>
      <c r="P14" s="103">
        <f t="shared" si="1"/>
        <v>0.46732833447590916</v>
      </c>
      <c r="Q14" s="103">
        <f t="shared" si="2"/>
        <v>0.42823701679156023</v>
      </c>
      <c r="R14" s="103">
        <f t="shared" si="3"/>
        <v>0.37992233543830056</v>
      </c>
      <c r="S14" s="103">
        <f t="shared" si="4"/>
        <v>0.45359630278917373</v>
      </c>
      <c r="T14" s="103">
        <f t="shared" si="5"/>
        <v>0.45307531710122606</v>
      </c>
      <c r="U14" s="103">
        <f t="shared" si="6"/>
        <v>0.73648767358826372</v>
      </c>
      <c r="V14" s="103">
        <f t="shared" si="7"/>
        <v>0.54309990237773575</v>
      </c>
    </row>
    <row r="15" spans="1:22" x14ac:dyDescent="0.2">
      <c r="A15" s="35"/>
      <c r="B15" s="36" t="s">
        <v>18</v>
      </c>
      <c r="C15" s="82">
        <v>0.51694743737969795</v>
      </c>
      <c r="D15" s="82">
        <v>0.51637794947910876</v>
      </c>
      <c r="E15" s="82">
        <v>0.55067309495139538</v>
      </c>
      <c r="F15" s="82">
        <v>0.5811057929751291</v>
      </c>
      <c r="G15" s="82">
        <v>0.53087673859463269</v>
      </c>
      <c r="H15" s="82">
        <v>0.53082476716259031</v>
      </c>
      <c r="I15" s="82">
        <v>0.24654831461196089</v>
      </c>
      <c r="J15" s="82">
        <v>0.44674158967181021</v>
      </c>
      <c r="L15" s="102"/>
      <c r="N15" s="102"/>
      <c r="O15" s="103">
        <f t="shared" si="0"/>
        <v>0.48305256262030205</v>
      </c>
      <c r="P15" s="103">
        <f t="shared" si="1"/>
        <v>0.48362205052089124</v>
      </c>
      <c r="Q15" s="103">
        <f t="shared" si="2"/>
        <v>0.44932690504860462</v>
      </c>
      <c r="R15" s="103">
        <f t="shared" si="3"/>
        <v>0.4188942070248709</v>
      </c>
      <c r="S15" s="103">
        <f t="shared" si="4"/>
        <v>0.46912326140536731</v>
      </c>
      <c r="T15" s="103">
        <f t="shared" si="5"/>
        <v>0.46917523283740969</v>
      </c>
      <c r="U15" s="103">
        <f t="shared" si="6"/>
        <v>0.75345168538803908</v>
      </c>
      <c r="V15" s="103">
        <f t="shared" si="7"/>
        <v>0.55325841032818979</v>
      </c>
    </row>
    <row r="16" spans="1:22" x14ac:dyDescent="0.2">
      <c r="A16" s="35"/>
      <c r="B16" s="36" t="s">
        <v>19</v>
      </c>
      <c r="C16" s="82">
        <v>0.56750120397492576</v>
      </c>
      <c r="D16" s="82">
        <v>0.57504950011005984</v>
      </c>
      <c r="E16" s="82">
        <v>0.59795720506836281</v>
      </c>
      <c r="F16" s="82">
        <v>0.62474171792457911</v>
      </c>
      <c r="G16" s="82">
        <v>0.56666708214274464</v>
      </c>
      <c r="H16" s="82">
        <v>0.57029477668013762</v>
      </c>
      <c r="I16" s="82">
        <v>0.28549821065813158</v>
      </c>
      <c r="J16" s="82">
        <v>0.48580637510265423</v>
      </c>
      <c r="L16" s="102"/>
      <c r="N16" s="102"/>
      <c r="O16" s="103">
        <f t="shared" si="0"/>
        <v>0.43249879602507424</v>
      </c>
      <c r="P16" s="103">
        <f t="shared" si="1"/>
        <v>0.42495049988994016</v>
      </c>
      <c r="Q16" s="103">
        <f t="shared" si="2"/>
        <v>0.40204279493163719</v>
      </c>
      <c r="R16" s="103">
        <f t="shared" si="3"/>
        <v>0.37525828207542089</v>
      </c>
      <c r="S16" s="103">
        <f t="shared" si="4"/>
        <v>0.43333291785725536</v>
      </c>
      <c r="T16" s="103">
        <f t="shared" si="5"/>
        <v>0.42970522331986238</v>
      </c>
      <c r="U16" s="103">
        <f t="shared" si="6"/>
        <v>0.71450178934186837</v>
      </c>
      <c r="V16" s="103">
        <f t="shared" si="7"/>
        <v>0.51419362489734577</v>
      </c>
    </row>
    <row r="17" spans="1:22" x14ac:dyDescent="0.2">
      <c r="A17" s="35"/>
      <c r="B17" s="36" t="s">
        <v>20</v>
      </c>
      <c r="C17" s="82">
        <v>0.46915999229978633</v>
      </c>
      <c r="D17" s="82">
        <v>0.47036685319263366</v>
      </c>
      <c r="E17" s="82">
        <v>0.5196902028661986</v>
      </c>
      <c r="F17" s="82">
        <v>0.52047387580699989</v>
      </c>
      <c r="G17" s="82">
        <v>0.49587482758588802</v>
      </c>
      <c r="H17" s="82">
        <v>0.5148141618732327</v>
      </c>
      <c r="I17" s="82">
        <v>0.26178227544981458</v>
      </c>
      <c r="J17" s="82">
        <v>0.42045532458130613</v>
      </c>
      <c r="L17" s="102"/>
      <c r="N17" s="102"/>
      <c r="O17" s="103">
        <f t="shared" si="0"/>
        <v>0.53084000770021367</v>
      </c>
      <c r="P17" s="103">
        <f t="shared" si="1"/>
        <v>0.52963314680736628</v>
      </c>
      <c r="Q17" s="103">
        <f t="shared" si="2"/>
        <v>0.4803097971338014</v>
      </c>
      <c r="R17" s="103">
        <f t="shared" si="3"/>
        <v>0.47952612419300011</v>
      </c>
      <c r="S17" s="103">
        <f t="shared" si="4"/>
        <v>0.50412517241411203</v>
      </c>
      <c r="T17" s="103">
        <f t="shared" si="5"/>
        <v>0.4851858381267673</v>
      </c>
      <c r="U17" s="103">
        <f t="shared" si="6"/>
        <v>0.73821772455018542</v>
      </c>
      <c r="V17" s="103">
        <f t="shared" si="7"/>
        <v>0.57954467541869392</v>
      </c>
    </row>
    <row r="18" spans="1:22" x14ac:dyDescent="0.2">
      <c r="A18" s="35"/>
      <c r="B18" s="36" t="s">
        <v>21</v>
      </c>
      <c r="C18" s="82">
        <v>0.54345772631658995</v>
      </c>
      <c r="D18" s="82">
        <v>0.54302558818230295</v>
      </c>
      <c r="E18" s="82">
        <v>0.59714901761642003</v>
      </c>
      <c r="F18" s="82">
        <v>0.59895074867264231</v>
      </c>
      <c r="G18" s="82">
        <v>0.56861520290117173</v>
      </c>
      <c r="H18" s="82">
        <v>0.58467578444462509</v>
      </c>
      <c r="I18" s="82">
        <v>0.31710086757402839</v>
      </c>
      <c r="J18" s="82">
        <v>0.49014663212411158</v>
      </c>
      <c r="L18" s="102"/>
      <c r="N18" s="102"/>
      <c r="O18" s="103">
        <f t="shared" si="0"/>
        <v>0.45654227368341005</v>
      </c>
      <c r="P18" s="103">
        <f t="shared" si="1"/>
        <v>0.45697441181769705</v>
      </c>
      <c r="Q18" s="103">
        <f t="shared" si="2"/>
        <v>0.40285098238357997</v>
      </c>
      <c r="R18" s="103">
        <f t="shared" si="3"/>
        <v>0.40104925132735769</v>
      </c>
      <c r="S18" s="103">
        <f t="shared" si="4"/>
        <v>0.43138479709882827</v>
      </c>
      <c r="T18" s="103">
        <f t="shared" si="5"/>
        <v>0.41532421555537491</v>
      </c>
      <c r="U18" s="103">
        <f t="shared" si="6"/>
        <v>0.68289913242597167</v>
      </c>
      <c r="V18" s="103">
        <f t="shared" si="7"/>
        <v>0.50985336787588842</v>
      </c>
    </row>
    <row r="19" spans="1:22" x14ac:dyDescent="0.2">
      <c r="A19" s="35"/>
      <c r="B19" s="36" t="s">
        <v>22</v>
      </c>
      <c r="C19" s="82">
        <v>0.48189588647805004</v>
      </c>
      <c r="D19" s="82">
        <v>0.4831012383658721</v>
      </c>
      <c r="E19" s="82">
        <v>0.55887178846785768</v>
      </c>
      <c r="F19" s="82">
        <v>0.57868054214088271</v>
      </c>
      <c r="G19" s="82">
        <v>0.54286688307187447</v>
      </c>
      <c r="H19" s="82">
        <v>0.5492887484559793</v>
      </c>
      <c r="I19" s="82">
        <v>0.36270238484819783</v>
      </c>
      <c r="J19" s="82">
        <v>0.46527323687701022</v>
      </c>
      <c r="L19" s="102"/>
      <c r="N19" s="102"/>
      <c r="O19" s="103">
        <f t="shared" si="0"/>
        <v>0.51810411352194996</v>
      </c>
      <c r="P19" s="103">
        <f t="shared" si="1"/>
        <v>0.51689876163412785</v>
      </c>
      <c r="Q19" s="103">
        <f t="shared" si="2"/>
        <v>0.44112821153214232</v>
      </c>
      <c r="R19" s="103">
        <f t="shared" si="3"/>
        <v>0.42131945785911729</v>
      </c>
      <c r="S19" s="103">
        <f t="shared" si="4"/>
        <v>0.45713311692812553</v>
      </c>
      <c r="T19" s="103">
        <f t="shared" si="5"/>
        <v>0.4507112515440207</v>
      </c>
      <c r="U19" s="103">
        <f t="shared" si="6"/>
        <v>0.63729761515180217</v>
      </c>
      <c r="V19" s="103">
        <f t="shared" si="7"/>
        <v>0.53472676312298972</v>
      </c>
    </row>
    <row r="20" spans="1:22" x14ac:dyDescent="0.2">
      <c r="A20" s="35"/>
      <c r="B20" s="36" t="s">
        <v>23</v>
      </c>
      <c r="C20" s="82">
        <v>0.45258526233331114</v>
      </c>
      <c r="D20" s="82">
        <v>0.45257090808532507</v>
      </c>
      <c r="E20" s="82">
        <v>0.51767917354926984</v>
      </c>
      <c r="F20" s="82">
        <v>0.52553730358012374</v>
      </c>
      <c r="G20" s="82">
        <v>0.50318064697978548</v>
      </c>
      <c r="H20" s="82">
        <v>0.49800480636444744</v>
      </c>
      <c r="I20" s="82">
        <v>0.33068068230511272</v>
      </c>
      <c r="J20" s="82">
        <v>0.42385565209408438</v>
      </c>
      <c r="L20" s="102"/>
      <c r="N20" s="102"/>
      <c r="O20" s="103">
        <f t="shared" si="0"/>
        <v>0.54741473766668891</v>
      </c>
      <c r="P20" s="103">
        <f t="shared" si="1"/>
        <v>0.54742909191467493</v>
      </c>
      <c r="Q20" s="103">
        <f t="shared" si="2"/>
        <v>0.48232082645073016</v>
      </c>
      <c r="R20" s="103">
        <f t="shared" si="3"/>
        <v>0.47446269641987626</v>
      </c>
      <c r="S20" s="103">
        <f t="shared" si="4"/>
        <v>0.49681935302021452</v>
      </c>
      <c r="T20" s="103">
        <f t="shared" si="5"/>
        <v>0.50199519363555256</v>
      </c>
      <c r="U20" s="103">
        <f t="shared" si="6"/>
        <v>0.66931931769488728</v>
      </c>
      <c r="V20" s="103">
        <f t="shared" si="7"/>
        <v>0.57614434790591562</v>
      </c>
    </row>
    <row r="21" spans="1:22" x14ac:dyDescent="0.2">
      <c r="A21" s="35"/>
      <c r="J21" s="104"/>
    </row>
    <row r="22" spans="1:22" x14ac:dyDescent="0.2">
      <c r="A22" s="35"/>
    </row>
    <row r="23" spans="1:22" x14ac:dyDescent="0.2">
      <c r="A23" s="34" t="s">
        <v>24</v>
      </c>
      <c r="B23" s="98" t="s">
        <v>149</v>
      </c>
    </row>
    <row r="24" spans="1:22" x14ac:dyDescent="0.2">
      <c r="A24" s="34"/>
      <c r="B24" s="98"/>
    </row>
    <row r="25" spans="1:22" x14ac:dyDescent="0.2">
      <c r="A25" s="35"/>
      <c r="D25" s="55" t="str">
        <f>D7</f>
        <v>RS TOU - BGS</v>
      </c>
      <c r="P25" s="30" t="s">
        <v>148</v>
      </c>
    </row>
    <row r="26" spans="1:22" x14ac:dyDescent="0.2">
      <c r="A26" s="35"/>
      <c r="D26" s="55"/>
      <c r="P26" s="12"/>
    </row>
    <row r="27" spans="1:22" x14ac:dyDescent="0.2">
      <c r="A27" s="35"/>
      <c r="B27" s="36" t="s">
        <v>12</v>
      </c>
      <c r="D27" s="82">
        <v>0.33218086359067484</v>
      </c>
      <c r="F27" s="82"/>
      <c r="P27" s="103">
        <f t="shared" ref="P27:P38" si="8">1-D27</f>
        <v>0.66781913640932511</v>
      </c>
    </row>
    <row r="28" spans="1:22" x14ac:dyDescent="0.2">
      <c r="A28" s="35"/>
      <c r="B28" s="36" t="s">
        <v>13</v>
      </c>
      <c r="D28" s="82">
        <v>0.32312734467508458</v>
      </c>
      <c r="F28" s="82"/>
      <c r="P28" s="103">
        <f t="shared" si="8"/>
        <v>0.67687265532491536</v>
      </c>
    </row>
    <row r="29" spans="1:22" x14ac:dyDescent="0.2">
      <c r="A29" s="35"/>
      <c r="B29" s="36" t="s">
        <v>14</v>
      </c>
      <c r="D29" s="82">
        <v>0.31067381192024157</v>
      </c>
      <c r="F29" s="82"/>
      <c r="P29" s="103">
        <f t="shared" si="8"/>
        <v>0.68932618807975843</v>
      </c>
    </row>
    <row r="30" spans="1:22" x14ac:dyDescent="0.2">
      <c r="A30" s="35"/>
      <c r="B30" s="36" t="s">
        <v>15</v>
      </c>
      <c r="D30" s="82">
        <v>0.31197565152321882</v>
      </c>
      <c r="F30" s="82"/>
      <c r="P30" s="103">
        <f t="shared" si="8"/>
        <v>0.68802434847678118</v>
      </c>
    </row>
    <row r="31" spans="1:22" x14ac:dyDescent="0.2">
      <c r="A31" s="35"/>
      <c r="B31" s="36" t="s">
        <v>16</v>
      </c>
      <c r="D31" s="82">
        <v>0.31114444724366169</v>
      </c>
      <c r="F31" s="82"/>
      <c r="P31" s="103">
        <f t="shared" si="8"/>
        <v>0.68885555275633825</v>
      </c>
    </row>
    <row r="32" spans="1:22" x14ac:dyDescent="0.2">
      <c r="A32" s="35"/>
      <c r="B32" s="36" t="s">
        <v>17</v>
      </c>
      <c r="D32" s="82">
        <v>0.22403111744627097</v>
      </c>
      <c r="F32" s="82"/>
      <c r="P32" s="103">
        <f t="shared" si="8"/>
        <v>0.77596888255372898</v>
      </c>
    </row>
    <row r="33" spans="1:25" x14ac:dyDescent="0.2">
      <c r="A33" s="35"/>
      <c r="B33" s="36" t="s">
        <v>18</v>
      </c>
      <c r="D33" s="82">
        <v>0.36197375099519141</v>
      </c>
      <c r="F33" s="82"/>
      <c r="P33" s="103">
        <f t="shared" si="8"/>
        <v>0.63802624900480853</v>
      </c>
    </row>
    <row r="34" spans="1:25" x14ac:dyDescent="0.2">
      <c r="A34" s="35"/>
      <c r="B34" s="36" t="s">
        <v>19</v>
      </c>
      <c r="D34" s="82">
        <v>0.37136787706374152</v>
      </c>
      <c r="F34" s="82"/>
      <c r="P34" s="103">
        <f t="shared" si="8"/>
        <v>0.62863212293625848</v>
      </c>
    </row>
    <row r="35" spans="1:25" x14ac:dyDescent="0.2">
      <c r="A35" s="35"/>
      <c r="B35" s="36" t="s">
        <v>20</v>
      </c>
      <c r="D35" s="82">
        <v>0.35789571329086867</v>
      </c>
      <c r="F35" s="82"/>
      <c r="P35" s="103">
        <f t="shared" si="8"/>
        <v>0.64210428670913133</v>
      </c>
    </row>
    <row r="36" spans="1:25" x14ac:dyDescent="0.2">
      <c r="A36" s="35"/>
      <c r="B36" s="36" t="s">
        <v>21</v>
      </c>
      <c r="D36" s="82">
        <v>0.2216347135009504</v>
      </c>
      <c r="F36" s="82"/>
      <c r="P36" s="103">
        <f t="shared" si="8"/>
        <v>0.77836528649904957</v>
      </c>
    </row>
    <row r="37" spans="1:25" x14ac:dyDescent="0.2">
      <c r="A37" s="35"/>
      <c r="B37" s="36" t="s">
        <v>22</v>
      </c>
      <c r="D37" s="82">
        <v>0.32721899229427692</v>
      </c>
      <c r="F37" s="82"/>
      <c r="P37" s="103">
        <f t="shared" si="8"/>
        <v>0.67278100770572302</v>
      </c>
    </row>
    <row r="38" spans="1:25" x14ac:dyDescent="0.2">
      <c r="A38" s="35"/>
      <c r="B38" s="36" t="s">
        <v>23</v>
      </c>
      <c r="D38" s="82">
        <v>0.32932197848724726</v>
      </c>
      <c r="F38" s="82"/>
      <c r="P38" s="103">
        <f t="shared" si="8"/>
        <v>0.6706780215127528</v>
      </c>
    </row>
    <row r="39" spans="1:25" x14ac:dyDescent="0.2">
      <c r="A39" s="35"/>
    </row>
    <row r="40" spans="1:25" x14ac:dyDescent="0.2">
      <c r="A40" s="35"/>
    </row>
    <row r="41" spans="1:25" x14ac:dyDescent="0.2">
      <c r="A41" s="34" t="s">
        <v>32</v>
      </c>
      <c r="B41" s="105" t="s">
        <v>25</v>
      </c>
      <c r="O41" s="3" t="s">
        <v>26</v>
      </c>
      <c r="P41" s="3"/>
    </row>
    <row r="42" spans="1:25" x14ac:dyDescent="0.2">
      <c r="A42" s="35"/>
      <c r="B42" s="129" t="s">
        <v>27</v>
      </c>
    </row>
    <row r="43" spans="1:25" x14ac:dyDescent="0.2">
      <c r="A43" s="35"/>
      <c r="B43" s="4" t="s">
        <v>28</v>
      </c>
      <c r="C43" s="55" t="s">
        <v>5</v>
      </c>
      <c r="D43" s="55" t="str">
        <f>D7</f>
        <v>RS TOU - BGS</v>
      </c>
      <c r="E43" s="55" t="s">
        <v>6</v>
      </c>
      <c r="F43" s="55" t="s">
        <v>7</v>
      </c>
      <c r="G43" s="55" t="s">
        <v>8</v>
      </c>
      <c r="H43" s="55" t="s">
        <v>9</v>
      </c>
      <c r="I43" s="55" t="s">
        <v>10</v>
      </c>
      <c r="J43" s="55" t="s">
        <v>11</v>
      </c>
      <c r="K43" s="55" t="s">
        <v>29</v>
      </c>
      <c r="L43" s="30"/>
      <c r="O43" s="30" t="s">
        <v>5</v>
      </c>
      <c r="P43" s="30" t="s">
        <v>148</v>
      </c>
      <c r="Q43" s="30" t="s">
        <v>6</v>
      </c>
      <c r="R43" s="30" t="s">
        <v>7</v>
      </c>
      <c r="S43" s="30" t="s">
        <v>8</v>
      </c>
      <c r="T43" s="30" t="s">
        <v>9</v>
      </c>
      <c r="U43" s="30" t="s">
        <v>10</v>
      </c>
      <c r="V43" s="30" t="s">
        <v>11</v>
      </c>
      <c r="X43" s="30"/>
      <c r="Y43" s="30"/>
    </row>
    <row r="44" spans="1:25" x14ac:dyDescent="0.2">
      <c r="A44" s="35"/>
    </row>
    <row r="45" spans="1:25" x14ac:dyDescent="0.2">
      <c r="A45" s="35"/>
      <c r="B45" s="36">
        <v>41640</v>
      </c>
      <c r="C45" s="50">
        <v>436627.59772788896</v>
      </c>
      <c r="D45" s="50">
        <v>468.10227211042502</v>
      </c>
      <c r="E45" s="50">
        <v>107618.77156938174</v>
      </c>
      <c r="F45" s="50">
        <v>693.91776411991714</v>
      </c>
      <c r="G45" s="50">
        <v>160198.74369873625</v>
      </c>
      <c r="H45" s="50">
        <v>42149.993636587824</v>
      </c>
      <c r="I45" s="50">
        <v>7873.3800574148636</v>
      </c>
      <c r="J45" s="50">
        <v>1070.4282592115501</v>
      </c>
      <c r="K45" s="50">
        <f t="shared" ref="K45:K56" si="9">SUM(C45:J45)</f>
        <v>756700.93498545152</v>
      </c>
      <c r="L45" s="50"/>
      <c r="N45" s="28" t="s">
        <v>30</v>
      </c>
      <c r="O45" s="43">
        <f>SUM(C45:C49,C54:C56)</f>
        <v>2844539.2490643114</v>
      </c>
      <c r="P45" s="43">
        <f>SUM(D45:D49,D54:D56)</f>
        <v>3107.2309356821888</v>
      </c>
      <c r="Q45" s="43">
        <f t="shared" ref="Q45:S45" si="10">SUM(E45:E49,E54:E56)</f>
        <v>730815.92880504951</v>
      </c>
      <c r="R45" s="43">
        <f t="shared" si="10"/>
        <v>5896.5028848151105</v>
      </c>
      <c r="S45" s="43">
        <f t="shared" si="10"/>
        <v>1138336.1071272891</v>
      </c>
      <c r="T45" s="43">
        <f>SUM(H45:H49,H54:H56)</f>
        <v>468503.9563092927</v>
      </c>
      <c r="U45" s="43">
        <f>SUM(I45:I49,I54:I56)</f>
        <v>55004.461759605343</v>
      </c>
      <c r="V45" s="43">
        <f>SUM(J45:J49,J54:J56)</f>
        <v>8544.7191446250399</v>
      </c>
      <c r="W45" s="43">
        <f>SUM(O45:V45)</f>
        <v>5254748.1560306698</v>
      </c>
      <c r="X45" s="130"/>
      <c r="Y45" s="130"/>
    </row>
    <row r="46" spans="1:25" x14ac:dyDescent="0.2">
      <c r="A46" s="35"/>
      <c r="B46" s="36">
        <v>41671</v>
      </c>
      <c r="C46" s="50">
        <v>399804.55825837399</v>
      </c>
      <c r="D46" s="50">
        <v>764.44174162482295</v>
      </c>
      <c r="E46" s="50">
        <v>97727.848201186236</v>
      </c>
      <c r="F46" s="50">
        <v>817.26073047656564</v>
      </c>
      <c r="G46" s="50">
        <v>167313.50206374051</v>
      </c>
      <c r="H46" s="50">
        <v>43250.428129336404</v>
      </c>
      <c r="I46" s="50">
        <v>7136.8367477340144</v>
      </c>
      <c r="J46" s="50">
        <v>1078.3607522847899</v>
      </c>
      <c r="K46" s="50">
        <f t="shared" si="9"/>
        <v>717893.23662475729</v>
      </c>
      <c r="L46" s="50"/>
      <c r="N46" s="5" t="s">
        <v>146</v>
      </c>
      <c r="P46" s="43">
        <f>SUMPRODUCT($D$45:$D$49,$D$9:$D$13)+SUMPRODUCT($D$54:$D$56,$D$18:$D$20)</f>
        <v>1515.5112259516923</v>
      </c>
      <c r="W46" s="43"/>
      <c r="X46" s="130"/>
      <c r="Y46" s="130"/>
    </row>
    <row r="47" spans="1:25" x14ac:dyDescent="0.2">
      <c r="A47" s="35"/>
      <c r="B47" s="36">
        <v>41699</v>
      </c>
      <c r="C47" s="50">
        <v>366162.61714668828</v>
      </c>
      <c r="D47" s="50">
        <v>418.07285331092999</v>
      </c>
      <c r="E47" s="50">
        <v>93209.813080886932</v>
      </c>
      <c r="F47" s="50">
        <v>707.25636955041045</v>
      </c>
      <c r="G47" s="50">
        <v>36946.808060456176</v>
      </c>
      <c r="H47" s="50">
        <v>167465.4598764769</v>
      </c>
      <c r="I47" s="50">
        <v>6839.8469270627156</v>
      </c>
      <c r="J47" s="50">
        <v>1083.1714067493599</v>
      </c>
      <c r="K47" s="50">
        <f t="shared" si="9"/>
        <v>672833.04572118178</v>
      </c>
      <c r="L47" s="50"/>
      <c r="N47" s="5" t="s">
        <v>147</v>
      </c>
      <c r="P47" s="43">
        <f>SUMPRODUCT($D$45:$D$49,$P$9:$P$13)+SUMPRODUCT($D$54:$D$56,$P$18:$P$20)</f>
        <v>1591.7197097304963</v>
      </c>
      <c r="X47" s="130"/>
      <c r="Y47" s="130"/>
    </row>
    <row r="48" spans="1:25" x14ac:dyDescent="0.2">
      <c r="A48" s="35"/>
      <c r="B48" s="36">
        <v>41730</v>
      </c>
      <c r="C48" s="50">
        <v>326317.78575682733</v>
      </c>
      <c r="D48" s="50">
        <v>342.10424317181099</v>
      </c>
      <c r="E48" s="50">
        <v>82040.954488361749</v>
      </c>
      <c r="F48" s="50">
        <v>666.7042673019256</v>
      </c>
      <c r="G48" s="50">
        <v>152483.89321313909</v>
      </c>
      <c r="H48" s="50">
        <v>41338.186241614254</v>
      </c>
      <c r="I48" s="50">
        <v>5950.0783225251234</v>
      </c>
      <c r="J48" s="50">
        <v>1102.14495359545</v>
      </c>
      <c r="K48" s="50">
        <f t="shared" si="9"/>
        <v>610241.85148653679</v>
      </c>
      <c r="L48" s="50"/>
      <c r="N48" s="28" t="s">
        <v>31</v>
      </c>
      <c r="O48" s="43">
        <f>+SUM(C50:C53)</f>
        <v>1947586.9871911057</v>
      </c>
      <c r="P48" s="43">
        <f>+SUM(D50:D53)</f>
        <v>1294.3328088912169</v>
      </c>
      <c r="Q48" s="43">
        <f t="shared" ref="Q48:S48" si="11">+SUM(E50:E53)</f>
        <v>502960.59835039242</v>
      </c>
      <c r="R48" s="43">
        <f t="shared" si="11"/>
        <v>5393.7810022989197</v>
      </c>
      <c r="S48" s="43">
        <f t="shared" si="11"/>
        <v>741915.4716263375</v>
      </c>
      <c r="T48" s="43">
        <f>+SUM(H50:H53)</f>
        <v>197690.98175640695</v>
      </c>
      <c r="U48" s="43">
        <f>+SUM(I50:I53)</f>
        <v>21619.866463909086</v>
      </c>
      <c r="V48" s="43">
        <f>+SUM(J50:J53)</f>
        <v>4243.932872273218</v>
      </c>
      <c r="W48" s="43">
        <f>SUM(O48:V48)</f>
        <v>3422705.9520716146</v>
      </c>
      <c r="X48" s="130"/>
      <c r="Y48" s="130"/>
    </row>
    <row r="49" spans="1:25" x14ac:dyDescent="0.2">
      <c r="A49" s="35"/>
      <c r="B49" s="36">
        <v>41760</v>
      </c>
      <c r="C49" s="50">
        <v>294982.42308220599</v>
      </c>
      <c r="D49" s="50">
        <v>252.51691779344202</v>
      </c>
      <c r="E49" s="50">
        <v>78589.632845379412</v>
      </c>
      <c r="F49" s="50">
        <v>788.26761249238575</v>
      </c>
      <c r="G49" s="50">
        <v>146718.76849179569</v>
      </c>
      <c r="H49" s="50">
        <v>41290.441273361488</v>
      </c>
      <c r="I49" s="50">
        <v>5148.9522123710813</v>
      </c>
      <c r="J49" s="50">
        <v>1003.0141654135</v>
      </c>
      <c r="K49" s="50">
        <f t="shared" si="9"/>
        <v>568774.0166008129</v>
      </c>
      <c r="L49" s="50"/>
      <c r="N49" s="5" t="s">
        <v>146</v>
      </c>
      <c r="P49" s="43">
        <f>SUMPRODUCT($D$50:$D$53,$D$14:$D$17)</f>
        <v>679.3131365750794</v>
      </c>
      <c r="X49" s="130"/>
      <c r="Y49" s="130"/>
    </row>
    <row r="50" spans="1:25" x14ac:dyDescent="0.2">
      <c r="A50" s="131"/>
      <c r="B50" s="36">
        <v>41426</v>
      </c>
      <c r="C50" s="50">
        <v>349932.73661148857</v>
      </c>
      <c r="D50" s="50">
        <v>252.29338851069889</v>
      </c>
      <c r="E50" s="50">
        <v>97115.637019097281</v>
      </c>
      <c r="F50" s="50">
        <v>1167.8697475952606</v>
      </c>
      <c r="G50" s="50">
        <v>174651.14868863582</v>
      </c>
      <c r="H50" s="50">
        <v>49314.437047185114</v>
      </c>
      <c r="I50" s="50">
        <v>4746.7638080662728</v>
      </c>
      <c r="J50" s="50">
        <v>1022.96599570568</v>
      </c>
      <c r="K50" s="50">
        <f t="shared" si="9"/>
        <v>678203.85230628471</v>
      </c>
      <c r="L50" s="50"/>
      <c r="N50" s="5" t="s">
        <v>147</v>
      </c>
      <c r="P50" s="43">
        <f>SUMPRODUCT($D$50:$D$53,$P$14:$P$17)</f>
        <v>615.01967231613753</v>
      </c>
      <c r="Q50" s="43"/>
      <c r="R50" s="43"/>
      <c r="S50" s="43"/>
      <c r="T50" s="43"/>
      <c r="U50" s="43"/>
      <c r="V50" s="43"/>
      <c r="W50" s="43">
        <f>W45+W48</f>
        <v>8677454.1081022844</v>
      </c>
      <c r="X50" s="130"/>
      <c r="Y50" s="130"/>
    </row>
    <row r="51" spans="1:25" x14ac:dyDescent="0.2">
      <c r="A51" s="35"/>
      <c r="B51" s="36">
        <v>41456</v>
      </c>
      <c r="C51" s="50">
        <v>518651.92354351631</v>
      </c>
      <c r="D51" s="50">
        <v>336.346456483395</v>
      </c>
      <c r="E51" s="50">
        <v>128137.02996913955</v>
      </c>
      <c r="F51" s="50">
        <v>1530.0430803065287</v>
      </c>
      <c r="G51" s="50">
        <v>191302.85006989315</v>
      </c>
      <c r="H51" s="50">
        <v>49175.789497481841</v>
      </c>
      <c r="I51" s="50">
        <v>4893.8687293012208</v>
      </c>
      <c r="J51" s="50">
        <v>1021.03558670267</v>
      </c>
      <c r="K51" s="50">
        <f t="shared" si="9"/>
        <v>895048.88693282474</v>
      </c>
      <c r="L51" s="50"/>
      <c r="O51" s="43"/>
      <c r="P51" s="43"/>
      <c r="Q51" s="43"/>
      <c r="R51" s="43"/>
      <c r="S51" s="43"/>
      <c r="T51" s="43"/>
      <c r="U51" s="43"/>
      <c r="V51" s="43"/>
      <c r="X51" s="130"/>
      <c r="Y51" s="130"/>
    </row>
    <row r="52" spans="1:25" x14ac:dyDescent="0.2">
      <c r="A52" s="35"/>
      <c r="B52" s="36">
        <v>41487</v>
      </c>
      <c r="C52" s="50">
        <v>581722.56154979358</v>
      </c>
      <c r="D52" s="50">
        <v>375.48845020552403</v>
      </c>
      <c r="E52" s="50">
        <v>134938.71554178227</v>
      </c>
      <c r="F52" s="50">
        <v>1438.7122364905631</v>
      </c>
      <c r="G52" s="50">
        <v>214643.21253487765</v>
      </c>
      <c r="H52" s="50">
        <v>47113.121486848875</v>
      </c>
      <c r="I52" s="50">
        <f>(+I51+I53)/2</f>
        <v>5624.3675519476046</v>
      </c>
      <c r="J52" s="50">
        <v>985.34107790297799</v>
      </c>
      <c r="K52" s="50">
        <f t="shared" si="9"/>
        <v>986841.52042984916</v>
      </c>
      <c r="L52" s="50"/>
      <c r="M52" s="43"/>
      <c r="N52" s="7" t="s">
        <v>222</v>
      </c>
      <c r="O52" s="132">
        <f>+O48*F163</f>
        <v>1156488.4717746947</v>
      </c>
      <c r="P52" s="43"/>
      <c r="Q52" s="43"/>
      <c r="R52" s="43"/>
      <c r="S52" s="43"/>
      <c r="T52" s="43"/>
      <c r="X52" s="130"/>
      <c r="Y52" s="130"/>
    </row>
    <row r="53" spans="1:25" x14ac:dyDescent="0.2">
      <c r="A53" s="35"/>
      <c r="B53" s="36">
        <v>41518</v>
      </c>
      <c r="C53" s="50">
        <v>497279.7654863075</v>
      </c>
      <c r="D53" s="50">
        <v>330.204513691599</v>
      </c>
      <c r="E53" s="50">
        <v>142769.2158203733</v>
      </c>
      <c r="F53" s="50">
        <v>1257.1559379065675</v>
      </c>
      <c r="G53" s="50">
        <v>161318.26033293098</v>
      </c>
      <c r="H53" s="50">
        <v>52087.633724891122</v>
      </c>
      <c r="I53" s="50">
        <v>6354.8663745939884</v>
      </c>
      <c r="J53" s="50">
        <v>1214.59021196189</v>
      </c>
      <c r="K53" s="50">
        <f t="shared" si="9"/>
        <v>862611.69240265701</v>
      </c>
      <c r="L53" s="50"/>
      <c r="M53" s="43"/>
      <c r="N53" s="7" t="s">
        <v>223</v>
      </c>
      <c r="O53" s="43">
        <f>+O48-O52</f>
        <v>791098.51541641098</v>
      </c>
      <c r="P53" s="43"/>
      <c r="Q53" s="43"/>
      <c r="R53" s="43"/>
      <c r="S53" s="43"/>
      <c r="T53" s="43"/>
      <c r="X53" s="130"/>
      <c r="Y53" s="130"/>
    </row>
    <row r="54" spans="1:25" x14ac:dyDescent="0.2">
      <c r="A54" s="35"/>
      <c r="B54" s="36">
        <v>41548</v>
      </c>
      <c r="C54" s="50">
        <v>341596.1067203781</v>
      </c>
      <c r="D54" s="50">
        <v>265.40327962110041</v>
      </c>
      <c r="E54" s="50">
        <v>100624.11159736106</v>
      </c>
      <c r="F54" s="50">
        <v>717.38055404565489</v>
      </c>
      <c r="G54" s="50">
        <v>167637.78889916284</v>
      </c>
      <c r="H54" s="50">
        <v>43192.351464022184</v>
      </c>
      <c r="I54" s="50">
        <v>6688.4722457954831</v>
      </c>
      <c r="J54" s="50">
        <v>1031.68476158267</v>
      </c>
      <c r="K54" s="50">
        <f t="shared" si="9"/>
        <v>661753.29952196905</v>
      </c>
      <c r="L54" s="50"/>
      <c r="O54" s="43">
        <f>SUM(O52:O53)</f>
        <v>1947586.9871911057</v>
      </c>
      <c r="X54" s="130"/>
      <c r="Y54" s="130"/>
    </row>
    <row r="55" spans="1:25" x14ac:dyDescent="0.2">
      <c r="A55" s="35"/>
      <c r="B55" s="36">
        <v>41579</v>
      </c>
      <c r="C55" s="50">
        <v>307992.0764722178</v>
      </c>
      <c r="D55" s="50">
        <v>248.99352778165098</v>
      </c>
      <c r="E55" s="50">
        <v>78748.132210339521</v>
      </c>
      <c r="F55" s="50">
        <v>690.78897890549888</v>
      </c>
      <c r="G55" s="50">
        <v>151655.21932496715</v>
      </c>
      <c r="H55" s="50">
        <v>44468.510294993554</v>
      </c>
      <c r="I55" s="50">
        <v>7236.9205075315285</v>
      </c>
      <c r="J55" s="50">
        <v>1036.2845434220701</v>
      </c>
      <c r="K55" s="50">
        <f t="shared" si="9"/>
        <v>592076.92586015863</v>
      </c>
      <c r="L55" s="50"/>
      <c r="X55" s="130"/>
      <c r="Y55" s="130"/>
    </row>
    <row r="56" spans="1:25" x14ac:dyDescent="0.2">
      <c r="A56" s="35"/>
      <c r="B56" s="36">
        <v>41609</v>
      </c>
      <c r="C56" s="50">
        <v>371056.08389973105</v>
      </c>
      <c r="D56" s="50">
        <v>347.59610026800601</v>
      </c>
      <c r="E56" s="50">
        <v>92256.664812152885</v>
      </c>
      <c r="F56" s="50">
        <v>814.92660792275137</v>
      </c>
      <c r="G56" s="50">
        <v>155381.38337529145</v>
      </c>
      <c r="H56" s="50">
        <v>45348.585392900044</v>
      </c>
      <c r="I56" s="50">
        <v>8129.9747391705387</v>
      </c>
      <c r="J56" s="50">
        <v>1139.6303023656501</v>
      </c>
      <c r="K56" s="50">
        <f t="shared" si="9"/>
        <v>674474.84522980242</v>
      </c>
      <c r="L56" s="50"/>
      <c r="X56" s="130"/>
      <c r="Y56" s="130"/>
    </row>
    <row r="57" spans="1:25" x14ac:dyDescent="0.2">
      <c r="A57" s="35"/>
      <c r="B57" s="133" t="s">
        <v>29</v>
      </c>
      <c r="C57" s="43">
        <f t="shared" ref="C57:K57" si="12">SUM(C45:C56)</f>
        <v>4792126.2362554176</v>
      </c>
      <c r="D57" s="43">
        <f t="shared" si="12"/>
        <v>4401.5637445734055</v>
      </c>
      <c r="E57" s="43">
        <f t="shared" si="12"/>
        <v>1233776.5271554419</v>
      </c>
      <c r="F57" s="43">
        <f t="shared" si="12"/>
        <v>11290.283887114028</v>
      </c>
      <c r="G57" s="43">
        <f t="shared" si="12"/>
        <v>1880251.5787536267</v>
      </c>
      <c r="H57" s="43">
        <f t="shared" si="12"/>
        <v>666194.93806569953</v>
      </c>
      <c r="I57" s="43">
        <f t="shared" si="12"/>
        <v>76624.328223514429</v>
      </c>
      <c r="J57" s="43">
        <f t="shared" si="12"/>
        <v>12788.652016898257</v>
      </c>
      <c r="K57" s="43">
        <f t="shared" si="12"/>
        <v>8677454.1081022844</v>
      </c>
      <c r="L57" s="43"/>
    </row>
    <row r="58" spans="1:25" x14ac:dyDescent="0.2">
      <c r="A58" s="35"/>
      <c r="B58" s="36"/>
      <c r="C58" s="43"/>
      <c r="D58" s="43"/>
      <c r="E58" s="43"/>
      <c r="F58" s="43"/>
      <c r="G58" s="43"/>
      <c r="H58" s="43"/>
      <c r="I58" s="43"/>
      <c r="J58" s="43"/>
      <c r="K58" s="50"/>
      <c r="L58" s="43"/>
    </row>
    <row r="59" spans="1:25" x14ac:dyDescent="0.2">
      <c r="A59" s="35"/>
      <c r="D59" s="43"/>
      <c r="E59" s="43"/>
    </row>
    <row r="60" spans="1:25" x14ac:dyDescent="0.2">
      <c r="A60" s="34" t="s">
        <v>34</v>
      </c>
      <c r="B60" s="3" t="s">
        <v>33</v>
      </c>
      <c r="G60" s="155" t="s">
        <v>38</v>
      </c>
      <c r="H60" s="3" t="s">
        <v>142</v>
      </c>
      <c r="J60" s="33" t="s">
        <v>150</v>
      </c>
    </row>
    <row r="61" spans="1:25" s="87" customFormat="1" x14ac:dyDescent="0.2">
      <c r="A61" s="35"/>
      <c r="B61" s="87" t="s">
        <v>151</v>
      </c>
      <c r="D61" s="30" t="s">
        <v>136</v>
      </c>
      <c r="G61" s="12"/>
    </row>
    <row r="62" spans="1:25" x14ac:dyDescent="0.2">
      <c r="A62" s="35"/>
      <c r="C62" s="55" t="s">
        <v>36</v>
      </c>
      <c r="D62" s="30" t="s">
        <v>137</v>
      </c>
      <c r="E62" s="55" t="s">
        <v>37</v>
      </c>
      <c r="G62" s="30"/>
      <c r="H62" s="55" t="s">
        <v>36</v>
      </c>
      <c r="I62" s="55" t="s">
        <v>37</v>
      </c>
    </row>
    <row r="63" spans="1:25" x14ac:dyDescent="0.2">
      <c r="A63" s="35"/>
      <c r="B63" s="36">
        <f t="shared" ref="B63:B74" si="13">B45</f>
        <v>41640</v>
      </c>
      <c r="C63" s="85">
        <v>46.18</v>
      </c>
      <c r="D63" s="156">
        <v>0.78701014673367276</v>
      </c>
      <c r="E63" s="85">
        <f t="shared" ref="E63:E74" si="14">ROUND(C63*D63,2)</f>
        <v>36.340000000000003</v>
      </c>
      <c r="H63" s="1">
        <v>1.0564726797544561</v>
      </c>
      <c r="I63" s="1">
        <v>1.0483037951516385</v>
      </c>
      <c r="N63" s="2"/>
      <c r="O63" s="2"/>
      <c r="P63" s="2"/>
    </row>
    <row r="64" spans="1:25" x14ac:dyDescent="0.2">
      <c r="A64" s="35"/>
      <c r="B64" s="36">
        <f t="shared" si="13"/>
        <v>41671</v>
      </c>
      <c r="C64" s="85">
        <v>42.85</v>
      </c>
      <c r="D64" s="31">
        <f>+$D$63</f>
        <v>0.78701014673367276</v>
      </c>
      <c r="E64" s="85">
        <f t="shared" si="14"/>
        <v>33.72</v>
      </c>
      <c r="H64" s="1">
        <f t="shared" ref="H64:I67" si="15">H$63</f>
        <v>1.0564726797544561</v>
      </c>
      <c r="I64" s="1">
        <f t="shared" si="15"/>
        <v>1.0483037951516385</v>
      </c>
      <c r="N64" s="2"/>
      <c r="O64" s="2"/>
      <c r="P64" s="2"/>
    </row>
    <row r="65" spans="1:16" x14ac:dyDescent="0.2">
      <c r="A65" s="35"/>
      <c r="B65" s="36">
        <f t="shared" si="13"/>
        <v>41699</v>
      </c>
      <c r="C65" s="85">
        <v>42.88</v>
      </c>
      <c r="D65" s="31">
        <f>+$D$63</f>
        <v>0.78701014673367276</v>
      </c>
      <c r="E65" s="85">
        <f t="shared" si="14"/>
        <v>33.75</v>
      </c>
      <c r="H65" s="1">
        <f t="shared" si="15"/>
        <v>1.0564726797544561</v>
      </c>
      <c r="I65" s="1">
        <f t="shared" si="15"/>
        <v>1.0483037951516385</v>
      </c>
      <c r="N65" s="2"/>
      <c r="O65" s="2"/>
      <c r="P65" s="2"/>
    </row>
    <row r="66" spans="1:16" x14ac:dyDescent="0.2">
      <c r="A66" s="35"/>
      <c r="B66" s="36">
        <f t="shared" si="13"/>
        <v>41730</v>
      </c>
      <c r="C66" s="85">
        <v>42.13</v>
      </c>
      <c r="D66" s="31">
        <f>+$D$63</f>
        <v>0.78701014673367276</v>
      </c>
      <c r="E66" s="85">
        <f t="shared" si="14"/>
        <v>33.159999999999997</v>
      </c>
      <c r="H66" s="1">
        <f t="shared" si="15"/>
        <v>1.0564726797544561</v>
      </c>
      <c r="I66" s="1">
        <f t="shared" si="15"/>
        <v>1.0483037951516385</v>
      </c>
      <c r="N66" s="2"/>
      <c r="O66" s="2"/>
      <c r="P66" s="2"/>
    </row>
    <row r="67" spans="1:16" x14ac:dyDescent="0.2">
      <c r="A67" s="35"/>
      <c r="B67" s="36">
        <f t="shared" si="13"/>
        <v>41760</v>
      </c>
      <c r="C67" s="85">
        <v>42.36</v>
      </c>
      <c r="D67" s="31">
        <f>+$D$63</f>
        <v>0.78701014673367276</v>
      </c>
      <c r="E67" s="85">
        <f t="shared" si="14"/>
        <v>33.340000000000003</v>
      </c>
      <c r="H67" s="1">
        <f t="shared" si="15"/>
        <v>1.0564726797544561</v>
      </c>
      <c r="I67" s="1">
        <f t="shared" si="15"/>
        <v>1.0483037951516385</v>
      </c>
      <c r="N67" s="2"/>
      <c r="O67" s="2"/>
      <c r="P67" s="2"/>
    </row>
    <row r="68" spans="1:16" x14ac:dyDescent="0.2">
      <c r="A68" s="35"/>
      <c r="B68" s="36">
        <f t="shared" si="13"/>
        <v>41426</v>
      </c>
      <c r="C68" s="85">
        <v>43.52</v>
      </c>
      <c r="D68" s="157">
        <v>0.60734299660947233</v>
      </c>
      <c r="E68" s="85">
        <f t="shared" si="14"/>
        <v>26.43</v>
      </c>
      <c r="H68" s="1">
        <v>1.156869299947235</v>
      </c>
      <c r="I68" s="1">
        <v>1.1168257743159618</v>
      </c>
      <c r="N68" s="2"/>
      <c r="O68" s="2"/>
      <c r="P68" s="2"/>
    </row>
    <row r="69" spans="1:16" x14ac:dyDescent="0.2">
      <c r="A69" s="35"/>
      <c r="B69" s="36">
        <f t="shared" si="13"/>
        <v>41456</v>
      </c>
      <c r="C69" s="85">
        <v>53.81</v>
      </c>
      <c r="D69" s="158">
        <f>+$D$68</f>
        <v>0.60734299660947233</v>
      </c>
      <c r="E69" s="85">
        <f t="shared" si="14"/>
        <v>32.68</v>
      </c>
      <c r="H69" s="1">
        <f t="shared" ref="H69:I71" si="16">H$68</f>
        <v>1.156869299947235</v>
      </c>
      <c r="I69" s="1">
        <f t="shared" si="16"/>
        <v>1.1168257743159618</v>
      </c>
      <c r="N69" s="2"/>
      <c r="O69" s="2"/>
      <c r="P69" s="2"/>
    </row>
    <row r="70" spans="1:16" x14ac:dyDescent="0.2">
      <c r="A70" s="35"/>
      <c r="B70" s="36">
        <f t="shared" si="13"/>
        <v>41487</v>
      </c>
      <c r="C70" s="85">
        <v>50.21</v>
      </c>
      <c r="D70" s="158">
        <f>+$D$68</f>
        <v>0.60734299660947233</v>
      </c>
      <c r="E70" s="85">
        <f t="shared" si="14"/>
        <v>30.49</v>
      </c>
      <c r="H70" s="1">
        <f t="shared" si="16"/>
        <v>1.156869299947235</v>
      </c>
      <c r="I70" s="1">
        <f t="shared" si="16"/>
        <v>1.1168257743159618</v>
      </c>
      <c r="N70" s="2"/>
      <c r="O70" s="2"/>
      <c r="P70" s="2"/>
    </row>
    <row r="71" spans="1:16" x14ac:dyDescent="0.2">
      <c r="A71" s="35"/>
      <c r="B71" s="36">
        <f t="shared" si="13"/>
        <v>41518</v>
      </c>
      <c r="C71" s="85">
        <v>42.18</v>
      </c>
      <c r="D71" s="159">
        <f>+$D$68</f>
        <v>0.60734299660947233</v>
      </c>
      <c r="E71" s="85">
        <f t="shared" si="14"/>
        <v>25.62</v>
      </c>
      <c r="H71" s="1">
        <f t="shared" si="16"/>
        <v>1.156869299947235</v>
      </c>
      <c r="I71" s="1">
        <f t="shared" si="16"/>
        <v>1.1168257743159618</v>
      </c>
      <c r="N71" s="2"/>
      <c r="O71" s="2"/>
      <c r="P71" s="2"/>
    </row>
    <row r="72" spans="1:16" x14ac:dyDescent="0.2">
      <c r="A72" s="35"/>
      <c r="B72" s="36">
        <f t="shared" si="13"/>
        <v>41548</v>
      </c>
      <c r="C72" s="85">
        <v>39.93</v>
      </c>
      <c r="D72" s="31">
        <f>+$D$63</f>
        <v>0.78701014673367276</v>
      </c>
      <c r="E72" s="85">
        <f t="shared" si="14"/>
        <v>31.43</v>
      </c>
      <c r="H72" s="1">
        <f t="shared" ref="H72:I74" si="17">H$63</f>
        <v>1.0564726797544561</v>
      </c>
      <c r="I72" s="1">
        <f t="shared" si="17"/>
        <v>1.0483037951516385</v>
      </c>
      <c r="N72" s="2"/>
      <c r="O72" s="2"/>
      <c r="P72" s="2"/>
    </row>
    <row r="73" spans="1:16" x14ac:dyDescent="0.2">
      <c r="A73" s="35"/>
      <c r="B73" s="36">
        <f t="shared" si="13"/>
        <v>41579</v>
      </c>
      <c r="C73" s="85">
        <v>39.979999999999997</v>
      </c>
      <c r="D73" s="31">
        <f>+$D$63</f>
        <v>0.78701014673367276</v>
      </c>
      <c r="E73" s="85">
        <f t="shared" si="14"/>
        <v>31.46</v>
      </c>
      <c r="H73" s="1">
        <f t="shared" si="17"/>
        <v>1.0564726797544561</v>
      </c>
      <c r="I73" s="1">
        <f t="shared" si="17"/>
        <v>1.0483037951516385</v>
      </c>
      <c r="N73" s="2"/>
      <c r="O73" s="2"/>
      <c r="P73" s="2"/>
    </row>
    <row r="74" spans="1:16" x14ac:dyDescent="0.2">
      <c r="A74" s="35"/>
      <c r="B74" s="36">
        <f t="shared" si="13"/>
        <v>41609</v>
      </c>
      <c r="C74" s="85">
        <v>41.63</v>
      </c>
      <c r="D74" s="31">
        <f>+$D$63</f>
        <v>0.78701014673367276</v>
      </c>
      <c r="E74" s="85">
        <f t="shared" si="14"/>
        <v>32.76</v>
      </c>
      <c r="H74" s="1">
        <f t="shared" si="17"/>
        <v>1.0564726797544561</v>
      </c>
      <c r="I74" s="1">
        <f t="shared" si="17"/>
        <v>1.0483037951516385</v>
      </c>
      <c r="N74" s="2"/>
      <c r="O74" s="2"/>
      <c r="P74" s="2"/>
    </row>
    <row r="75" spans="1:16" x14ac:dyDescent="0.2">
      <c r="A75" s="35"/>
      <c r="B75" s="36"/>
      <c r="C75" s="85"/>
      <c r="D75" s="31"/>
      <c r="E75" s="85"/>
      <c r="H75" s="1"/>
      <c r="I75" s="1"/>
      <c r="N75" s="2"/>
      <c r="O75" s="2"/>
      <c r="P75" s="2"/>
    </row>
    <row r="76" spans="1:16" x14ac:dyDescent="0.2">
      <c r="A76" s="35"/>
      <c r="B76" s="36"/>
      <c r="C76" s="85"/>
      <c r="D76" s="85"/>
      <c r="E76" s="85"/>
      <c r="H76" s="1"/>
      <c r="K76" s="1"/>
    </row>
    <row r="77" spans="1:16" x14ac:dyDescent="0.2">
      <c r="A77" s="34" t="s">
        <v>41</v>
      </c>
      <c r="B77" s="105" t="s">
        <v>39</v>
      </c>
      <c r="C77" s="55" t="s">
        <v>5</v>
      </c>
      <c r="D77" s="55" t="s">
        <v>148</v>
      </c>
      <c r="E77" s="55" t="s">
        <v>6</v>
      </c>
      <c r="F77" s="55" t="s">
        <v>7</v>
      </c>
      <c r="G77" s="55" t="s">
        <v>8</v>
      </c>
      <c r="H77" s="55" t="s">
        <v>9</v>
      </c>
      <c r="I77" s="55" t="s">
        <v>10</v>
      </c>
      <c r="J77" s="55" t="s">
        <v>11</v>
      </c>
      <c r="L77" s="30"/>
    </row>
    <row r="78" spans="1:16" x14ac:dyDescent="0.2">
      <c r="A78" s="35"/>
      <c r="B78" s="5" t="s">
        <v>258</v>
      </c>
      <c r="C78" s="84">
        <v>7.8714622641509413E-2</v>
      </c>
      <c r="D78" s="84">
        <v>7.8714622641509413E-2</v>
      </c>
      <c r="E78" s="84">
        <v>7.8714622641509413E-2</v>
      </c>
      <c r="F78" s="84">
        <v>5.0738051165219011E-2</v>
      </c>
      <c r="G78" s="84">
        <v>7.8714622641509413E-2</v>
      </c>
      <c r="H78" s="84">
        <v>5.0738051165219011E-2</v>
      </c>
      <c r="I78" s="84">
        <v>7.8714622641509413E-2</v>
      </c>
      <c r="J78" s="84">
        <v>7.8714622641509413E-2</v>
      </c>
    </row>
    <row r="79" spans="1:16" x14ac:dyDescent="0.2">
      <c r="A79" s="35"/>
      <c r="B79" s="36" t="s">
        <v>257</v>
      </c>
      <c r="C79" s="84">
        <f>1-((1-C78)*(1-0.5155%))</f>
        <v>8.346384876179247E-2</v>
      </c>
      <c r="D79" s="84">
        <f t="shared" ref="D79:J79" si="18">1-((1-D78)*(1-0.5155%))</f>
        <v>8.346384876179247E-2</v>
      </c>
      <c r="E79" s="84">
        <f t="shared" si="18"/>
        <v>8.346384876179247E-2</v>
      </c>
      <c r="F79" s="84">
        <f t="shared" si="18"/>
        <v>5.5631496511462375E-2</v>
      </c>
      <c r="G79" s="84">
        <f t="shared" si="18"/>
        <v>8.346384876179247E-2</v>
      </c>
      <c r="H79" s="84">
        <f t="shared" si="18"/>
        <v>5.5631496511462375E-2</v>
      </c>
      <c r="I79" s="84">
        <f t="shared" si="18"/>
        <v>8.346384876179247E-2</v>
      </c>
      <c r="J79" s="84">
        <f t="shared" si="18"/>
        <v>8.346384876179247E-2</v>
      </c>
      <c r="L79" s="84"/>
    </row>
    <row r="80" spans="1:16" x14ac:dyDescent="0.2">
      <c r="A80" s="35"/>
      <c r="B80" s="5" t="s">
        <v>40</v>
      </c>
      <c r="C80" s="106">
        <f t="shared" ref="C80:J80" si="19">1/(1-C79)</f>
        <v>1.09106443717363</v>
      </c>
      <c r="D80" s="106">
        <f t="shared" si="19"/>
        <v>1.09106443717363</v>
      </c>
      <c r="E80" s="106">
        <f t="shared" si="19"/>
        <v>1.09106443717363</v>
      </c>
      <c r="F80" s="106">
        <f t="shared" si="19"/>
        <v>1.0589086742155813</v>
      </c>
      <c r="G80" s="106">
        <f t="shared" si="19"/>
        <v>1.09106443717363</v>
      </c>
      <c r="H80" s="106">
        <f t="shared" si="19"/>
        <v>1.0589086742155813</v>
      </c>
      <c r="I80" s="106">
        <f t="shared" si="19"/>
        <v>1.09106443717363</v>
      </c>
      <c r="J80" s="106">
        <f t="shared" si="19"/>
        <v>1.09106443717363</v>
      </c>
      <c r="L80" s="106"/>
    </row>
    <row r="81" spans="1:12" x14ac:dyDescent="0.2">
      <c r="A81" s="35"/>
      <c r="C81" s="106"/>
      <c r="D81" s="106"/>
      <c r="E81" s="106"/>
      <c r="F81" s="106"/>
      <c r="G81" s="106"/>
      <c r="H81" s="106"/>
      <c r="I81" s="106"/>
      <c r="J81" s="106"/>
      <c r="L81" s="106"/>
    </row>
    <row r="82" spans="1:12" x14ac:dyDescent="0.2">
      <c r="A82" s="35"/>
      <c r="B82" s="5" t="s">
        <v>256</v>
      </c>
      <c r="C82" s="84">
        <v>1.8215098906820312E-2</v>
      </c>
      <c r="D82" s="84">
        <f>$C$82</f>
        <v>1.8215098906820312E-2</v>
      </c>
      <c r="E82" s="84">
        <f t="shared" ref="E82:J82" si="20">$C$82</f>
        <v>1.8215098906820312E-2</v>
      </c>
      <c r="F82" s="84">
        <f t="shared" si="20"/>
        <v>1.8215098906820312E-2</v>
      </c>
      <c r="G82" s="84">
        <f t="shared" si="20"/>
        <v>1.8215098906820312E-2</v>
      </c>
      <c r="H82" s="84">
        <f t="shared" si="20"/>
        <v>1.8215098906820312E-2</v>
      </c>
      <c r="I82" s="84">
        <f t="shared" si="20"/>
        <v>1.8215098906820312E-2</v>
      </c>
      <c r="J82" s="84">
        <f t="shared" si="20"/>
        <v>1.8215098906820312E-2</v>
      </c>
      <c r="L82" s="106"/>
    </row>
    <row r="83" spans="1:12" x14ac:dyDescent="0.2">
      <c r="A83" s="35"/>
      <c r="B83" s="5" t="s">
        <v>259</v>
      </c>
      <c r="C83" s="84">
        <f t="shared" ref="C83:J83" si="21">1-((1-C79)/(1-C82))</f>
        <v>6.6459312811105842E-2</v>
      </c>
      <c r="D83" s="84">
        <f t="shared" si="21"/>
        <v>6.6459312811105842E-2</v>
      </c>
      <c r="E83" s="84">
        <f t="shared" si="21"/>
        <v>6.6459312811105842E-2</v>
      </c>
      <c r="F83" s="84">
        <f t="shared" si="21"/>
        <v>3.8110585692426535E-2</v>
      </c>
      <c r="G83" s="84">
        <f t="shared" si="21"/>
        <v>6.6459312811105842E-2</v>
      </c>
      <c r="H83" s="84">
        <f t="shared" si="21"/>
        <v>3.8110585692426535E-2</v>
      </c>
      <c r="I83" s="84">
        <f t="shared" si="21"/>
        <v>6.6459312811105842E-2</v>
      </c>
      <c r="J83" s="84">
        <f t="shared" si="21"/>
        <v>6.6459312811105842E-2</v>
      </c>
      <c r="L83" s="106"/>
    </row>
    <row r="84" spans="1:12" x14ac:dyDescent="0.2">
      <c r="A84" s="35"/>
      <c r="B84" s="5" t="s">
        <v>260</v>
      </c>
      <c r="C84" s="106">
        <f t="shared" ref="C84:J84" si="22">1/(1-C83)</f>
        <v>1.0711905905367982</v>
      </c>
      <c r="D84" s="106">
        <f t="shared" si="22"/>
        <v>1.0711905905367982</v>
      </c>
      <c r="E84" s="106">
        <f t="shared" si="22"/>
        <v>1.0711905905367982</v>
      </c>
      <c r="F84" s="106">
        <f t="shared" si="22"/>
        <v>1.0396205479814546</v>
      </c>
      <c r="G84" s="106">
        <f t="shared" si="22"/>
        <v>1.0711905905367982</v>
      </c>
      <c r="H84" s="106">
        <f t="shared" si="22"/>
        <v>1.0396205479814546</v>
      </c>
      <c r="I84" s="106">
        <f t="shared" si="22"/>
        <v>1.0711905905367982</v>
      </c>
      <c r="J84" s="106">
        <f t="shared" si="22"/>
        <v>1.0711905905367982</v>
      </c>
      <c r="L84" s="106"/>
    </row>
    <row r="85" spans="1:12" x14ac:dyDescent="0.2">
      <c r="A85" s="35"/>
      <c r="C85" s="106"/>
      <c r="D85" s="106"/>
      <c r="E85" s="106"/>
      <c r="F85" s="106"/>
      <c r="G85" s="106"/>
      <c r="H85" s="106"/>
      <c r="I85" s="106"/>
      <c r="J85" s="106"/>
      <c r="L85" s="106"/>
    </row>
    <row r="86" spans="1:12" x14ac:dyDescent="0.2">
      <c r="A86" s="35"/>
    </row>
    <row r="87" spans="1:12" x14ac:dyDescent="0.2">
      <c r="A87" s="34" t="s">
        <v>48</v>
      </c>
      <c r="B87" s="3" t="s">
        <v>42</v>
      </c>
    </row>
    <row r="88" spans="1:12" x14ac:dyDescent="0.2">
      <c r="A88" s="35"/>
      <c r="B88" s="4" t="s">
        <v>43</v>
      </c>
    </row>
    <row r="89" spans="1:12" x14ac:dyDescent="0.2">
      <c r="A89" s="35"/>
      <c r="B89" s="4" t="s">
        <v>35</v>
      </c>
    </row>
    <row r="90" spans="1:12" x14ac:dyDescent="0.2">
      <c r="A90" s="35"/>
      <c r="B90" s="3"/>
      <c r="C90" s="55" t="s">
        <v>5</v>
      </c>
      <c r="D90" s="55" t="s">
        <v>148</v>
      </c>
      <c r="E90" s="55" t="s">
        <v>6</v>
      </c>
      <c r="F90" s="55" t="s">
        <v>7</v>
      </c>
      <c r="G90" s="55" t="s">
        <v>8</v>
      </c>
      <c r="H90" s="55" t="s">
        <v>9</v>
      </c>
      <c r="I90" s="55" t="s">
        <v>10</v>
      </c>
      <c r="J90" s="55" t="s">
        <v>11</v>
      </c>
      <c r="L90" s="30"/>
    </row>
    <row r="91" spans="1:12" x14ac:dyDescent="0.2">
      <c r="A91" s="35"/>
    </row>
    <row r="92" spans="1:12" x14ac:dyDescent="0.2">
      <c r="A92" s="35"/>
      <c r="B92" s="36" t="s">
        <v>44</v>
      </c>
      <c r="C92" s="16">
        <f t="shared" ref="C92:J92" si="23">(SUMPRODUCT(C14:C17,C50:C53,$C68:$C71,$H68:$H71)*C80+SUMPRODUCT(O14:O17,C50:C53,$E68:$E71,$I68:$I71)*C80)/SUM(C50:C53)</f>
        <v>48.588225609560467</v>
      </c>
      <c r="D92" s="16">
        <f t="shared" si="23"/>
        <v>48.515395954788801</v>
      </c>
      <c r="E92" s="16">
        <f t="shared" si="23"/>
        <v>49.09949221742702</v>
      </c>
      <c r="F92" s="16">
        <f t="shared" si="23"/>
        <v>48.700992817197225</v>
      </c>
      <c r="G92" s="16">
        <f t="shared" si="23"/>
        <v>48.829055189595444</v>
      </c>
      <c r="H92" s="16">
        <f t="shared" si="23"/>
        <v>46.955082347796413</v>
      </c>
      <c r="I92" s="16">
        <f t="shared" si="23"/>
        <v>41.451637338581321</v>
      </c>
      <c r="J92" s="16">
        <f t="shared" si="23"/>
        <v>46.03472211264927</v>
      </c>
      <c r="K92" s="107"/>
      <c r="L92" s="16"/>
    </row>
    <row r="93" spans="1:12" x14ac:dyDescent="0.2">
      <c r="A93" s="35"/>
      <c r="B93" s="36" t="s">
        <v>144</v>
      </c>
      <c r="C93" s="16">
        <f t="shared" ref="C93:J93" si="24">(SUMPRODUCT(C$14:C$17,C$50:C$53,$C$68:$C$71,$H$68:$H$71)*C$80)/SUMPRODUCT(C$14:C$17,C$50:C$53)</f>
        <v>60.702406809963769</v>
      </c>
      <c r="D93" s="16">
        <f t="shared" si="24"/>
        <v>60.54985577103448</v>
      </c>
      <c r="E93" s="16">
        <f t="shared" si="24"/>
        <v>60.171875207106112</v>
      </c>
      <c r="F93" s="16">
        <f t="shared" si="24"/>
        <v>58.839505374479863</v>
      </c>
      <c r="G93" s="16">
        <f t="shared" si="24"/>
        <v>60.478115392977124</v>
      </c>
      <c r="H93" s="16">
        <f t="shared" si="24"/>
        <v>58.045240579376383</v>
      </c>
      <c r="I93" s="16">
        <f t="shared" si="24"/>
        <v>59.544659330339904</v>
      </c>
      <c r="J93" s="16">
        <f t="shared" si="24"/>
        <v>59.690423103318082</v>
      </c>
      <c r="K93" s="107"/>
      <c r="L93" s="16"/>
    </row>
    <row r="94" spans="1:12" x14ac:dyDescent="0.2">
      <c r="A94" s="35"/>
      <c r="B94" s="36" t="s">
        <v>145</v>
      </c>
      <c r="C94" s="16">
        <f t="shared" ref="C94:J94" si="25">(SUMPRODUCT(O$14:O$17,C$50:C$53,$E$68:$E$71,$I$68:$I$71)*C$80)/SUMPRODUCT(O$14:O$17,C$50:C$53)</f>
        <v>35.317507605211958</v>
      </c>
      <c r="D94" s="16">
        <f t="shared" si="25"/>
        <v>35.222867255709502</v>
      </c>
      <c r="E94" s="16">
        <f t="shared" si="25"/>
        <v>35.085116469731304</v>
      </c>
      <c r="F94" s="16">
        <f t="shared" si="25"/>
        <v>34.287987390673301</v>
      </c>
      <c r="G94" s="16">
        <f t="shared" si="25"/>
        <v>35.303165927565409</v>
      </c>
      <c r="H94" s="16">
        <f t="shared" si="25"/>
        <v>33.934690142028273</v>
      </c>
      <c r="I94" s="16">
        <f t="shared" si="25"/>
        <v>34.932206801875964</v>
      </c>
      <c r="J94" s="16">
        <f t="shared" si="25"/>
        <v>34.828553993329002</v>
      </c>
      <c r="K94" s="107"/>
      <c r="L94" s="16"/>
    </row>
    <row r="95" spans="1:12" x14ac:dyDescent="0.2">
      <c r="A95" s="35"/>
      <c r="B95" s="36"/>
      <c r="C95" s="16"/>
      <c r="D95" s="16"/>
      <c r="E95" s="16"/>
      <c r="F95" s="16"/>
      <c r="G95" s="16"/>
      <c r="H95" s="16"/>
      <c r="I95" s="16"/>
      <c r="J95" s="16"/>
      <c r="K95" s="107"/>
      <c r="L95" s="16"/>
    </row>
    <row r="96" spans="1:12" x14ac:dyDescent="0.2">
      <c r="A96" s="35"/>
      <c r="B96" s="36" t="s">
        <v>45</v>
      </c>
      <c r="C96" s="16">
        <f t="shared" ref="C96:J96" si="26">(SUMPRODUCT(C9:C13,C45:C49,$C63:$C67,$H63:$H67)*C80+SUMPRODUCT(O9:O13,C45:C49,$E63:$E67,$I63:$I67)*C80+SUMPRODUCT(C18:C20,C54:C56,$C72:$C74,$H72:$H74)*C80+SUMPRODUCT(O18:O20,C54:C56,$E72:$E74,$I72:$I74)*C80)/SUM(C45:C49,C54:C56)</f>
        <v>43.417485905790024</v>
      </c>
      <c r="D96" s="16">
        <f t="shared" si="26"/>
        <v>43.613943324547897</v>
      </c>
      <c r="E96" s="16">
        <f t="shared" si="26"/>
        <v>44.109379475415061</v>
      </c>
      <c r="F96" s="16">
        <f t="shared" si="26"/>
        <v>42.839462951497055</v>
      </c>
      <c r="G96" s="16">
        <f t="shared" si="26"/>
        <v>43.770206778813424</v>
      </c>
      <c r="H96" s="16">
        <f t="shared" si="26"/>
        <v>42.585483502588403</v>
      </c>
      <c r="I96" s="16">
        <f t="shared" si="26"/>
        <v>41.520000366985919</v>
      </c>
      <c r="J96" s="16">
        <f t="shared" si="26"/>
        <v>42.98389579698285</v>
      </c>
      <c r="K96" s="107"/>
      <c r="L96" s="16"/>
    </row>
    <row r="97" spans="1:12" x14ac:dyDescent="0.2">
      <c r="A97" s="35"/>
      <c r="B97" s="36" t="s">
        <v>144</v>
      </c>
      <c r="C97" s="16">
        <f t="shared" ref="C97:J97" si="27">((SUMPRODUCT(C$9:C$13,C$45:C$49,$C$63:$C$67,$H$63:$H$67)*C$80)+(SUMPRODUCT(C$18:C$20,C$54:C$56,$C$72:$C$74,$H$72:$H$74)*C$80))/(SUMPRODUCT(C$9:C$13,C$45:C$49)+SUMPRODUCT(C$18:C$20,C$54:C$56))</f>
        <v>48.87568333163513</v>
      </c>
      <c r="D97" s="16">
        <f t="shared" si="27"/>
        <v>49.12586243846264</v>
      </c>
      <c r="E97" s="16">
        <f t="shared" si="27"/>
        <v>48.801843805691078</v>
      </c>
      <c r="F97" s="16">
        <f t="shared" si="27"/>
        <v>47.238279706030035</v>
      </c>
      <c r="G97" s="16">
        <f t="shared" si="27"/>
        <v>48.620141037419828</v>
      </c>
      <c r="H97" s="16">
        <f t="shared" si="27"/>
        <v>47.392268617396851</v>
      </c>
      <c r="I97" s="16">
        <f t="shared" si="27"/>
        <v>48.755543023096926</v>
      </c>
      <c r="J97" s="16">
        <f t="shared" si="27"/>
        <v>48.707681872486724</v>
      </c>
      <c r="K97" s="107"/>
      <c r="L97" s="16"/>
    </row>
    <row r="98" spans="1:12" x14ac:dyDescent="0.2">
      <c r="A98" s="35"/>
      <c r="B98" s="36" t="s">
        <v>145</v>
      </c>
      <c r="C98" s="16">
        <f t="shared" ref="C98:J98" si="28">((SUMPRODUCT(O$9:O$13,C$45:C$49,$E$63:$E$67,$I$63:$I$67)*C$80)+(SUMPRODUCT(O$18:O$20,C$54:C$56,$E$72:$E$74,$I$72:$I$74)*C$80))/(SUMPRODUCT(O$9:O$13,C$45:C$49)+SUMPRODUCT(O$18:O$20,C$54:C$56))</f>
        <v>38.183919750673702</v>
      </c>
      <c r="D98" s="16">
        <f t="shared" si="28"/>
        <v>38.36592431554169</v>
      </c>
      <c r="E98" s="16">
        <f t="shared" si="28"/>
        <v>38.125715619275617</v>
      </c>
      <c r="F98" s="16">
        <f t="shared" si="28"/>
        <v>36.915146867323642</v>
      </c>
      <c r="G98" s="16">
        <f t="shared" si="28"/>
        <v>37.969871335078494</v>
      </c>
      <c r="H98" s="16">
        <f t="shared" si="28"/>
        <v>37.06757938904336</v>
      </c>
      <c r="I98" s="16">
        <f t="shared" si="28"/>
        <v>38.068649789286802</v>
      </c>
      <c r="J98" s="16">
        <f t="shared" si="28"/>
        <v>38.038642044819305</v>
      </c>
      <c r="K98" s="107"/>
      <c r="L98" s="16"/>
    </row>
    <row r="99" spans="1:12" x14ac:dyDescent="0.2">
      <c r="A99" s="35"/>
      <c r="B99" s="36"/>
      <c r="C99" s="16"/>
      <c r="D99" s="16"/>
      <c r="E99" s="16"/>
      <c r="F99" s="16"/>
      <c r="G99" s="16"/>
      <c r="H99" s="16"/>
      <c r="I99" s="16"/>
      <c r="J99" s="16"/>
      <c r="K99" s="107"/>
      <c r="L99" s="16"/>
    </row>
    <row r="100" spans="1:12" x14ac:dyDescent="0.2">
      <c r="A100" s="35"/>
      <c r="B100" s="5" t="s">
        <v>46</v>
      </c>
      <c r="C100" s="41">
        <f t="shared" ref="C100:J100" si="29">(C92*SUM(C50:C53)+C96*SUM(C45:C49,C54:C56))/C57</f>
        <v>45.518946690572015</v>
      </c>
      <c r="D100" s="41">
        <f t="shared" si="29"/>
        <v>45.055274478360779</v>
      </c>
      <c r="E100" s="41">
        <f t="shared" si="29"/>
        <v>46.143645839960712</v>
      </c>
      <c r="F100" s="41">
        <f t="shared" si="29"/>
        <v>45.639729866849429</v>
      </c>
      <c r="G100" s="41">
        <f t="shared" si="29"/>
        <v>45.766342799642835</v>
      </c>
      <c r="H100" s="41">
        <f t="shared" si="29"/>
        <v>43.882146440465078</v>
      </c>
      <c r="I100" s="41">
        <f t="shared" si="29"/>
        <v>41.500711459931956</v>
      </c>
      <c r="J100" s="41">
        <f t="shared" si="29"/>
        <v>43.996316970969353</v>
      </c>
      <c r="L100" s="41"/>
    </row>
    <row r="101" spans="1:12" x14ac:dyDescent="0.2">
      <c r="A101" s="35"/>
    </row>
    <row r="102" spans="1:12" x14ac:dyDescent="0.2">
      <c r="A102" s="35"/>
      <c r="B102" s="5" t="s">
        <v>47</v>
      </c>
      <c r="C102" s="108"/>
      <c r="D102" s="108"/>
      <c r="F102" s="109"/>
      <c r="G102" s="16">
        <f>SUMPRODUCT(C100:J100,C57:J57)/SUM(C57:J57)</f>
        <v>45.497907555067506</v>
      </c>
    </row>
    <row r="103" spans="1:12" x14ac:dyDescent="0.2">
      <c r="A103" s="35"/>
      <c r="C103" s="108"/>
      <c r="D103" s="108"/>
    </row>
    <row r="104" spans="1:12" x14ac:dyDescent="0.2">
      <c r="A104" s="35"/>
      <c r="C104" s="110"/>
      <c r="D104" s="110"/>
      <c r="E104" s="110"/>
      <c r="F104" s="111"/>
      <c r="G104" s="110"/>
      <c r="H104" s="110"/>
      <c r="J104" s="110"/>
    </row>
    <row r="105" spans="1:12" x14ac:dyDescent="0.2">
      <c r="A105" s="34" t="s">
        <v>79</v>
      </c>
      <c r="B105" s="3" t="s">
        <v>152</v>
      </c>
      <c r="C105" s="110"/>
      <c r="D105" s="110"/>
      <c r="E105" s="110"/>
      <c r="F105" s="111"/>
      <c r="G105" s="110"/>
      <c r="H105" s="110"/>
      <c r="J105" s="110"/>
    </row>
    <row r="106" spans="1:12" x14ac:dyDescent="0.2">
      <c r="A106" s="35"/>
      <c r="B106" s="4" t="s">
        <v>153</v>
      </c>
      <c r="C106" s="110"/>
      <c r="D106" s="110"/>
      <c r="E106" s="110"/>
      <c r="F106" s="111"/>
      <c r="G106" s="110"/>
      <c r="H106" s="110"/>
      <c r="J106" s="110"/>
    </row>
    <row r="107" spans="1:12" x14ac:dyDescent="0.2">
      <c r="A107" s="35"/>
      <c r="B107" s="4" t="s">
        <v>154</v>
      </c>
      <c r="C107" s="110"/>
      <c r="D107" s="110"/>
      <c r="E107" s="110"/>
      <c r="F107" s="111"/>
      <c r="G107" s="110"/>
      <c r="H107" s="110"/>
      <c r="J107" s="110"/>
    </row>
    <row r="108" spans="1:12" x14ac:dyDescent="0.2">
      <c r="A108" s="35"/>
      <c r="C108" s="55" t="s">
        <v>5</v>
      </c>
      <c r="D108" s="55" t="s">
        <v>148</v>
      </c>
      <c r="E108" s="55" t="s">
        <v>6</v>
      </c>
      <c r="F108" s="55" t="s">
        <v>7</v>
      </c>
      <c r="G108" s="55" t="s">
        <v>8</v>
      </c>
      <c r="H108" s="55" t="s">
        <v>9</v>
      </c>
      <c r="I108" s="55" t="s">
        <v>10</v>
      </c>
      <c r="J108" s="55" t="s">
        <v>11</v>
      </c>
      <c r="K108" s="55"/>
    </row>
    <row r="109" spans="1:12" x14ac:dyDescent="0.2">
      <c r="A109" s="35"/>
      <c r="C109" s="110"/>
      <c r="D109" s="110"/>
      <c r="E109" s="110"/>
      <c r="F109" s="111"/>
      <c r="G109" s="110"/>
      <c r="H109" s="110"/>
      <c r="J109" s="110"/>
    </row>
    <row r="110" spans="1:12" x14ac:dyDescent="0.2">
      <c r="B110" s="36" t="s">
        <v>44</v>
      </c>
      <c r="C110" s="38">
        <f t="shared" ref="C110:J110" si="30">SUM(C50:C53)*C92/1000</f>
        <v>94629.795927885585</v>
      </c>
      <c r="D110" s="38">
        <f t="shared" si="30"/>
        <v>62.795068720631377</v>
      </c>
      <c r="E110" s="38">
        <f t="shared" si="30"/>
        <v>24695.10998437753</v>
      </c>
      <c r="F110" s="38">
        <f t="shared" si="30"/>
        <v>262.68248985049456</v>
      </c>
      <c r="G110" s="38">
        <f t="shared" si="30"/>
        <v>36227.031510057168</v>
      </c>
      <c r="H110" s="38">
        <f t="shared" si="30"/>
        <v>9282.5963277888077</v>
      </c>
      <c r="I110" s="38">
        <f t="shared" si="30"/>
        <v>896.17886397051598</v>
      </c>
      <c r="J110" s="38">
        <f t="shared" si="30"/>
        <v>195.36827043983504</v>
      </c>
    </row>
    <row r="111" spans="1:12" x14ac:dyDescent="0.2">
      <c r="B111" s="37" t="s">
        <v>155</v>
      </c>
      <c r="C111" s="38">
        <f t="shared" ref="C111:J111" si="31">SUMPRODUCT(C50:C53,C14:C17)*C93/1000</f>
        <v>61804.735547917982</v>
      </c>
      <c r="D111" s="38">
        <f t="shared" si="31"/>
        <v>41.132312442990106</v>
      </c>
      <c r="E111" s="38">
        <f t="shared" si="31"/>
        <v>16906.61700320724</v>
      </c>
      <c r="F111" s="38">
        <f t="shared" si="31"/>
        <v>186.31101147551419</v>
      </c>
      <c r="G111" s="38">
        <f t="shared" si="31"/>
        <v>24107.373532668687</v>
      </c>
      <c r="H111" s="38">
        <f t="shared" si="31"/>
        <v>6196.8418814389379</v>
      </c>
      <c r="I111" s="38">
        <f t="shared" si="31"/>
        <v>340.99702728165039</v>
      </c>
      <c r="J111" s="38">
        <f t="shared" si="31"/>
        <v>114.18170431529876</v>
      </c>
    </row>
    <row r="112" spans="1:12" x14ac:dyDescent="0.2">
      <c r="B112" s="37" t="s">
        <v>156</v>
      </c>
      <c r="C112" s="38">
        <f t="shared" ref="C112:J112" si="32">SUMPRODUCT(C50:C53,O14:O17)*C94/1000</f>
        <v>32825.06037996761</v>
      </c>
      <c r="D112" s="38">
        <f t="shared" si="32"/>
        <v>21.662756277641268</v>
      </c>
      <c r="E112" s="38">
        <f t="shared" si="32"/>
        <v>7788.4929811702887</v>
      </c>
      <c r="F112" s="38">
        <f t="shared" si="32"/>
        <v>76.371478374980342</v>
      </c>
      <c r="G112" s="38">
        <f t="shared" si="32"/>
        <v>12119.657977388482</v>
      </c>
      <c r="H112" s="38">
        <f t="shared" si="32"/>
        <v>3085.7544463498684</v>
      </c>
      <c r="I112" s="38">
        <f t="shared" si="32"/>
        <v>555.1818366888657</v>
      </c>
      <c r="J112" s="38">
        <f t="shared" si="32"/>
        <v>81.18656612453627</v>
      </c>
    </row>
    <row r="113" spans="1:29" x14ac:dyDescent="0.2">
      <c r="C113" s="110"/>
      <c r="D113" s="110"/>
      <c r="E113" s="110"/>
      <c r="F113" s="110"/>
      <c r="G113" s="110"/>
      <c r="H113" s="110"/>
      <c r="I113" s="110"/>
      <c r="J113" s="110"/>
    </row>
    <row r="114" spans="1:29" x14ac:dyDescent="0.2">
      <c r="B114" s="36" t="s">
        <v>45</v>
      </c>
      <c r="C114" s="39">
        <f t="shared" ref="C114:J114" si="33">SUM(C45:C49,C54:C56)*C96/1000</f>
        <v>123502.74275471628</v>
      </c>
      <c r="D114" s="39">
        <f t="shared" si="33"/>
        <v>135.51859392512492</v>
      </c>
      <c r="E114" s="39">
        <f t="shared" si="33"/>
        <v>32235.837130339845</v>
      </c>
      <c r="F114" s="39">
        <f t="shared" si="33"/>
        <v>252.60301687743245</v>
      </c>
      <c r="G114" s="39">
        <f t="shared" si="33"/>
        <v>49825.206792750956</v>
      </c>
      <c r="H114" s="39">
        <f t="shared" si="33"/>
        <v>19951.467502306783</v>
      </c>
      <c r="I114" s="39">
        <f t="shared" si="33"/>
        <v>2283.7852724446766</v>
      </c>
      <c r="J114" s="39">
        <f t="shared" si="33"/>
        <v>367.28531732704715</v>
      </c>
    </row>
    <row r="115" spans="1:29" x14ac:dyDescent="0.2">
      <c r="B115" s="37" t="s">
        <v>155</v>
      </c>
      <c r="C115" s="38">
        <f t="shared" ref="C115:J115" si="34">(SUMPRODUCT(C45:C49,C9:C13)+SUMPRODUCT(C54:C56,C18:C20))*C97/1000</f>
        <v>68053.919679638188</v>
      </c>
      <c r="D115" s="38">
        <f t="shared" si="34"/>
        <v>74.450796010048705</v>
      </c>
      <c r="E115" s="38">
        <f t="shared" si="34"/>
        <v>19989.302662922128</v>
      </c>
      <c r="F115" s="38">
        <f t="shared" si="34"/>
        <v>159.85097681509473</v>
      </c>
      <c r="G115" s="38">
        <f t="shared" si="34"/>
        <v>30142.497279951236</v>
      </c>
      <c r="H115" s="38">
        <f t="shared" si="34"/>
        <v>11866.370992520307</v>
      </c>
      <c r="I115" s="38">
        <f t="shared" si="34"/>
        <v>866.0830164250159</v>
      </c>
      <c r="J115" s="38">
        <f t="shared" si="34"/>
        <v>192.91166888200095</v>
      </c>
    </row>
    <row r="116" spans="1:29" x14ac:dyDescent="0.2">
      <c r="B116" s="37" t="s">
        <v>156</v>
      </c>
      <c r="C116" s="38">
        <f t="shared" ref="C116:J116" si="35">+(SUMPRODUCT(C45:C49,O9:O13)+SUMPRODUCT(C54:C56,O18:O20))*C98/1000</f>
        <v>55448.823075078086</v>
      </c>
      <c r="D116" s="38">
        <f t="shared" si="35"/>
        <v>61.067797915076213</v>
      </c>
      <c r="E116" s="38">
        <f t="shared" si="35"/>
        <v>12246.534467417719</v>
      </c>
      <c r="F116" s="38">
        <f t="shared" si="35"/>
        <v>92.752040062337699</v>
      </c>
      <c r="G116" s="38">
        <f t="shared" si="35"/>
        <v>19682.709512799713</v>
      </c>
      <c r="H116" s="38">
        <f t="shared" si="35"/>
        <v>8085.0965097864746</v>
      </c>
      <c r="I116" s="38">
        <f t="shared" si="35"/>
        <v>1417.702256019661</v>
      </c>
      <c r="J116" s="38">
        <f t="shared" si="35"/>
        <v>174.37364844504611</v>
      </c>
    </row>
    <row r="117" spans="1:29" x14ac:dyDescent="0.2">
      <c r="C117" s="110"/>
      <c r="D117" s="110"/>
      <c r="E117" s="110"/>
      <c r="F117" s="111"/>
      <c r="G117" s="110"/>
      <c r="H117" s="110"/>
      <c r="J117" s="110"/>
    </row>
    <row r="118" spans="1:29" x14ac:dyDescent="0.2">
      <c r="B118" s="5" t="s">
        <v>46</v>
      </c>
      <c r="C118" s="39">
        <f>+C110+C114</f>
        <v>218132.53868260188</v>
      </c>
      <c r="D118" s="39">
        <f t="shared" ref="D118:J118" si="36">+D110+D114</f>
        <v>198.3136626457563</v>
      </c>
      <c r="E118" s="39">
        <f t="shared" si="36"/>
        <v>56930.947114717375</v>
      </c>
      <c r="F118" s="39">
        <f t="shared" si="36"/>
        <v>515.28550672792699</v>
      </c>
      <c r="G118" s="39">
        <f t="shared" si="36"/>
        <v>86052.238302808124</v>
      </c>
      <c r="H118" s="39">
        <f>+H110+H114</f>
        <v>29234.063830095591</v>
      </c>
      <c r="I118" s="39">
        <f t="shared" si="36"/>
        <v>3179.9641364151926</v>
      </c>
      <c r="J118" s="39">
        <f t="shared" si="36"/>
        <v>562.6535877668822</v>
      </c>
    </row>
    <row r="119" spans="1:29" x14ac:dyDescent="0.2">
      <c r="C119" s="110"/>
      <c r="D119" s="110"/>
      <c r="E119" s="110"/>
      <c r="F119" s="111"/>
      <c r="G119" s="110"/>
      <c r="H119" s="110"/>
      <c r="J119" s="110"/>
    </row>
    <row r="120" spans="1:29" x14ac:dyDescent="0.2">
      <c r="B120" s="5" t="s">
        <v>157</v>
      </c>
      <c r="C120" s="38">
        <f>SUM(C118:J118)</f>
        <v>394806.00482377876</v>
      </c>
      <c r="D120" s="110"/>
      <c r="E120" s="110"/>
      <c r="F120" s="111"/>
      <c r="G120" s="110"/>
      <c r="H120" s="110"/>
      <c r="J120" s="110"/>
    </row>
    <row r="121" spans="1:29" x14ac:dyDescent="0.2">
      <c r="A121" s="35"/>
      <c r="C121" s="110"/>
      <c r="D121" s="110"/>
      <c r="E121" s="110"/>
      <c r="F121" s="111"/>
      <c r="G121" s="110"/>
      <c r="H121" s="110"/>
      <c r="J121" s="110"/>
    </row>
    <row r="122" spans="1:29" x14ac:dyDescent="0.2">
      <c r="A122" s="35"/>
      <c r="C122" s="110"/>
      <c r="D122" s="110"/>
      <c r="E122" s="110"/>
      <c r="F122" s="111"/>
      <c r="G122" s="110"/>
      <c r="H122" s="110"/>
      <c r="J122" s="110"/>
    </row>
    <row r="123" spans="1:29" x14ac:dyDescent="0.2">
      <c r="A123" s="34" t="s">
        <v>82</v>
      </c>
      <c r="B123" s="3" t="s">
        <v>158</v>
      </c>
      <c r="C123" s="110"/>
      <c r="D123" s="110"/>
      <c r="E123" s="110"/>
      <c r="F123" s="111"/>
      <c r="G123" s="110"/>
      <c r="H123" s="110"/>
      <c r="J123" s="110"/>
      <c r="P123" s="5" t="s">
        <v>168</v>
      </c>
      <c r="Q123" s="5" t="s">
        <v>164</v>
      </c>
      <c r="R123" s="5" t="s">
        <v>165</v>
      </c>
      <c r="S123" s="7" t="s">
        <v>166</v>
      </c>
    </row>
    <row r="124" spans="1:29" x14ac:dyDescent="0.2">
      <c r="A124" s="35"/>
      <c r="B124" s="4" t="s">
        <v>159</v>
      </c>
      <c r="C124" s="110"/>
      <c r="D124" s="110"/>
      <c r="E124" s="110"/>
      <c r="F124" s="111"/>
      <c r="G124" s="110"/>
      <c r="H124" s="110"/>
      <c r="J124" s="110"/>
      <c r="R124" s="5" t="s">
        <v>169</v>
      </c>
      <c r="S124" s="7" t="s">
        <v>170</v>
      </c>
      <c r="T124" s="5" t="s">
        <v>167</v>
      </c>
    </row>
    <row r="125" spans="1:29" x14ac:dyDescent="0.2">
      <c r="A125" s="35"/>
      <c r="B125" s="4" t="s">
        <v>35</v>
      </c>
      <c r="C125" s="110"/>
      <c r="D125" s="110"/>
      <c r="E125" s="110"/>
      <c r="F125" s="111"/>
      <c r="G125" s="110"/>
      <c r="H125" s="110"/>
      <c r="J125" s="110"/>
    </row>
    <row r="126" spans="1:29" x14ac:dyDescent="0.2">
      <c r="A126" s="35"/>
      <c r="B126" s="3"/>
      <c r="C126" s="55" t="s">
        <v>5</v>
      </c>
      <c r="D126" s="55" t="s">
        <v>148</v>
      </c>
      <c r="E126" s="55" t="s">
        <v>6</v>
      </c>
      <c r="F126" s="55" t="s">
        <v>7</v>
      </c>
      <c r="G126" s="55" t="s">
        <v>8</v>
      </c>
      <c r="H126" s="55" t="s">
        <v>9</v>
      </c>
      <c r="I126" s="55" t="s">
        <v>10</v>
      </c>
      <c r="J126" s="55" t="s">
        <v>11</v>
      </c>
      <c r="P126" s="30" t="str">
        <f>+D126</f>
        <v>RS TOU - BGS</v>
      </c>
      <c r="Q126" s="30" t="str">
        <f>P126</f>
        <v>RS TOU - BGS</v>
      </c>
      <c r="R126" s="30" t="str">
        <f>+D126</f>
        <v>RS TOU - BGS</v>
      </c>
      <c r="S126" s="30" t="str">
        <f>+D126</f>
        <v>RS TOU - BGS</v>
      </c>
      <c r="T126" s="42" t="str">
        <f>+D126</f>
        <v>RS TOU - BGS</v>
      </c>
      <c r="U126" s="30"/>
      <c r="W126" s="30"/>
      <c r="Z126" s="30"/>
      <c r="AC126" s="30"/>
    </row>
    <row r="127" spans="1:29" x14ac:dyDescent="0.2">
      <c r="A127" s="35"/>
      <c r="C127" s="110"/>
      <c r="D127" s="110"/>
      <c r="E127" s="110"/>
      <c r="F127" s="111"/>
      <c r="G127" s="110"/>
      <c r="H127" s="110"/>
      <c r="J127" s="110"/>
    </row>
    <row r="128" spans="1:29" x14ac:dyDescent="0.2">
      <c r="A128" s="35"/>
      <c r="B128" s="36" t="s">
        <v>44</v>
      </c>
      <c r="C128" s="40">
        <f t="shared" ref="C128:J128" si="37">+C110/SUM(C50:C53)*1000</f>
        <v>48.58822560956046</v>
      </c>
      <c r="D128" s="40">
        <f t="shared" si="37"/>
        <v>48.515395954788808</v>
      </c>
      <c r="E128" s="40">
        <f t="shared" si="37"/>
        <v>49.09949221742702</v>
      </c>
      <c r="F128" s="40">
        <f t="shared" si="37"/>
        <v>48.700992817197232</v>
      </c>
      <c r="G128" s="40">
        <f t="shared" si="37"/>
        <v>48.829055189595444</v>
      </c>
      <c r="H128" s="40">
        <f t="shared" si="37"/>
        <v>46.95508234779642</v>
      </c>
      <c r="I128" s="40">
        <f t="shared" si="37"/>
        <v>41.451637338581321</v>
      </c>
      <c r="J128" s="40">
        <f t="shared" si="37"/>
        <v>46.03472211264927</v>
      </c>
    </row>
    <row r="129" spans="1:29" x14ac:dyDescent="0.2">
      <c r="A129" s="35"/>
      <c r="B129" s="37" t="s">
        <v>162</v>
      </c>
      <c r="C129" s="110"/>
      <c r="D129" s="40">
        <f>+(D111*1000-R129*AVERAGE(D$93,D$94))/P129</f>
        <v>67.621645961205431</v>
      </c>
      <c r="E129" s="112"/>
      <c r="F129" s="111"/>
      <c r="G129" s="110"/>
      <c r="H129" s="110"/>
      <c r="J129" s="110"/>
      <c r="P129" s="43">
        <f>SUMPRODUCT(D50:D53,D32:D35)</f>
        <v>435.89328681389259</v>
      </c>
      <c r="Q129" s="43">
        <f>SUMPRODUCT(D50:D53,D14:D17)</f>
        <v>679.3131365750794</v>
      </c>
      <c r="R129" s="43">
        <f>+Q129-P129</f>
        <v>243.41984976118681</v>
      </c>
      <c r="S129" s="44">
        <f>+D129*P129/1000</f>
        <v>29.475821517795218</v>
      </c>
      <c r="W129" s="43"/>
      <c r="Z129" s="44"/>
    </row>
    <row r="130" spans="1:29" ht="15" x14ac:dyDescent="0.35">
      <c r="A130" s="35"/>
      <c r="B130" s="37" t="s">
        <v>163</v>
      </c>
      <c r="C130" s="110"/>
      <c r="D130" s="40">
        <f>+(D112*1000-R130*AVERAGE(D$93,D$94))/P130</f>
        <v>38.81373858720697</v>
      </c>
      <c r="E130" s="110"/>
      <c r="F130" s="111"/>
      <c r="G130" s="110"/>
      <c r="H130" s="110"/>
      <c r="J130" s="110"/>
      <c r="P130" s="43">
        <f>SUMPRODUCT(D50:D53,P32:P35)</f>
        <v>858.43952207732434</v>
      </c>
      <c r="Q130" s="43">
        <f>SUMPRODUCT(D50:D53,P14:P17)</f>
        <v>615.01967231613753</v>
      </c>
      <c r="R130" s="43">
        <f>+Q130-P130</f>
        <v>-243.41984976118681</v>
      </c>
      <c r="S130" s="45">
        <f>+D130*P130/1000</f>
        <v>33.319247202836152</v>
      </c>
      <c r="W130" s="43"/>
      <c r="Z130" s="45"/>
    </row>
    <row r="131" spans="1:29" x14ac:dyDescent="0.2">
      <c r="A131" s="35"/>
      <c r="C131" s="110"/>
      <c r="D131" s="110"/>
      <c r="E131" s="110"/>
      <c r="F131" s="111"/>
      <c r="G131" s="110"/>
      <c r="H131" s="110"/>
      <c r="J131" s="110"/>
      <c r="P131" s="43">
        <f>SUM(P129:P130)</f>
        <v>1294.3328088912169</v>
      </c>
      <c r="Q131" s="43">
        <f>SUM(Q129:Q130)</f>
        <v>1294.3328088912169</v>
      </c>
      <c r="R131" s="43"/>
      <c r="S131" s="44">
        <f>+S130+S129</f>
        <v>62.79506872063137</v>
      </c>
      <c r="T131" s="46">
        <f>+D110</f>
        <v>62.795068720631377</v>
      </c>
      <c r="W131" s="43"/>
      <c r="Z131" s="44"/>
      <c r="AC131" s="46"/>
    </row>
    <row r="132" spans="1:29" x14ac:dyDescent="0.2">
      <c r="A132" s="35"/>
      <c r="B132" s="36" t="s">
        <v>45</v>
      </c>
      <c r="C132" s="41">
        <f t="shared" ref="C132:J132" si="38">+C114/SUM(C45:C49,C54:C56)*1000</f>
        <v>43.417485905790024</v>
      </c>
      <c r="D132" s="41">
        <f t="shared" si="38"/>
        <v>43.613943324547897</v>
      </c>
      <c r="E132" s="41">
        <f t="shared" si="38"/>
        <v>44.109379475415061</v>
      </c>
      <c r="F132" s="41">
        <f t="shared" si="38"/>
        <v>42.839462951497055</v>
      </c>
      <c r="G132" s="41">
        <f t="shared" si="38"/>
        <v>43.770206778813431</v>
      </c>
      <c r="H132" s="41">
        <f t="shared" si="38"/>
        <v>42.585483502588403</v>
      </c>
      <c r="I132" s="41">
        <f t="shared" si="38"/>
        <v>41.520000366985919</v>
      </c>
      <c r="J132" s="41">
        <f t="shared" si="38"/>
        <v>42.98389579698285</v>
      </c>
      <c r="P132" s="43"/>
      <c r="Q132" s="43"/>
      <c r="R132" s="43"/>
      <c r="S132" s="44"/>
      <c r="T132" s="46"/>
      <c r="W132" s="43"/>
      <c r="Z132" s="44"/>
    </row>
    <row r="133" spans="1:29" x14ac:dyDescent="0.2">
      <c r="A133" s="35"/>
      <c r="B133" s="37" t="s">
        <v>162</v>
      </c>
      <c r="C133" s="110"/>
      <c r="D133" s="40">
        <f>+(D115*1000-R133*AVERAGE(D$97,D$98))/P133</f>
        <v>52.130223197611805</v>
      </c>
      <c r="E133" s="110"/>
      <c r="F133" s="111"/>
      <c r="G133" s="110"/>
      <c r="H133" s="110"/>
      <c r="J133" s="110"/>
      <c r="P133" s="43">
        <f>SUMPRODUCT(D45:D49,D27:D31)+SUMPRODUCT(D54:D56,D36:D38)</f>
        <v>972.45739163005521</v>
      </c>
      <c r="Q133" s="43">
        <f>SUMPRODUCT(D45:D49,D9:D13)+SUMPRODUCT(D54:D56,D18:D20)</f>
        <v>1515.5112259516923</v>
      </c>
      <c r="R133" s="43">
        <f>+Q133-P133</f>
        <v>543.05383432163705</v>
      </c>
      <c r="S133" s="44">
        <f>+D133*P133/1000</f>
        <v>50.694420875842177</v>
      </c>
      <c r="T133" s="46"/>
      <c r="W133" s="43"/>
      <c r="Z133" s="44"/>
    </row>
    <row r="134" spans="1:29" ht="15" x14ac:dyDescent="0.35">
      <c r="A134" s="35"/>
      <c r="B134" s="37" t="s">
        <v>163</v>
      </c>
      <c r="C134" s="110"/>
      <c r="D134" s="40">
        <f>+(D116*1000-R134*AVERAGE(D$97,D$98))/P134</f>
        <v>39.734506400277574</v>
      </c>
      <c r="E134" s="110"/>
      <c r="F134" s="111"/>
      <c r="G134" s="110"/>
      <c r="H134" s="110"/>
      <c r="J134" s="110"/>
      <c r="P134" s="43">
        <f>SUMPRODUCT(D45:D49,P27:P31)+SUMPRODUCT(D54:D56,P36:P38)</f>
        <v>2134.7735440521333</v>
      </c>
      <c r="Q134" s="43">
        <f>SUMPRODUCT(D45:D49,P9:P13)+SUMPRODUCT(D54:D56,P18:P20)</f>
        <v>1591.7197097304963</v>
      </c>
      <c r="R134" s="43">
        <f>+Q134-P134</f>
        <v>-543.05383432163694</v>
      </c>
      <c r="S134" s="45">
        <f>+D134*P134/1000</f>
        <v>84.824173049282734</v>
      </c>
      <c r="T134" s="46"/>
      <c r="W134" s="43"/>
      <c r="Z134" s="45"/>
    </row>
    <row r="135" spans="1:29" x14ac:dyDescent="0.2">
      <c r="A135" s="35"/>
      <c r="C135" s="110"/>
      <c r="D135" s="110"/>
      <c r="E135" s="110"/>
      <c r="F135" s="111"/>
      <c r="G135" s="110"/>
      <c r="H135" s="110"/>
      <c r="J135" s="110"/>
      <c r="P135" s="43">
        <f>SUM(P133:P134)</f>
        <v>3107.2309356821884</v>
      </c>
      <c r="Q135" s="43">
        <f>SUM(Q133:Q134)</f>
        <v>3107.2309356821888</v>
      </c>
      <c r="S135" s="44">
        <f>+S134+S133</f>
        <v>135.51859392512492</v>
      </c>
      <c r="T135" s="46">
        <f>+D114</f>
        <v>135.51859392512492</v>
      </c>
      <c r="Z135" s="44"/>
      <c r="AC135" s="46"/>
    </row>
    <row r="136" spans="1:29" x14ac:dyDescent="0.2">
      <c r="A136" s="35"/>
      <c r="B136" s="5" t="s">
        <v>160</v>
      </c>
      <c r="C136" s="16">
        <f t="shared" ref="C136:J136" si="39">(C128*SUM(C50:C53)+C132*SUM(C45:C49,C54:C56))/C57</f>
        <v>45.518946690572015</v>
      </c>
      <c r="D136" s="16">
        <f t="shared" si="39"/>
        <v>45.055274478360786</v>
      </c>
      <c r="E136" s="16">
        <f t="shared" si="39"/>
        <v>46.143645839960712</v>
      </c>
      <c r="F136" s="16">
        <f t="shared" si="39"/>
        <v>45.639729866849429</v>
      </c>
      <c r="G136" s="16">
        <f t="shared" si="39"/>
        <v>45.76634279964285</v>
      </c>
      <c r="H136" s="16">
        <f t="shared" si="39"/>
        <v>43.882146440465078</v>
      </c>
      <c r="I136" s="16">
        <f t="shared" si="39"/>
        <v>41.500711459931956</v>
      </c>
      <c r="J136" s="16">
        <f t="shared" si="39"/>
        <v>43.996316970969353</v>
      </c>
      <c r="P136" s="43"/>
      <c r="Q136" s="43"/>
    </row>
    <row r="137" spans="1:29" x14ac:dyDescent="0.2">
      <c r="A137" s="35"/>
      <c r="B137" s="5" t="s">
        <v>161</v>
      </c>
      <c r="C137" s="40">
        <f>+C120/SUM(C57:J57)*1000</f>
        <v>45.497907555067513</v>
      </c>
      <c r="D137" s="110"/>
      <c r="E137" s="110"/>
      <c r="F137" s="111"/>
      <c r="G137" s="110"/>
      <c r="H137" s="110"/>
      <c r="J137" s="110"/>
    </row>
    <row r="138" spans="1:29" x14ac:dyDescent="0.2">
      <c r="A138" s="35"/>
      <c r="C138" s="110"/>
      <c r="D138" s="110"/>
      <c r="E138" s="110"/>
      <c r="F138" s="111"/>
      <c r="G138" s="110"/>
      <c r="H138" s="110"/>
      <c r="J138" s="110"/>
    </row>
    <row r="139" spans="1:29" x14ac:dyDescent="0.2">
      <c r="A139" s="35"/>
      <c r="C139" s="110"/>
      <c r="D139" s="110"/>
      <c r="E139" s="110"/>
      <c r="F139" s="111"/>
      <c r="G139" s="110"/>
      <c r="H139" s="110"/>
      <c r="J139" s="110"/>
    </row>
    <row r="140" spans="1:29" x14ac:dyDescent="0.2">
      <c r="A140" s="34" t="s">
        <v>89</v>
      </c>
      <c r="B140" s="3" t="s">
        <v>49</v>
      </c>
    </row>
    <row r="141" spans="1:29" x14ac:dyDescent="0.2">
      <c r="A141" s="35"/>
      <c r="B141" s="4" t="s">
        <v>262</v>
      </c>
    </row>
    <row r="142" spans="1:29" x14ac:dyDescent="0.2">
      <c r="A142" s="35"/>
      <c r="B142" s="4" t="s">
        <v>50</v>
      </c>
      <c r="C142" s="55" t="s">
        <v>5</v>
      </c>
      <c r="D142" s="55" t="s">
        <v>148</v>
      </c>
      <c r="E142" s="55" t="s">
        <v>6</v>
      </c>
      <c r="F142" s="55" t="s">
        <v>7</v>
      </c>
      <c r="G142" s="55" t="s">
        <v>8</v>
      </c>
      <c r="H142" s="55" t="s">
        <v>9</v>
      </c>
      <c r="I142" s="55" t="s">
        <v>10</v>
      </c>
      <c r="J142" s="55" t="s">
        <v>11</v>
      </c>
      <c r="K142" s="55" t="s">
        <v>29</v>
      </c>
      <c r="L142" s="30"/>
    </row>
    <row r="143" spans="1:29" x14ac:dyDescent="0.2">
      <c r="A143" s="35"/>
    </row>
    <row r="144" spans="1:29" x14ac:dyDescent="0.2">
      <c r="A144" s="35"/>
      <c r="B144" s="5" t="s">
        <v>51</v>
      </c>
      <c r="C144" s="152">
        <v>1353.2580600000001</v>
      </c>
      <c r="D144" s="152">
        <v>0.80442000000000002</v>
      </c>
      <c r="E144" s="152">
        <v>333.58879999999999</v>
      </c>
      <c r="F144" s="152">
        <v>4.9576799999999999</v>
      </c>
      <c r="G144" s="152">
        <v>399.20656000000002</v>
      </c>
      <c r="H144" s="152">
        <v>92.869600000000005</v>
      </c>
      <c r="I144" s="152">
        <v>7.1900000000000002E-3</v>
      </c>
      <c r="J144" s="152">
        <v>1.5468500000000001</v>
      </c>
      <c r="K144" s="152">
        <f>SUM(C144:J144)</f>
        <v>2186.2391600000001</v>
      </c>
      <c r="L144" s="134"/>
      <c r="T144" s="5">
        <v>2128.5869999999995</v>
      </c>
    </row>
    <row r="145" spans="1:20" x14ac:dyDescent="0.2">
      <c r="A145" s="35"/>
      <c r="B145" s="5" t="s">
        <v>52</v>
      </c>
      <c r="C145" s="152">
        <v>1468.7146008333334</v>
      </c>
      <c r="D145" s="152">
        <v>0.87305107142857141</v>
      </c>
      <c r="E145" s="152">
        <v>362.04974920634919</v>
      </c>
      <c r="F145" s="152">
        <v>5.380656666666666</v>
      </c>
      <c r="G145" s="152">
        <v>433.26584984126981</v>
      </c>
      <c r="H145" s="152">
        <v>100.79299841269841</v>
      </c>
      <c r="I145" s="152">
        <v>7.803432539682539E-3</v>
      </c>
      <c r="J145" s="152">
        <v>1.6788233134920634</v>
      </c>
      <c r="K145" s="152">
        <f>SUM(C145:J145)</f>
        <v>2372.763532777778</v>
      </c>
      <c r="L145" s="135"/>
      <c r="T145" s="5">
        <v>2154.8000000000002</v>
      </c>
    </row>
    <row r="146" spans="1:20" x14ac:dyDescent="0.2">
      <c r="A146" s="35"/>
    </row>
    <row r="147" spans="1:20" x14ac:dyDescent="0.2">
      <c r="A147" s="35"/>
      <c r="B147" s="5" t="s">
        <v>53</v>
      </c>
      <c r="C147" s="152">
        <v>1710.4834900000001</v>
      </c>
      <c r="D147" s="152">
        <v>0.9927999999999999</v>
      </c>
      <c r="E147" s="152">
        <v>361.80503000000004</v>
      </c>
      <c r="F147" s="152">
        <v>5.0528399999999998</v>
      </c>
      <c r="G147" s="152">
        <v>421.89246999999995</v>
      </c>
      <c r="H147" s="152">
        <v>94.663110000000003</v>
      </c>
      <c r="I147" s="152">
        <v>7.1300000000000001E-3</v>
      </c>
      <c r="J147" s="152">
        <v>1.6476899999999999</v>
      </c>
      <c r="K147" s="152">
        <f>SUM(C147:J147)</f>
        <v>2596.5445599999994</v>
      </c>
      <c r="L147" s="134"/>
      <c r="M147" s="46"/>
      <c r="N147" s="46"/>
      <c r="T147" s="5">
        <v>2387.9349999999999</v>
      </c>
    </row>
    <row r="148" spans="1:20" x14ac:dyDescent="0.2">
      <c r="C148" s="134"/>
      <c r="D148" s="134"/>
      <c r="E148" s="134"/>
      <c r="F148" s="134"/>
      <c r="G148" s="134"/>
      <c r="H148" s="134"/>
      <c r="I148" s="134"/>
      <c r="K148" s="135"/>
      <c r="M148" s="135"/>
      <c r="N148" s="43"/>
    </row>
    <row r="149" spans="1:20" x14ac:dyDescent="0.2">
      <c r="B149" s="5" t="s">
        <v>54</v>
      </c>
      <c r="L149" s="30"/>
      <c r="M149" s="136"/>
      <c r="N149" s="136"/>
    </row>
    <row r="150" spans="1:20" x14ac:dyDescent="0.2">
      <c r="E150" s="7" t="s">
        <v>55</v>
      </c>
      <c r="F150" s="48">
        <f>31+30+31+30</f>
        <v>122</v>
      </c>
      <c r="H150" s="7" t="s">
        <v>56</v>
      </c>
      <c r="I150" s="48">
        <v>4</v>
      </c>
      <c r="K150" s="137"/>
    </row>
    <row r="151" spans="1:20" x14ac:dyDescent="0.2">
      <c r="E151" s="138" t="s">
        <v>57</v>
      </c>
      <c r="F151" s="48">
        <v>243</v>
      </c>
      <c r="H151" s="138" t="s">
        <v>58</v>
      </c>
      <c r="I151" s="48">
        <v>8</v>
      </c>
      <c r="K151" s="139"/>
      <c r="L151" s="6"/>
    </row>
    <row r="152" spans="1:20" x14ac:dyDescent="0.2">
      <c r="H152" s="7" t="s">
        <v>59</v>
      </c>
      <c r="I152" s="5">
        <f>+I150+I151</f>
        <v>12</v>
      </c>
      <c r="K152" s="139"/>
      <c r="L152" s="6"/>
      <c r="M152" s="46"/>
    </row>
    <row r="153" spans="1:20" x14ac:dyDescent="0.2">
      <c r="A153" s="35"/>
      <c r="B153" s="5" t="s">
        <v>60</v>
      </c>
      <c r="E153" s="83">
        <v>24997.069690332264</v>
      </c>
      <c r="F153" s="113" t="s">
        <v>61</v>
      </c>
      <c r="L153" s="140"/>
    </row>
    <row r="154" spans="1:20" x14ac:dyDescent="0.2">
      <c r="A154" s="35"/>
      <c r="F154" s="113"/>
    </row>
    <row r="155" spans="1:20" x14ac:dyDescent="0.2">
      <c r="A155" s="35"/>
      <c r="B155" s="5" t="s">
        <v>62</v>
      </c>
      <c r="C155" s="5" t="s">
        <v>63</v>
      </c>
      <c r="E155" s="154">
        <v>182.11815014235768</v>
      </c>
      <c r="F155" s="113" t="s">
        <v>64</v>
      </c>
      <c r="H155" s="7" t="s">
        <v>65</v>
      </c>
      <c r="I155" s="46">
        <f>$K$145*$E155*$F150</f>
        <v>52719043.248397596</v>
      </c>
      <c r="Q155" s="7"/>
      <c r="R155" s="7"/>
      <c r="S155" s="114"/>
    </row>
    <row r="156" spans="1:20" x14ac:dyDescent="0.2">
      <c r="A156" s="35"/>
      <c r="C156" s="5" t="s">
        <v>66</v>
      </c>
      <c r="E156" s="141">
        <f>+E155</f>
        <v>182.11815014235768</v>
      </c>
      <c r="F156" s="113" t="s">
        <v>64</v>
      </c>
      <c r="H156" s="142" t="s">
        <v>67</v>
      </c>
      <c r="I156" s="143">
        <f>$K$145*$E156*$F151</f>
        <v>105005963.19148046</v>
      </c>
      <c r="J156" s="7"/>
      <c r="K156" s="7"/>
      <c r="L156" s="114"/>
    </row>
    <row r="157" spans="1:20" x14ac:dyDescent="0.2">
      <c r="A157" s="35"/>
      <c r="E157" s="144"/>
      <c r="F157" s="113"/>
      <c r="H157" s="7" t="s">
        <v>68</v>
      </c>
      <c r="I157" s="46">
        <f>SUM(I155:I156)</f>
        <v>157725006.43987805</v>
      </c>
      <c r="J157" s="7"/>
      <c r="K157" s="7"/>
      <c r="L157" s="114"/>
    </row>
    <row r="158" spans="1:20" x14ac:dyDescent="0.2">
      <c r="A158" s="35"/>
      <c r="F158" s="113"/>
      <c r="J158" s="7"/>
      <c r="K158" s="7"/>
      <c r="L158" s="114"/>
    </row>
    <row r="159" spans="1:20" x14ac:dyDescent="0.2">
      <c r="A159" s="35"/>
      <c r="J159" s="7"/>
      <c r="K159" s="7"/>
      <c r="L159" s="114"/>
    </row>
    <row r="160" spans="1:20" x14ac:dyDescent="0.2">
      <c r="A160" s="35"/>
      <c r="B160" s="4" t="s">
        <v>69</v>
      </c>
      <c r="J160" s="7"/>
      <c r="K160" s="7"/>
      <c r="L160" s="114"/>
    </row>
    <row r="161" spans="1:13" x14ac:dyDescent="0.2">
      <c r="A161" s="35"/>
      <c r="B161" s="4"/>
      <c r="C161" s="8" t="str">
        <f>" ---------- Rate "&amp;C142&amp;" ----------"</f>
        <v xml:space="preserve"> ---------- Rate RS ----------</v>
      </c>
      <c r="D161" s="8"/>
      <c r="E161" s="9"/>
      <c r="F161" s="9"/>
      <c r="J161" s="7"/>
      <c r="K161" s="7"/>
      <c r="L161" s="114"/>
    </row>
    <row r="162" spans="1:13" x14ac:dyDescent="0.2">
      <c r="A162" s="35"/>
      <c r="C162" s="10" t="s">
        <v>70</v>
      </c>
      <c r="D162" s="10"/>
      <c r="F162" s="10" t="s">
        <v>71</v>
      </c>
      <c r="H162" s="5" t="s">
        <v>72</v>
      </c>
      <c r="J162" s="115">
        <v>1203019186.1160243</v>
      </c>
      <c r="K162" s="7"/>
      <c r="L162" s="114"/>
    </row>
    <row r="163" spans="1:13" x14ac:dyDescent="0.2">
      <c r="A163" s="35"/>
      <c r="B163" s="7" t="s">
        <v>73</v>
      </c>
      <c r="C163" s="11">
        <v>5.4802</v>
      </c>
      <c r="D163" s="11"/>
      <c r="E163" s="12"/>
      <c r="F163" s="13">
        <f>J162/($J$162+$J$165)</f>
        <v>0.59380581169451763</v>
      </c>
      <c r="H163" s="5" t="s">
        <v>74</v>
      </c>
      <c r="J163" s="115">
        <v>1713691221.8137984</v>
      </c>
      <c r="K163" s="7"/>
      <c r="L163" s="114"/>
    </row>
    <row r="164" spans="1:13" x14ac:dyDescent="0.2">
      <c r="A164" s="35"/>
      <c r="B164" s="7" t="s">
        <v>75</v>
      </c>
      <c r="C164" s="14">
        <v>6.3453999999999997</v>
      </c>
      <c r="D164" s="14"/>
      <c r="E164" s="12"/>
      <c r="F164" s="13">
        <f>1-F163</f>
        <v>0.40619418830548237</v>
      </c>
      <c r="J164" s="115"/>
      <c r="K164" s="7"/>
      <c r="L164" s="114"/>
    </row>
    <row r="165" spans="1:13" x14ac:dyDescent="0.2">
      <c r="A165" s="35"/>
      <c r="B165" s="15" t="s">
        <v>76</v>
      </c>
      <c r="C165" s="11">
        <f>C164-C163</f>
        <v>0.86519999999999975</v>
      </c>
      <c r="D165" s="11"/>
      <c r="E165" s="12"/>
      <c r="F165" s="12"/>
      <c r="G165" s="113"/>
      <c r="H165" s="5" t="s">
        <v>77</v>
      </c>
      <c r="J165" s="68">
        <v>822927954.21765018</v>
      </c>
    </row>
    <row r="166" spans="1:13" x14ac:dyDescent="0.2">
      <c r="A166" s="35"/>
      <c r="B166" s="15"/>
      <c r="C166" s="11"/>
      <c r="D166" s="11"/>
      <c r="E166" s="12"/>
      <c r="F166" s="12"/>
      <c r="G166" s="113"/>
      <c r="H166" s="5" t="s">
        <v>78</v>
      </c>
      <c r="J166" s="146">
        <v>889639988.85252726</v>
      </c>
    </row>
    <row r="167" spans="1:13" x14ac:dyDescent="0.2">
      <c r="A167" s="35"/>
      <c r="B167" s="15"/>
      <c r="C167" s="11"/>
      <c r="D167" s="11"/>
      <c r="E167" s="12"/>
      <c r="F167" s="12"/>
      <c r="G167" s="113"/>
      <c r="J167" s="68">
        <f>SUM(J162:J166)</f>
        <v>4629278351.000001</v>
      </c>
    </row>
    <row r="168" spans="1:13" x14ac:dyDescent="0.2">
      <c r="A168" s="34" t="s">
        <v>95</v>
      </c>
      <c r="B168" s="3" t="s">
        <v>80</v>
      </c>
      <c r="G168" s="113"/>
      <c r="J168" s="145"/>
    </row>
    <row r="169" spans="1:13" x14ac:dyDescent="0.2">
      <c r="A169" s="35"/>
      <c r="B169" s="4" t="s">
        <v>81</v>
      </c>
      <c r="E169" s="6">
        <v>3</v>
      </c>
      <c r="G169" s="113"/>
    </row>
    <row r="170" spans="1:13" x14ac:dyDescent="0.2">
      <c r="A170" s="35"/>
      <c r="B170" s="4"/>
      <c r="G170" s="113"/>
    </row>
    <row r="171" spans="1:13" x14ac:dyDescent="0.2">
      <c r="A171" s="35"/>
      <c r="B171" s="3"/>
      <c r="F171" s="83"/>
      <c r="G171" s="113"/>
    </row>
    <row r="172" spans="1:13" x14ac:dyDescent="0.2">
      <c r="A172" s="34" t="s">
        <v>101</v>
      </c>
      <c r="B172" s="3" t="s">
        <v>83</v>
      </c>
    </row>
    <row r="173" spans="1:13" x14ac:dyDescent="0.2">
      <c r="A173" s="34"/>
      <c r="B173" s="3"/>
      <c r="C173" s="55" t="s">
        <v>5</v>
      </c>
      <c r="D173" s="55" t="s">
        <v>148</v>
      </c>
      <c r="E173" s="55" t="s">
        <v>6</v>
      </c>
      <c r="F173" s="55" t="s">
        <v>7</v>
      </c>
      <c r="G173" s="55" t="s">
        <v>8</v>
      </c>
      <c r="H173" s="55" t="s">
        <v>9</v>
      </c>
      <c r="I173" s="55" t="s">
        <v>10</v>
      </c>
      <c r="J173" s="55" t="s">
        <v>11</v>
      </c>
      <c r="K173" s="55" t="s">
        <v>29</v>
      </c>
    </row>
    <row r="174" spans="1:13" x14ac:dyDescent="0.2">
      <c r="A174" s="35"/>
      <c r="B174" s="7" t="s">
        <v>84</v>
      </c>
      <c r="C174" s="116">
        <f t="shared" ref="C174:K174" si="40">(+$E$153*C147)/C57</f>
        <v>8.9223599078440099</v>
      </c>
      <c r="D174" s="116">
        <f t="shared" si="40"/>
        <v>5.63824409430815</v>
      </c>
      <c r="E174" s="116">
        <f t="shared" si="40"/>
        <v>7.3303919714492229</v>
      </c>
      <c r="F174" s="116">
        <f t="shared" si="40"/>
        <v>11.18715834579287</v>
      </c>
      <c r="G174" s="116">
        <f t="shared" si="40"/>
        <v>5.6088640443568467</v>
      </c>
      <c r="H174" s="116">
        <f t="shared" si="40"/>
        <v>3.5519638810888514</v>
      </c>
      <c r="I174" s="116">
        <f t="shared" si="40"/>
        <v>2.3260119993766446E-3</v>
      </c>
      <c r="J174" s="116">
        <f t="shared" si="40"/>
        <v>3.2206226038241295</v>
      </c>
      <c r="K174" s="116">
        <f t="shared" si="40"/>
        <v>7.4798442621285988</v>
      </c>
      <c r="L174" s="116"/>
      <c r="M174" s="117"/>
    </row>
    <row r="175" spans="1:13" x14ac:dyDescent="0.2">
      <c r="A175" s="35"/>
      <c r="B175" s="7"/>
      <c r="C175" s="116"/>
      <c r="D175" s="116"/>
      <c r="E175" s="116"/>
      <c r="F175" s="116"/>
      <c r="H175" s="116"/>
      <c r="I175" s="116"/>
      <c r="J175" s="116"/>
      <c r="K175" s="116"/>
      <c r="L175" s="116"/>
      <c r="M175" s="117"/>
    </row>
    <row r="176" spans="1:13" x14ac:dyDescent="0.2">
      <c r="A176" s="35"/>
      <c r="B176" s="7" t="s">
        <v>85</v>
      </c>
      <c r="C176" s="116"/>
      <c r="D176" s="116"/>
      <c r="E176" s="116"/>
      <c r="F176" s="116"/>
      <c r="H176" s="116"/>
      <c r="I176" s="116"/>
      <c r="J176" s="116"/>
      <c r="K176" s="116"/>
      <c r="L176" s="116"/>
    </row>
    <row r="177" spans="1:12" x14ac:dyDescent="0.2">
      <c r="B177" s="7" t="s">
        <v>86</v>
      </c>
      <c r="C177" s="116">
        <f t="shared" ref="C177:J177" si="41">($I$157*(C$145/$K$145))/C57</f>
        <v>20.373012760186441</v>
      </c>
      <c r="D177" s="116">
        <f t="shared" si="41"/>
        <v>13.184957937075481</v>
      </c>
      <c r="E177" s="116">
        <f t="shared" si="41"/>
        <v>19.506432189141538</v>
      </c>
      <c r="F177" s="116">
        <f t="shared" si="41"/>
        <v>31.679368357429325</v>
      </c>
      <c r="G177" s="116">
        <f t="shared" si="41"/>
        <v>15.317383713097268</v>
      </c>
      <c r="H177" s="116">
        <f t="shared" si="41"/>
        <v>10.05715471526198</v>
      </c>
      <c r="I177" s="116">
        <f t="shared" si="41"/>
        <v>6.7696325321233066E-3</v>
      </c>
      <c r="J177" s="116">
        <f t="shared" si="41"/>
        <v>8.7262231774498922</v>
      </c>
      <c r="K177" s="116"/>
      <c r="L177" s="116"/>
    </row>
    <row r="178" spans="1:12" x14ac:dyDescent="0.2">
      <c r="A178" s="35"/>
      <c r="B178" s="7" t="s">
        <v>87</v>
      </c>
      <c r="C178" s="116">
        <f>($I$155*(C$145/$K$145))/SUM(C50:C53)</f>
        <v>16.755354050884396</v>
      </c>
      <c r="D178" s="116">
        <f>($I$155*(D$145/$K$145))/SUMPRODUCT(D50:D53,D14:D17)</f>
        <v>28.555035050581321</v>
      </c>
      <c r="E178" s="116">
        <f t="shared" ref="E178:J178" si="42">($I$155*(E$145/$K$145))/SUM(E50:E53)</f>
        <v>15.993641167417376</v>
      </c>
      <c r="F178" s="116">
        <f t="shared" si="42"/>
        <v>22.164351698475002</v>
      </c>
      <c r="G178" s="116">
        <f t="shared" si="42"/>
        <v>12.975171066641483</v>
      </c>
      <c r="H178" s="116">
        <f t="shared" si="42"/>
        <v>11.328086790436171</v>
      </c>
      <c r="I178" s="116">
        <f t="shared" si="42"/>
        <v>8.0194712374253123E-3</v>
      </c>
      <c r="J178" s="116">
        <f t="shared" si="42"/>
        <v>8.7892040396112261</v>
      </c>
      <c r="K178" s="116"/>
      <c r="L178" s="116"/>
    </row>
    <row r="179" spans="1:12" x14ac:dyDescent="0.2">
      <c r="A179" s="35"/>
      <c r="B179" s="7" t="s">
        <v>88</v>
      </c>
      <c r="C179" s="116">
        <f>($I$156*(C$145/$K$145))/SUM(C45:C49,C54:C56)</f>
        <v>22.849935878281183</v>
      </c>
      <c r="D179" s="116">
        <f>($I$156*(D$145/$K$145))/(SUMPRODUCT(D45:D49,P9:P13)+SUMPRODUCT(D54:D56,P18:P20))</f>
        <v>24.27350881448649</v>
      </c>
      <c r="E179" s="116">
        <f t="shared" ref="E179:J179" si="43">($I$156*(E$145/$K$145))/SUM(E45:E49,E54:E56)</f>
        <v>21.923997823014819</v>
      </c>
      <c r="F179" s="116">
        <f t="shared" si="43"/>
        <v>40.383157212310003</v>
      </c>
      <c r="G179" s="116">
        <f t="shared" si="43"/>
        <v>16.843930915952622</v>
      </c>
      <c r="H179" s="116">
        <f t="shared" si="43"/>
        <v>9.5208693620577804</v>
      </c>
      <c r="I179" s="116">
        <f t="shared" si="43"/>
        <v>6.2783751859801888E-3</v>
      </c>
      <c r="J179" s="116">
        <f t="shared" si="43"/>
        <v>8.6949422720477845</v>
      </c>
      <c r="K179" s="116"/>
      <c r="L179" s="116"/>
    </row>
    <row r="180" spans="1:12" x14ac:dyDescent="0.2">
      <c r="A180" s="35"/>
      <c r="F180" s="116"/>
      <c r="G180" s="116"/>
      <c r="H180" s="116"/>
      <c r="I180" s="116"/>
      <c r="K180" s="116"/>
      <c r="L180" s="116"/>
    </row>
    <row r="182" spans="1:12" x14ac:dyDescent="0.2">
      <c r="A182" s="34" t="s">
        <v>106</v>
      </c>
      <c r="B182" s="3" t="s">
        <v>90</v>
      </c>
    </row>
    <row r="183" spans="1:12" x14ac:dyDescent="0.2">
      <c r="A183" s="35"/>
      <c r="B183" s="4" t="s">
        <v>91</v>
      </c>
    </row>
    <row r="184" spans="1:12" x14ac:dyDescent="0.2">
      <c r="A184" s="35"/>
      <c r="B184" s="4" t="s">
        <v>35</v>
      </c>
    </row>
    <row r="185" spans="1:12" x14ac:dyDescent="0.2">
      <c r="A185" s="35"/>
      <c r="C185" s="55" t="s">
        <v>5</v>
      </c>
      <c r="D185" s="55" t="s">
        <v>148</v>
      </c>
      <c r="E185" s="55" t="s">
        <v>6</v>
      </c>
      <c r="F185" s="55" t="s">
        <v>7</v>
      </c>
      <c r="G185" s="55" t="s">
        <v>8</v>
      </c>
      <c r="H185" s="55" t="s">
        <v>9</v>
      </c>
      <c r="I185" s="55" t="s">
        <v>10</v>
      </c>
      <c r="J185" s="55" t="s">
        <v>11</v>
      </c>
    </row>
    <row r="186" spans="1:12" x14ac:dyDescent="0.2">
      <c r="A186" s="35"/>
      <c r="C186" s="30"/>
      <c r="D186" s="30"/>
      <c r="E186" s="30"/>
      <c r="F186" s="30"/>
      <c r="H186" s="30"/>
    </row>
    <row r="187" spans="1:12" x14ac:dyDescent="0.2">
      <c r="A187" s="35"/>
      <c r="B187" s="36" t="s">
        <v>44</v>
      </c>
      <c r="C187" s="16">
        <f t="shared" ref="C187:J187" si="44">+C128+($E$169*C$80)+C$174+C178</f>
        <v>77.539132879809756</v>
      </c>
      <c r="D187" s="16">
        <f t="shared" si="44"/>
        <v>85.981868411199173</v>
      </c>
      <c r="E187" s="16">
        <f t="shared" si="44"/>
        <v>75.696718667814508</v>
      </c>
      <c r="F187" s="16">
        <f t="shared" si="44"/>
        <v>85.229228884111848</v>
      </c>
      <c r="G187" s="16">
        <f t="shared" si="44"/>
        <v>70.686283612114664</v>
      </c>
      <c r="H187" s="16">
        <f t="shared" si="44"/>
        <v>65.011859041968194</v>
      </c>
      <c r="I187" s="16">
        <f t="shared" si="44"/>
        <v>44.735176133339017</v>
      </c>
      <c r="J187" s="16">
        <f t="shared" si="44"/>
        <v>61.317742067605522</v>
      </c>
    </row>
    <row r="188" spans="1:12" x14ac:dyDescent="0.2">
      <c r="A188" s="35"/>
      <c r="B188" s="37" t="s">
        <v>171</v>
      </c>
      <c r="C188" s="16"/>
      <c r="D188" s="16">
        <f>D$129+(E$169*D$80)+D$174+D$178</f>
        <v>105.08811841761579</v>
      </c>
      <c r="E188" s="16"/>
      <c r="F188" s="16"/>
      <c r="G188" s="16"/>
      <c r="H188" s="16"/>
      <c r="I188" s="16"/>
      <c r="J188" s="16"/>
    </row>
    <row r="189" spans="1:12" x14ac:dyDescent="0.2">
      <c r="A189" s="35"/>
      <c r="B189" s="37" t="s">
        <v>172</v>
      </c>
      <c r="C189" s="16"/>
      <c r="D189" s="16">
        <f>D$130+(E$169*D$80)+D$174</f>
        <v>47.725175993036011</v>
      </c>
      <c r="E189" s="16"/>
      <c r="F189" s="16"/>
      <c r="G189" s="16"/>
      <c r="H189" s="16"/>
      <c r="I189" s="16"/>
      <c r="J189" s="16"/>
    </row>
    <row r="190" spans="1:12" x14ac:dyDescent="0.2">
      <c r="A190" s="35"/>
      <c r="B190" s="7" t="s">
        <v>73</v>
      </c>
      <c r="C190" s="16">
        <f>(C187*SUM(C50:C53)-$C$165*10*$F$164*SUM(C50:C53))/SUM(C50:C53)</f>
        <v>74.02474076259071</v>
      </c>
      <c r="D190" s="16"/>
      <c r="E190" s="16"/>
      <c r="F190" s="16"/>
      <c r="G190" s="16"/>
      <c r="H190" s="16"/>
      <c r="I190" s="16"/>
      <c r="J190" s="16"/>
    </row>
    <row r="191" spans="1:12" x14ac:dyDescent="0.2">
      <c r="A191" s="35"/>
      <c r="B191" s="7" t="s">
        <v>75</v>
      </c>
      <c r="C191" s="16">
        <f>+C190+$C$165*10</f>
        <v>82.676740762590711</v>
      </c>
      <c r="D191" s="16"/>
      <c r="E191" s="16"/>
      <c r="F191" s="16"/>
      <c r="G191" s="16"/>
      <c r="H191" s="16"/>
      <c r="I191" s="16"/>
      <c r="J191" s="16"/>
    </row>
    <row r="192" spans="1:12" x14ac:dyDescent="0.2">
      <c r="A192" s="35"/>
      <c r="C192" s="16"/>
      <c r="D192" s="16"/>
      <c r="E192" s="16"/>
      <c r="F192" s="16"/>
      <c r="G192" s="16"/>
      <c r="H192" s="16"/>
      <c r="I192" s="16"/>
      <c r="J192" s="16"/>
    </row>
    <row r="193" spans="1:10" x14ac:dyDescent="0.2">
      <c r="A193" s="35"/>
      <c r="B193" s="36" t="s">
        <v>45</v>
      </c>
      <c r="C193" s="16">
        <f t="shared" ref="C193:J193" si="45">+C132+($E$169*C$80)+C$174+C179</f>
        <v>78.462975003436114</v>
      </c>
      <c r="D193" s="16">
        <f t="shared" si="45"/>
        <v>76.798889544863428</v>
      </c>
      <c r="E193" s="16">
        <f t="shared" si="45"/>
        <v>76.636962581399999</v>
      </c>
      <c r="F193" s="16">
        <f t="shared" si="45"/>
        <v>97.586504532246664</v>
      </c>
      <c r="G193" s="16">
        <f t="shared" si="45"/>
        <v>69.496195050643792</v>
      </c>
      <c r="H193" s="16">
        <f t="shared" si="45"/>
        <v>58.835042768381783</v>
      </c>
      <c r="I193" s="16">
        <f t="shared" si="45"/>
        <v>44.801798065692168</v>
      </c>
      <c r="J193" s="16">
        <f t="shared" si="45"/>
        <v>58.172653984375657</v>
      </c>
    </row>
    <row r="194" spans="1:10" x14ac:dyDescent="0.2">
      <c r="A194" s="35"/>
      <c r="B194" s="37" t="s">
        <v>171</v>
      </c>
      <c r="C194" s="16"/>
      <c r="D194" s="16">
        <f>D$133+($E$169*D$80)+$D$174+D179</f>
        <v>85.315169417927336</v>
      </c>
      <c r="E194" s="16"/>
      <c r="F194" s="16"/>
      <c r="G194" s="16"/>
      <c r="H194" s="16"/>
      <c r="I194" s="16"/>
      <c r="J194" s="16"/>
    </row>
    <row r="195" spans="1:10" x14ac:dyDescent="0.2">
      <c r="A195" s="35"/>
      <c r="B195" s="37" t="s">
        <v>172</v>
      </c>
      <c r="C195" s="16"/>
      <c r="D195" s="16">
        <f>D$134+($E$169*D$80)+$D$174</f>
        <v>48.645943806106615</v>
      </c>
      <c r="E195" s="16"/>
      <c r="F195" s="16"/>
      <c r="G195" s="16"/>
      <c r="H195" s="16"/>
      <c r="I195" s="16"/>
      <c r="J195" s="16"/>
    </row>
    <row r="196" spans="1:10" x14ac:dyDescent="0.2">
      <c r="A196" s="35"/>
      <c r="C196" s="16"/>
      <c r="D196" s="16"/>
      <c r="E196" s="16"/>
      <c r="F196" s="16"/>
      <c r="G196" s="16"/>
      <c r="H196" s="16"/>
      <c r="I196" s="16"/>
      <c r="J196" s="16"/>
    </row>
    <row r="197" spans="1:10" x14ac:dyDescent="0.2">
      <c r="A197" s="35"/>
      <c r="B197" s="5" t="s">
        <v>46</v>
      </c>
      <c r="C197" s="16">
        <f t="shared" ref="C197:J197" si="46">+C136+($E$169*C$80)+C$174+C177</f>
        <v>78.08751267012336</v>
      </c>
      <c r="D197" s="16">
        <f t="shared" si="46"/>
        <v>67.151669821265301</v>
      </c>
      <c r="E197" s="16">
        <f t="shared" si="46"/>
        <v>76.253663312072362</v>
      </c>
      <c r="F197" s="16">
        <f t="shared" si="46"/>
        <v>91.682982592718375</v>
      </c>
      <c r="G197" s="16">
        <f t="shared" si="46"/>
        <v>69.965783868617862</v>
      </c>
      <c r="H197" s="16">
        <f t="shared" si="46"/>
        <v>60.667991059462658</v>
      </c>
      <c r="I197" s="16">
        <f t="shared" si="46"/>
        <v>44.783000415984354</v>
      </c>
      <c r="J197" s="16">
        <f t="shared" si="46"/>
        <v>59.216356063764266</v>
      </c>
    </row>
    <row r="198" spans="1:10" x14ac:dyDescent="0.2">
      <c r="A198" s="35"/>
      <c r="B198" s="37"/>
      <c r="C198" s="16"/>
      <c r="D198" s="16"/>
      <c r="E198" s="16"/>
      <c r="F198" s="16"/>
      <c r="G198" s="16"/>
      <c r="H198" s="16"/>
      <c r="I198" s="16"/>
      <c r="J198" s="16"/>
    </row>
    <row r="199" spans="1:10" x14ac:dyDescent="0.2">
      <c r="A199" s="35"/>
      <c r="B199" s="37"/>
      <c r="C199" s="16"/>
      <c r="D199" s="16"/>
      <c r="E199" s="16"/>
      <c r="F199" s="16"/>
      <c r="G199" s="16"/>
      <c r="H199" s="16"/>
      <c r="I199" s="16"/>
      <c r="J199" s="16"/>
    </row>
    <row r="200" spans="1:10" x14ac:dyDescent="0.2">
      <c r="A200" s="35"/>
    </row>
    <row r="201" spans="1:10" x14ac:dyDescent="0.2">
      <c r="A201" s="35"/>
      <c r="B201" s="7" t="s">
        <v>92</v>
      </c>
      <c r="C201" s="61">
        <f>((C190*F163*O$48)+(C191*F164*O$48)+SUMPRODUCT(D187:J187,P$48:V$48)+SUMPRODUCT(C193:J193,O$45:V$45))/1000</f>
        <v>645828.99485248711</v>
      </c>
      <c r="D201" s="61"/>
      <c r="E201" s="61"/>
    </row>
    <row r="202" spans="1:10" x14ac:dyDescent="0.2">
      <c r="A202" s="35"/>
      <c r="B202" s="7"/>
      <c r="C202" s="60"/>
      <c r="D202" s="60"/>
    </row>
    <row r="203" spans="1:10" x14ac:dyDescent="0.2">
      <c r="A203" s="35"/>
      <c r="B203" s="5" t="s">
        <v>93</v>
      </c>
      <c r="F203" s="116">
        <f>+C201/SUM(C57:J57)*1000</f>
        <v>74.426091663160221</v>
      </c>
    </row>
    <row r="204" spans="1:10" x14ac:dyDescent="0.2">
      <c r="A204" s="35"/>
      <c r="B204" s="5" t="s">
        <v>94</v>
      </c>
      <c r="F204" s="116">
        <f>+C201/SUMPRODUCT(C57:J57,C84:J84)*1000</f>
        <v>69.640026198135487</v>
      </c>
      <c r="J204" s="116"/>
    </row>
    <row r="205" spans="1:10" x14ac:dyDescent="0.2">
      <c r="A205" s="35"/>
    </row>
    <row r="206" spans="1:10" x14ac:dyDescent="0.2">
      <c r="A206" s="35"/>
      <c r="F206" s="118"/>
    </row>
    <row r="207" spans="1:10" x14ac:dyDescent="0.2">
      <c r="A207" s="17" t="s">
        <v>109</v>
      </c>
      <c r="B207" s="18" t="s">
        <v>138</v>
      </c>
      <c r="C207" s="19"/>
      <c r="D207" s="19"/>
      <c r="E207" s="19"/>
      <c r="F207" s="19"/>
      <c r="G207" s="19"/>
      <c r="H207" s="19"/>
      <c r="I207" s="19"/>
      <c r="J207" s="19"/>
    </row>
    <row r="208" spans="1:10" x14ac:dyDescent="0.2">
      <c r="A208" s="20"/>
      <c r="B208" s="21" t="s">
        <v>96</v>
      </c>
      <c r="C208" s="19"/>
      <c r="D208" s="19"/>
      <c r="E208" s="19"/>
      <c r="F208" s="19"/>
      <c r="G208" s="19"/>
      <c r="H208" s="19"/>
      <c r="I208" s="19"/>
      <c r="J208" s="19"/>
    </row>
    <row r="209" spans="1:12" x14ac:dyDescent="0.2">
      <c r="A209" s="20"/>
      <c r="B209" s="18"/>
      <c r="C209" s="19"/>
      <c r="D209" s="19"/>
      <c r="E209" s="19"/>
      <c r="F209" s="19"/>
      <c r="G209" s="19"/>
      <c r="H209" s="19"/>
      <c r="I209" s="19"/>
      <c r="J209" s="19"/>
    </row>
    <row r="210" spans="1:12" x14ac:dyDescent="0.2">
      <c r="A210" s="20"/>
      <c r="B210" s="19"/>
      <c r="C210" s="22" t="s">
        <v>5</v>
      </c>
      <c r="D210" s="55" t="s">
        <v>148</v>
      </c>
      <c r="E210" s="22" t="s">
        <v>6</v>
      </c>
      <c r="F210" s="22" t="s">
        <v>7</v>
      </c>
      <c r="G210" s="22" t="s">
        <v>8</v>
      </c>
      <c r="H210" s="22" t="s">
        <v>9</v>
      </c>
      <c r="I210" s="22" t="s">
        <v>10</v>
      </c>
      <c r="J210" s="22" t="s">
        <v>11</v>
      </c>
    </row>
    <row r="211" spans="1:12" x14ac:dyDescent="0.2">
      <c r="A211" s="20"/>
      <c r="B211" s="19"/>
      <c r="C211" s="23"/>
      <c r="D211" s="23"/>
      <c r="E211" s="23"/>
      <c r="F211" s="23"/>
      <c r="G211" s="19"/>
      <c r="H211" s="23"/>
      <c r="I211" s="19"/>
      <c r="J211" s="19"/>
    </row>
    <row r="212" spans="1:12" x14ac:dyDescent="0.2">
      <c r="A212" s="20"/>
      <c r="B212" s="24" t="s">
        <v>44</v>
      </c>
      <c r="C212" s="3"/>
      <c r="D212" s="32">
        <f t="shared" ref="D212:J212" si="47">ROUND(+D187/$F$204,3)</f>
        <v>1.2350000000000001</v>
      </c>
      <c r="E212" s="32">
        <f t="shared" si="47"/>
        <v>1.087</v>
      </c>
      <c r="F212" s="32">
        <f t="shared" si="47"/>
        <v>1.224</v>
      </c>
      <c r="G212" s="32">
        <f t="shared" si="47"/>
        <v>1.0149999999999999</v>
      </c>
      <c r="H212" s="32">
        <f t="shared" si="47"/>
        <v>0.93400000000000005</v>
      </c>
      <c r="I212" s="32">
        <f t="shared" si="47"/>
        <v>0.64200000000000002</v>
      </c>
      <c r="J212" s="32">
        <f t="shared" si="47"/>
        <v>0.88</v>
      </c>
      <c r="K212" s="51"/>
      <c r="L212" s="51"/>
    </row>
    <row r="213" spans="1:12" x14ac:dyDescent="0.2">
      <c r="A213" s="20"/>
      <c r="B213" s="37" t="s">
        <v>143</v>
      </c>
      <c r="C213" s="3"/>
      <c r="D213" s="32">
        <f>ROUND(+D188/$F$204,3)</f>
        <v>1.5089999999999999</v>
      </c>
      <c r="E213" s="32"/>
      <c r="F213" s="32"/>
      <c r="G213" s="32"/>
      <c r="H213" s="32"/>
      <c r="I213" s="32"/>
      <c r="J213" s="32"/>
      <c r="K213" s="51"/>
      <c r="L213" s="51"/>
    </row>
    <row r="214" spans="1:12" x14ac:dyDescent="0.2">
      <c r="A214" s="20"/>
      <c r="B214" s="37" t="s">
        <v>37</v>
      </c>
      <c r="C214" s="3"/>
      <c r="D214" s="32">
        <f>ROUND(+D189/$F$204,3)</f>
        <v>0.68500000000000005</v>
      </c>
      <c r="E214" s="32"/>
      <c r="F214" s="32"/>
      <c r="G214" s="32"/>
      <c r="H214" s="32"/>
      <c r="I214" s="32"/>
      <c r="J214" s="32"/>
      <c r="K214" s="51"/>
      <c r="L214" s="51"/>
    </row>
    <row r="215" spans="1:12" x14ac:dyDescent="0.2">
      <c r="A215" s="20"/>
      <c r="B215" s="15" t="s">
        <v>97</v>
      </c>
      <c r="C215" s="32">
        <f>ROUND(+C187/$F$204,3)</f>
        <v>1.113</v>
      </c>
      <c r="D215" s="32"/>
      <c r="E215" s="26"/>
      <c r="F215" s="26"/>
      <c r="G215" s="26"/>
      <c r="H215" s="26"/>
      <c r="I215" s="25"/>
      <c r="J215" s="25"/>
      <c r="K215" s="51"/>
      <c r="L215" s="51"/>
    </row>
    <row r="216" spans="1:12" x14ac:dyDescent="0.2">
      <c r="A216" s="20"/>
      <c r="B216" s="15" t="s">
        <v>98</v>
      </c>
      <c r="C216" s="27">
        <f>C190-C$187</f>
        <v>-3.514392117219046</v>
      </c>
      <c r="D216" s="27"/>
      <c r="E216" s="47" t="s">
        <v>99</v>
      </c>
      <c r="F216" s="47"/>
      <c r="G216" s="26"/>
      <c r="H216" s="25"/>
      <c r="I216" s="25"/>
      <c r="J216" s="25"/>
      <c r="K216" s="51"/>
      <c r="L216" s="51"/>
    </row>
    <row r="217" spans="1:12" x14ac:dyDescent="0.2">
      <c r="A217" s="20"/>
      <c r="B217" s="15" t="s">
        <v>98</v>
      </c>
      <c r="C217" s="27">
        <f>C191-C$187</f>
        <v>5.137607882780955</v>
      </c>
      <c r="D217" s="27"/>
      <c r="E217" s="47" t="s">
        <v>100</v>
      </c>
      <c r="F217" s="47"/>
      <c r="G217" s="26"/>
      <c r="H217" s="25"/>
      <c r="I217" s="25"/>
      <c r="J217" s="25"/>
      <c r="K217" s="51"/>
      <c r="L217" s="51"/>
    </row>
    <row r="218" spans="1:12" x14ac:dyDescent="0.2">
      <c r="A218" s="20"/>
      <c r="B218" s="15"/>
      <c r="C218" s="27"/>
      <c r="D218" s="27"/>
      <c r="E218" s="47"/>
      <c r="F218" s="47"/>
      <c r="G218" s="26"/>
      <c r="H218" s="25"/>
      <c r="I218" s="25"/>
      <c r="J218" s="25"/>
      <c r="K218" s="51"/>
      <c r="L218" s="51"/>
    </row>
    <row r="219" spans="1:12" x14ac:dyDescent="0.2">
      <c r="A219" s="20"/>
      <c r="B219" s="24" t="s">
        <v>45</v>
      </c>
      <c r="C219" s="32">
        <f>ROUND(+C193/$F$204,3)</f>
        <v>1.127</v>
      </c>
      <c r="D219" s="32">
        <f>ROUND(+D193/$F$204,3)</f>
        <v>1.103</v>
      </c>
      <c r="E219" s="32">
        <f t="shared" ref="E219:J219" si="48">ROUND(+E193/$F$204,3)</f>
        <v>1.1000000000000001</v>
      </c>
      <c r="F219" s="32">
        <f t="shared" si="48"/>
        <v>1.401</v>
      </c>
      <c r="G219" s="32">
        <f t="shared" si="48"/>
        <v>0.998</v>
      </c>
      <c r="H219" s="32">
        <f t="shared" si="48"/>
        <v>0.84499999999999997</v>
      </c>
      <c r="I219" s="32">
        <f t="shared" si="48"/>
        <v>0.64300000000000002</v>
      </c>
      <c r="J219" s="32">
        <f t="shared" si="48"/>
        <v>0.83499999999999996</v>
      </c>
      <c r="K219" s="51"/>
      <c r="L219" s="51"/>
    </row>
    <row r="220" spans="1:12" x14ac:dyDescent="0.2">
      <c r="A220" s="20"/>
      <c r="B220" s="37" t="s">
        <v>143</v>
      </c>
      <c r="C220" s="32"/>
      <c r="D220" s="32">
        <f>ROUND(+D194/$F$204,3)</f>
        <v>1.2250000000000001</v>
      </c>
      <c r="E220" s="32"/>
      <c r="F220" s="32"/>
      <c r="G220" s="32"/>
      <c r="H220" s="32"/>
      <c r="I220" s="32"/>
      <c r="J220" s="32"/>
      <c r="K220" s="51"/>
      <c r="L220" s="51"/>
    </row>
    <row r="221" spans="1:12" x14ac:dyDescent="0.2">
      <c r="A221" s="20"/>
      <c r="B221" s="37" t="s">
        <v>37</v>
      </c>
      <c r="C221" s="32"/>
      <c r="D221" s="32">
        <f>ROUND(+D195/$F$204,3)</f>
        <v>0.69899999999999995</v>
      </c>
      <c r="E221" s="32"/>
      <c r="F221" s="32"/>
      <c r="G221" s="32"/>
      <c r="H221" s="32"/>
      <c r="I221" s="32"/>
      <c r="J221" s="32"/>
      <c r="K221" s="51"/>
      <c r="L221" s="51"/>
    </row>
    <row r="222" spans="1:12" x14ac:dyDescent="0.2">
      <c r="A222" s="20"/>
      <c r="B222" s="19"/>
      <c r="C222" s="25"/>
      <c r="D222" s="25"/>
      <c r="E222" s="25"/>
      <c r="F222" s="25"/>
      <c r="G222" s="25"/>
      <c r="H222" s="25"/>
      <c r="I222" s="25"/>
      <c r="J222" s="25"/>
      <c r="K222" s="51"/>
      <c r="L222" s="51"/>
    </row>
    <row r="223" spans="1:12" x14ac:dyDescent="0.2">
      <c r="A223" s="20"/>
      <c r="B223" s="19" t="s">
        <v>46</v>
      </c>
      <c r="C223" s="32">
        <f>ROUND(+C197/$F$204,3)</f>
        <v>1.121</v>
      </c>
      <c r="D223" s="32">
        <f>ROUND(+D197/$F$204,3)</f>
        <v>0.96399999999999997</v>
      </c>
      <c r="E223" s="32">
        <f t="shared" ref="E223:J223" si="49">ROUND(+E197/$F$204,3)</f>
        <v>1.095</v>
      </c>
      <c r="F223" s="32">
        <f t="shared" si="49"/>
        <v>1.3169999999999999</v>
      </c>
      <c r="G223" s="32">
        <f t="shared" si="49"/>
        <v>1.0049999999999999</v>
      </c>
      <c r="H223" s="32">
        <f t="shared" si="49"/>
        <v>0.871</v>
      </c>
      <c r="I223" s="32">
        <f t="shared" si="49"/>
        <v>0.64300000000000002</v>
      </c>
      <c r="J223" s="32">
        <f t="shared" si="49"/>
        <v>0.85</v>
      </c>
      <c r="K223" s="51"/>
      <c r="L223" s="51"/>
    </row>
    <row r="224" spans="1:12" x14ac:dyDescent="0.2">
      <c r="A224" s="35"/>
    </row>
    <row r="225" spans="1:10" x14ac:dyDescent="0.2">
      <c r="A225" s="35"/>
    </row>
    <row r="226" spans="1:10" x14ac:dyDescent="0.2">
      <c r="A226" s="34" t="s">
        <v>119</v>
      </c>
      <c r="B226" s="3" t="s">
        <v>102</v>
      </c>
    </row>
    <row r="227" spans="1:10" x14ac:dyDescent="0.2">
      <c r="A227" s="35"/>
      <c r="B227" s="21" t="s">
        <v>103</v>
      </c>
    </row>
    <row r="228" spans="1:10" x14ac:dyDescent="0.2">
      <c r="A228" s="35"/>
      <c r="B228" s="4" t="s">
        <v>35</v>
      </c>
    </row>
    <row r="229" spans="1:10" x14ac:dyDescent="0.2">
      <c r="A229" s="35"/>
      <c r="C229" s="55" t="s">
        <v>5</v>
      </c>
      <c r="D229" s="55" t="s">
        <v>148</v>
      </c>
      <c r="E229" s="55" t="s">
        <v>6</v>
      </c>
      <c r="F229" s="55" t="s">
        <v>7</v>
      </c>
      <c r="G229" s="55" t="s">
        <v>8</v>
      </c>
      <c r="H229" s="55" t="s">
        <v>9</v>
      </c>
      <c r="I229" s="55" t="s">
        <v>10</v>
      </c>
      <c r="J229" s="55" t="s">
        <v>11</v>
      </c>
    </row>
    <row r="230" spans="1:10" x14ac:dyDescent="0.2">
      <c r="A230" s="35"/>
      <c r="C230" s="30"/>
      <c r="D230" s="30"/>
      <c r="E230" s="30"/>
      <c r="F230" s="30"/>
      <c r="H230" s="30"/>
    </row>
    <row r="231" spans="1:10" x14ac:dyDescent="0.2">
      <c r="A231" s="35"/>
      <c r="B231" s="36" t="s">
        <v>44</v>
      </c>
      <c r="C231" s="16">
        <f t="shared" ref="C231:J231" si="50">+C128+($E$169*C$80)+C178</f>
        <v>68.616772971965744</v>
      </c>
      <c r="D231" s="16">
        <f t="shared" si="50"/>
        <v>80.343624316891024</v>
      </c>
      <c r="E231" s="16">
        <f t="shared" si="50"/>
        <v>68.366326696365292</v>
      </c>
      <c r="F231" s="16">
        <f t="shared" si="50"/>
        <v>74.042070538318981</v>
      </c>
      <c r="G231" s="16">
        <f t="shared" si="50"/>
        <v>65.077419567757815</v>
      </c>
      <c r="H231" s="16">
        <f t="shared" si="50"/>
        <v>61.459895160879341</v>
      </c>
      <c r="I231" s="16">
        <f t="shared" si="50"/>
        <v>44.732850121339638</v>
      </c>
      <c r="J231" s="16">
        <f t="shared" si="50"/>
        <v>58.097119463781389</v>
      </c>
    </row>
    <row r="232" spans="1:10" x14ac:dyDescent="0.2">
      <c r="A232" s="35"/>
      <c r="B232" s="37" t="s">
        <v>143</v>
      </c>
      <c r="C232" s="16"/>
      <c r="D232" s="16">
        <f>D$129+(E$169*D$80)+D$178</f>
        <v>99.44987432330764</v>
      </c>
      <c r="E232" s="16"/>
      <c r="F232" s="16"/>
      <c r="G232" s="16"/>
      <c r="H232" s="16"/>
      <c r="I232" s="16"/>
      <c r="J232" s="16"/>
    </row>
    <row r="233" spans="1:10" x14ac:dyDescent="0.2">
      <c r="A233" s="35"/>
      <c r="B233" s="37" t="s">
        <v>37</v>
      </c>
      <c r="C233" s="16"/>
      <c r="D233" s="16">
        <f>D$130+(E$169*D$80)</f>
        <v>42.086931898727862</v>
      </c>
      <c r="E233" s="16"/>
      <c r="F233" s="16"/>
      <c r="G233" s="16"/>
      <c r="H233" s="16"/>
      <c r="I233" s="16"/>
      <c r="J233" s="16"/>
    </row>
    <row r="234" spans="1:10" x14ac:dyDescent="0.2">
      <c r="A234" s="35"/>
      <c r="B234" s="7" t="s">
        <v>73</v>
      </c>
      <c r="C234" s="16">
        <f>(C231*SUM(C50:C53)-$C$165*10*$F$164*SUM(C50:C53))/SUM(C50:C53)</f>
        <v>65.102380854746713</v>
      </c>
      <c r="D234" s="16"/>
      <c r="E234" s="16"/>
      <c r="F234" s="16"/>
      <c r="G234" s="16"/>
      <c r="H234" s="16"/>
      <c r="I234" s="16"/>
      <c r="J234" s="16"/>
    </row>
    <row r="235" spans="1:10" x14ac:dyDescent="0.2">
      <c r="A235" s="35"/>
      <c r="B235" s="7" t="s">
        <v>75</v>
      </c>
      <c r="C235" s="16">
        <f>+C234+$C$165*10</f>
        <v>73.754380854746714</v>
      </c>
      <c r="D235" s="16"/>
      <c r="E235" s="16"/>
      <c r="F235" s="16"/>
      <c r="G235" s="16"/>
      <c r="H235" s="16"/>
      <c r="I235" s="16"/>
      <c r="J235" s="16"/>
    </row>
    <row r="236" spans="1:10" x14ac:dyDescent="0.2">
      <c r="A236" s="35"/>
      <c r="B236" s="36" t="s">
        <v>45</v>
      </c>
      <c r="C236" s="16">
        <f t="shared" ref="C236:J236" si="51">+C132+($E$169*C$80)+C$181</f>
        <v>46.690679217310915</v>
      </c>
      <c r="D236" s="16">
        <f t="shared" si="51"/>
        <v>46.887136636068789</v>
      </c>
      <c r="E236" s="16">
        <f t="shared" si="51"/>
        <v>47.382572786935953</v>
      </c>
      <c r="F236" s="16">
        <f t="shared" si="51"/>
        <v>46.016188974143802</v>
      </c>
      <c r="G236" s="16">
        <f t="shared" si="51"/>
        <v>47.043400090334323</v>
      </c>
      <c r="H236" s="16">
        <f t="shared" si="51"/>
        <v>45.76220952523515</v>
      </c>
      <c r="I236" s="16">
        <f t="shared" si="51"/>
        <v>44.79319367850681</v>
      </c>
      <c r="J236" s="16">
        <f t="shared" si="51"/>
        <v>46.257089108503742</v>
      </c>
    </row>
    <row r="237" spans="1:10" x14ac:dyDescent="0.2">
      <c r="A237" s="35"/>
      <c r="B237" s="37" t="s">
        <v>143</v>
      </c>
      <c r="C237" s="16"/>
      <c r="D237" s="16">
        <f>D$133+($E$169*D$80)+D222</f>
        <v>55.403416509132697</v>
      </c>
      <c r="E237" s="16"/>
      <c r="F237" s="16"/>
      <c r="G237" s="16"/>
      <c r="H237" s="16"/>
      <c r="I237" s="16"/>
      <c r="J237" s="16"/>
    </row>
    <row r="238" spans="1:10" x14ac:dyDescent="0.2">
      <c r="A238" s="35"/>
      <c r="B238" s="37" t="s">
        <v>37</v>
      </c>
      <c r="C238" s="16"/>
      <c r="D238" s="16">
        <f>D$134+($E$169*D$80)</f>
        <v>43.007699711798466</v>
      </c>
      <c r="E238" s="16"/>
      <c r="F238" s="16"/>
      <c r="G238" s="16"/>
      <c r="H238" s="16"/>
      <c r="I238" s="16"/>
      <c r="J238" s="16"/>
    </row>
    <row r="239" spans="1:10" x14ac:dyDescent="0.2">
      <c r="A239" s="35"/>
      <c r="B239" s="5" t="s">
        <v>46</v>
      </c>
      <c r="C239" s="16">
        <f t="shared" ref="C239:J239" si="52">+C136+($E$169*C$80)+C177</f>
        <v>69.165152762279348</v>
      </c>
      <c r="D239" s="16">
        <f t="shared" si="52"/>
        <v>61.513425726957159</v>
      </c>
      <c r="E239" s="16">
        <f t="shared" si="52"/>
        <v>68.923271340623145</v>
      </c>
      <c r="F239" s="16">
        <f t="shared" si="52"/>
        <v>80.495824246925508</v>
      </c>
      <c r="G239" s="16">
        <f t="shared" si="52"/>
        <v>64.356919824261013</v>
      </c>
      <c r="H239" s="16">
        <f t="shared" si="52"/>
        <v>57.116027178373805</v>
      </c>
      <c r="I239" s="16">
        <f t="shared" si="52"/>
        <v>44.780674403984975</v>
      </c>
      <c r="J239" s="16">
        <f t="shared" si="52"/>
        <v>55.995733459940141</v>
      </c>
    </row>
    <row r="240" spans="1:10" x14ac:dyDescent="0.2">
      <c r="A240" s="35"/>
    </row>
    <row r="241" spans="1:10" x14ac:dyDescent="0.2">
      <c r="A241" s="35"/>
      <c r="C241" s="16"/>
      <c r="D241" s="16"/>
      <c r="E241" s="16"/>
    </row>
    <row r="242" spans="1:10" x14ac:dyDescent="0.2">
      <c r="A242" s="35"/>
      <c r="B242" s="7" t="s">
        <v>92</v>
      </c>
      <c r="C242" s="61">
        <f>((C234*O$48*F163)+(C235*O$48*F164)+SUMPRODUCT(E231:J231,Q$48:V$48)+SUMPRODUCT(C236:J236,O$45:V$45))/1000</f>
        <v>475776.24817659328</v>
      </c>
      <c r="D242" s="61"/>
      <c r="E242" s="61"/>
    </row>
    <row r="243" spans="1:10" x14ac:dyDescent="0.2">
      <c r="A243" s="35"/>
      <c r="B243" s="7"/>
      <c r="C243" s="60"/>
      <c r="D243" s="60"/>
    </row>
    <row r="244" spans="1:10" x14ac:dyDescent="0.2">
      <c r="A244" s="35"/>
      <c r="B244" s="5" t="s">
        <v>104</v>
      </c>
      <c r="G244" s="116">
        <f>+C242/SUM(C57:J57)*1000</f>
        <v>54.829013469786354</v>
      </c>
      <c r="H244" s="119"/>
    </row>
    <row r="245" spans="1:10" x14ac:dyDescent="0.2">
      <c r="A245" s="35"/>
      <c r="B245" s="5" t="s">
        <v>105</v>
      </c>
      <c r="G245" s="116">
        <f>+C242/SUMPRODUCT(C57:J57,C84:J84)*1000</f>
        <v>51.30316330104759</v>
      </c>
      <c r="H245" s="119"/>
    </row>
    <row r="246" spans="1:10" x14ac:dyDescent="0.2">
      <c r="A246" s="35"/>
    </row>
    <row r="247" spans="1:10" x14ac:dyDescent="0.2">
      <c r="A247" s="35"/>
    </row>
    <row r="248" spans="1:10" x14ac:dyDescent="0.2">
      <c r="A248" s="17" t="s">
        <v>120</v>
      </c>
      <c r="B248" s="18" t="s">
        <v>139</v>
      </c>
      <c r="C248" s="19"/>
      <c r="D248" s="19"/>
      <c r="E248" s="19"/>
      <c r="F248" s="19"/>
      <c r="G248" s="19"/>
      <c r="H248" s="19"/>
      <c r="I248" s="19"/>
      <c r="J248" s="19"/>
    </row>
    <row r="249" spans="1:10" x14ac:dyDescent="0.2">
      <c r="A249" s="20"/>
      <c r="B249" s="21" t="s">
        <v>107</v>
      </c>
      <c r="C249" s="19"/>
      <c r="D249" s="19"/>
      <c r="E249" s="19"/>
      <c r="F249" s="19"/>
      <c r="G249" s="19"/>
      <c r="H249" s="19"/>
      <c r="I249" s="19"/>
      <c r="J249" s="19"/>
    </row>
    <row r="250" spans="1:10" x14ac:dyDescent="0.2">
      <c r="A250" s="20"/>
      <c r="B250" s="21" t="s">
        <v>108</v>
      </c>
      <c r="C250" s="19"/>
      <c r="D250" s="19"/>
      <c r="E250" s="19"/>
      <c r="F250" s="19"/>
      <c r="G250" s="19"/>
      <c r="H250" s="19"/>
      <c r="I250" s="19"/>
      <c r="J250" s="19"/>
    </row>
    <row r="251" spans="1:10" x14ac:dyDescent="0.2">
      <c r="A251" s="20"/>
      <c r="B251" s="21"/>
      <c r="C251" s="19"/>
      <c r="D251" s="19"/>
      <c r="E251" s="19"/>
      <c r="F251" s="19"/>
      <c r="G251" s="19"/>
      <c r="H251" s="19"/>
      <c r="I251" s="19"/>
      <c r="J251" s="19"/>
    </row>
    <row r="252" spans="1:10" x14ac:dyDescent="0.2">
      <c r="A252" s="20"/>
      <c r="B252" s="19"/>
      <c r="C252" s="22" t="s">
        <v>5</v>
      </c>
      <c r="D252" s="55" t="s">
        <v>148</v>
      </c>
      <c r="E252" s="22" t="s">
        <v>6</v>
      </c>
      <c r="F252" s="22" t="s">
        <v>7</v>
      </c>
      <c r="G252" s="22" t="s">
        <v>8</v>
      </c>
      <c r="H252" s="22" t="s">
        <v>9</v>
      </c>
      <c r="I252" s="22" t="s">
        <v>10</v>
      </c>
      <c r="J252" s="22" t="s">
        <v>11</v>
      </c>
    </row>
    <row r="253" spans="1:10" x14ac:dyDescent="0.2">
      <c r="A253" s="20"/>
      <c r="B253" s="19"/>
      <c r="C253" s="23"/>
      <c r="D253" s="23"/>
      <c r="E253" s="23"/>
      <c r="F253" s="23"/>
      <c r="G253" s="19"/>
      <c r="H253" s="23"/>
      <c r="I253" s="19"/>
      <c r="J253" s="19"/>
    </row>
    <row r="254" spans="1:10" x14ac:dyDescent="0.2">
      <c r="A254" s="20"/>
      <c r="B254" s="24" t="s">
        <v>44</v>
      </c>
      <c r="D254" s="32">
        <f t="shared" ref="D254:J254" si="53">ROUND(D231/$G$245,3)</f>
        <v>1.5660000000000001</v>
      </c>
      <c r="E254" s="32">
        <f t="shared" si="53"/>
        <v>1.333</v>
      </c>
      <c r="F254" s="32">
        <f t="shared" si="53"/>
        <v>1.4430000000000001</v>
      </c>
      <c r="G254" s="32">
        <f t="shared" si="53"/>
        <v>1.268</v>
      </c>
      <c r="H254" s="32">
        <f t="shared" si="53"/>
        <v>1.198</v>
      </c>
      <c r="I254" s="32">
        <f t="shared" si="53"/>
        <v>0.872</v>
      </c>
      <c r="J254" s="32">
        <f t="shared" si="53"/>
        <v>1.1319999999999999</v>
      </c>
    </row>
    <row r="255" spans="1:10" x14ac:dyDescent="0.2">
      <c r="A255" s="20"/>
      <c r="B255" s="37" t="s">
        <v>143</v>
      </c>
      <c r="D255" s="32">
        <f>ROUND(D232/$G$245,3)</f>
        <v>1.9379999999999999</v>
      </c>
      <c r="E255" s="32"/>
      <c r="F255" s="32"/>
      <c r="G255" s="32"/>
      <c r="H255" s="32"/>
      <c r="I255" s="32"/>
      <c r="J255" s="32"/>
    </row>
    <row r="256" spans="1:10" x14ac:dyDescent="0.2">
      <c r="A256" s="20"/>
      <c r="B256" s="37" t="s">
        <v>37</v>
      </c>
      <c r="D256" s="32">
        <f>ROUND(D233/$G$245,3)</f>
        <v>0.82</v>
      </c>
      <c r="E256" s="32"/>
      <c r="F256" s="32"/>
      <c r="G256" s="32"/>
      <c r="H256" s="32"/>
      <c r="I256" s="32"/>
      <c r="J256" s="32"/>
    </row>
    <row r="257" spans="1:12" x14ac:dyDescent="0.2">
      <c r="A257" s="20"/>
      <c r="B257" s="15" t="s">
        <v>97</v>
      </c>
      <c r="C257" s="32">
        <f>ROUND(C231/$G$245,3)</f>
        <v>1.337</v>
      </c>
      <c r="D257" s="32"/>
      <c r="E257" s="26"/>
      <c r="F257" s="25"/>
      <c r="G257" s="25"/>
      <c r="H257" s="25"/>
      <c r="I257" s="25"/>
      <c r="J257" s="29"/>
    </row>
    <row r="258" spans="1:12" x14ac:dyDescent="0.2">
      <c r="A258" s="20"/>
      <c r="B258" s="15" t="s">
        <v>98</v>
      </c>
      <c r="C258" s="27">
        <f>(C234-C$231)</f>
        <v>-3.5143921172190318</v>
      </c>
      <c r="D258" s="27"/>
      <c r="E258" s="28" t="s">
        <v>99</v>
      </c>
      <c r="F258" s="25"/>
      <c r="G258" s="25"/>
      <c r="H258" s="25"/>
      <c r="I258" s="25"/>
      <c r="J258" s="29"/>
    </row>
    <row r="259" spans="1:12" x14ac:dyDescent="0.2">
      <c r="A259" s="20"/>
      <c r="B259" s="15" t="s">
        <v>98</v>
      </c>
      <c r="C259" s="27">
        <f>(C235-C$231)</f>
        <v>5.1376078827809692</v>
      </c>
      <c r="D259" s="27"/>
      <c r="E259" s="28" t="s">
        <v>100</v>
      </c>
      <c r="F259" s="25"/>
      <c r="G259" s="25"/>
      <c r="H259" s="25"/>
      <c r="I259" s="25"/>
      <c r="J259" s="29"/>
    </row>
    <row r="260" spans="1:12" x14ac:dyDescent="0.2">
      <c r="A260" s="20"/>
      <c r="B260" s="24"/>
      <c r="C260" s="25"/>
      <c r="D260" s="25"/>
      <c r="E260" s="25"/>
      <c r="F260" s="25"/>
      <c r="G260" s="25"/>
      <c r="H260" s="25"/>
      <c r="I260" s="25"/>
      <c r="J260" s="29"/>
    </row>
    <row r="261" spans="1:12" x14ac:dyDescent="0.2">
      <c r="A261" s="20"/>
      <c r="B261" s="24" t="s">
        <v>45</v>
      </c>
      <c r="C261" s="32">
        <f t="shared" ref="C261:J261" si="54">ROUND(+C236/$G$245,3)</f>
        <v>0.91</v>
      </c>
      <c r="D261" s="32">
        <f t="shared" si="54"/>
        <v>0.91400000000000003</v>
      </c>
      <c r="E261" s="32">
        <f t="shared" si="54"/>
        <v>0.92400000000000004</v>
      </c>
      <c r="F261" s="32">
        <f t="shared" si="54"/>
        <v>0.89700000000000002</v>
      </c>
      <c r="G261" s="32">
        <f t="shared" si="54"/>
        <v>0.91700000000000004</v>
      </c>
      <c r="H261" s="32">
        <f t="shared" si="54"/>
        <v>0.89200000000000002</v>
      </c>
      <c r="I261" s="32">
        <f t="shared" si="54"/>
        <v>0.873</v>
      </c>
      <c r="J261" s="32">
        <f t="shared" si="54"/>
        <v>0.90200000000000002</v>
      </c>
    </row>
    <row r="262" spans="1:12" x14ac:dyDescent="0.2">
      <c r="A262" s="20"/>
      <c r="B262" s="37" t="s">
        <v>143</v>
      </c>
      <c r="C262" s="32"/>
      <c r="D262" s="32">
        <f>ROUND(+D237/$G$245,3)</f>
        <v>1.08</v>
      </c>
      <c r="E262" s="32"/>
      <c r="F262" s="32"/>
      <c r="G262" s="32"/>
      <c r="H262" s="32"/>
      <c r="I262" s="32"/>
      <c r="J262" s="32"/>
    </row>
    <row r="263" spans="1:12" x14ac:dyDescent="0.2">
      <c r="A263" s="20"/>
      <c r="B263" s="37" t="s">
        <v>37</v>
      </c>
      <c r="C263" s="32"/>
      <c r="D263" s="32">
        <f>ROUND(+D238/$G$245,3)</f>
        <v>0.83799999999999997</v>
      </c>
      <c r="E263" s="32"/>
      <c r="F263" s="32"/>
      <c r="G263" s="32"/>
      <c r="H263" s="32"/>
      <c r="I263" s="32"/>
      <c r="J263" s="32"/>
    </row>
    <row r="264" spans="1:12" x14ac:dyDescent="0.2">
      <c r="A264" s="20"/>
      <c r="B264" s="19" t="s">
        <v>46</v>
      </c>
      <c r="C264" s="32">
        <f>ROUND(+C239/$G$245,3)</f>
        <v>1.3480000000000001</v>
      </c>
      <c r="D264" s="32">
        <f>ROUND(+D239/$G$245,3)</f>
        <v>1.1990000000000001</v>
      </c>
      <c r="E264" s="32">
        <f t="shared" ref="E264:J264" si="55">ROUND(+E239/$G$245,3)</f>
        <v>1.343</v>
      </c>
      <c r="F264" s="32">
        <f t="shared" si="55"/>
        <v>1.569</v>
      </c>
      <c r="G264" s="32">
        <f t="shared" si="55"/>
        <v>1.254</v>
      </c>
      <c r="H264" s="32">
        <f t="shared" si="55"/>
        <v>1.113</v>
      </c>
      <c r="I264" s="32">
        <f t="shared" si="55"/>
        <v>0.873</v>
      </c>
      <c r="J264" s="32">
        <f t="shared" si="55"/>
        <v>1.091</v>
      </c>
    </row>
    <row r="265" spans="1:12" x14ac:dyDescent="0.2">
      <c r="A265" s="35"/>
    </row>
    <row r="266" spans="1:12" x14ac:dyDescent="0.2">
      <c r="A266" s="35"/>
    </row>
    <row r="267" spans="1:12" x14ac:dyDescent="0.2">
      <c r="A267" s="34" t="s">
        <v>121</v>
      </c>
      <c r="B267" s="3" t="s">
        <v>110</v>
      </c>
    </row>
    <row r="268" spans="1:12" x14ac:dyDescent="0.2">
      <c r="A268" s="35"/>
      <c r="B268" s="3"/>
    </row>
    <row r="269" spans="1:12" x14ac:dyDescent="0.2">
      <c r="A269" s="35"/>
      <c r="C269" s="22" t="s">
        <v>5</v>
      </c>
      <c r="D269" s="55" t="s">
        <v>148</v>
      </c>
      <c r="E269" s="22" t="s">
        <v>6</v>
      </c>
      <c r="F269" s="22" t="s">
        <v>7</v>
      </c>
      <c r="G269" s="22" t="s">
        <v>8</v>
      </c>
      <c r="H269" s="22" t="s">
        <v>9</v>
      </c>
      <c r="I269" s="22" t="s">
        <v>10</v>
      </c>
      <c r="J269" s="22" t="s">
        <v>11</v>
      </c>
      <c r="K269" s="30"/>
      <c r="L269" s="30"/>
    </row>
    <row r="270" spans="1:12" x14ac:dyDescent="0.2">
      <c r="A270" s="35"/>
      <c r="B270" s="5" t="s">
        <v>111</v>
      </c>
    </row>
    <row r="271" spans="1:12" x14ac:dyDescent="0.2">
      <c r="A271" s="35"/>
      <c r="B271" s="59" t="s">
        <v>63</v>
      </c>
      <c r="C271" s="60">
        <f>((C190*O$48*F$163)+(C191*O$48*F$164))/1000</f>
        <v>151014.20619479948</v>
      </c>
      <c r="D271" s="60">
        <f t="shared" ref="D271:J271" si="56">+D187*SUM(D50:D53)/1000</f>
        <v>111.28915325438241</v>
      </c>
      <c r="E271" s="60">
        <f t="shared" si="56"/>
        <v>38072.466914325305</v>
      </c>
      <c r="F271" s="60">
        <f t="shared" si="56"/>
        <v>459.70779559570883</v>
      </c>
      <c r="G271" s="60">
        <f t="shared" si="56"/>
        <v>52443.247443595101</v>
      </c>
      <c r="H271" s="60">
        <f t="shared" si="56"/>
        <v>12852.258239815836</v>
      </c>
      <c r="I271" s="60">
        <f t="shared" si="56"/>
        <v>967.16853424224234</v>
      </c>
      <c r="J271" s="60">
        <f t="shared" si="56"/>
        <v>260.22838121428146</v>
      </c>
      <c r="K271" s="60"/>
      <c r="L271" s="60"/>
    </row>
    <row r="272" spans="1:12" x14ac:dyDescent="0.2">
      <c r="A272" s="35"/>
      <c r="B272" s="59" t="s">
        <v>66</v>
      </c>
      <c r="C272" s="60">
        <f t="shared" ref="C272:J272" si="57">+C193*SUM(C45:C49,C54:C56)/1000</f>
        <v>223191.011995626</v>
      </c>
      <c r="D272" s="60">
        <f t="shared" si="57"/>
        <v>238.63188541983905</v>
      </c>
      <c r="E272" s="60">
        <f t="shared" si="57"/>
        <v>56007.512989723669</v>
      </c>
      <c r="F272" s="60">
        <f t="shared" si="57"/>
        <v>575.41910549341526</v>
      </c>
      <c r="G272" s="60">
        <f t="shared" si="57"/>
        <v>79110.028134108637</v>
      </c>
      <c r="H272" s="60">
        <f t="shared" si="57"/>
        <v>27564.450306613307</v>
      </c>
      <c r="I272" s="60">
        <f t="shared" si="57"/>
        <v>2464.2987884659256</v>
      </c>
      <c r="J272" s="60">
        <f t="shared" si="57"/>
        <v>497.0689901939428</v>
      </c>
      <c r="K272" s="60"/>
      <c r="L272" s="60"/>
    </row>
    <row r="273" spans="1:13" x14ac:dyDescent="0.2">
      <c r="A273" s="35"/>
      <c r="B273" s="59" t="s">
        <v>29</v>
      </c>
      <c r="C273" s="46">
        <f t="shared" ref="C273:J273" si="58">+C272+C271</f>
        <v>374205.21819042548</v>
      </c>
      <c r="D273" s="46">
        <f t="shared" si="58"/>
        <v>349.92103867422145</v>
      </c>
      <c r="E273" s="46">
        <f t="shared" si="58"/>
        <v>94079.979904048974</v>
      </c>
      <c r="F273" s="46">
        <f t="shared" si="58"/>
        <v>1035.1269010891242</v>
      </c>
      <c r="G273" s="46">
        <f t="shared" si="58"/>
        <v>131553.27557770372</v>
      </c>
      <c r="H273" s="46">
        <f t="shared" si="58"/>
        <v>40416.708546429145</v>
      </c>
      <c r="I273" s="46">
        <f t="shared" si="58"/>
        <v>3431.467322708168</v>
      </c>
      <c r="J273" s="60">
        <f t="shared" si="58"/>
        <v>757.29737140822431</v>
      </c>
      <c r="K273" s="60"/>
      <c r="L273" s="60"/>
    </row>
    <row r="274" spans="1:13" x14ac:dyDescent="0.2">
      <c r="A274" s="35"/>
      <c r="B274" s="59"/>
    </row>
    <row r="275" spans="1:13" x14ac:dyDescent="0.2">
      <c r="A275" s="35"/>
      <c r="B275" s="5" t="s">
        <v>112</v>
      </c>
    </row>
    <row r="276" spans="1:13" x14ac:dyDescent="0.2">
      <c r="A276" s="35"/>
      <c r="B276" s="59" t="s">
        <v>63</v>
      </c>
      <c r="C276" s="120">
        <f t="shared" ref="C276:J276" si="59">+C271/C273</f>
        <v>0.40355986195240978</v>
      </c>
      <c r="D276" s="120">
        <f>+D271/D273</f>
        <v>0.31804076049852287</v>
      </c>
      <c r="E276" s="120">
        <f t="shared" si="59"/>
        <v>0.40468192014023546</v>
      </c>
      <c r="F276" s="120">
        <f t="shared" si="59"/>
        <v>0.44410766941910257</v>
      </c>
      <c r="G276" s="120">
        <f t="shared" si="59"/>
        <v>0.39864645873160937</v>
      </c>
      <c r="H276" s="120">
        <f t="shared" si="59"/>
        <v>0.31799368879956319</v>
      </c>
      <c r="I276" s="120">
        <f t="shared" si="59"/>
        <v>0.28185275955911993</v>
      </c>
      <c r="J276" s="120">
        <f t="shared" si="59"/>
        <v>0.34362773599804858</v>
      </c>
      <c r="K276" s="120"/>
      <c r="L276" s="120"/>
    </row>
    <row r="277" spans="1:13" x14ac:dyDescent="0.2">
      <c r="A277" s="35"/>
      <c r="B277" s="59" t="s">
        <v>66</v>
      </c>
      <c r="C277" s="120">
        <f t="shared" ref="C277:J277" si="60">+C272/C273</f>
        <v>0.59644013804759022</v>
      </c>
      <c r="D277" s="120">
        <f>+D272/D273</f>
        <v>0.68195923950147719</v>
      </c>
      <c r="E277" s="120">
        <f t="shared" si="60"/>
        <v>0.59531807985976448</v>
      </c>
      <c r="F277" s="120">
        <f t="shared" si="60"/>
        <v>0.55589233058089738</v>
      </c>
      <c r="G277" s="120">
        <f t="shared" si="60"/>
        <v>0.6013535412683908</v>
      </c>
      <c r="H277" s="120">
        <f t="shared" si="60"/>
        <v>0.68200631120043675</v>
      </c>
      <c r="I277" s="120">
        <f t="shared" si="60"/>
        <v>0.71814724044087996</v>
      </c>
      <c r="J277" s="120">
        <f t="shared" si="60"/>
        <v>0.65637226400195137</v>
      </c>
      <c r="K277" s="120"/>
      <c r="L277" s="120"/>
    </row>
    <row r="278" spans="1:13" x14ac:dyDescent="0.2">
      <c r="A278" s="35"/>
    </row>
    <row r="279" spans="1:13" x14ac:dyDescent="0.2">
      <c r="A279" s="35"/>
      <c r="B279" s="5" t="s">
        <v>113</v>
      </c>
    </row>
    <row r="280" spans="1:13" x14ac:dyDescent="0.2">
      <c r="A280" s="35"/>
      <c r="B280" s="59" t="s">
        <v>63</v>
      </c>
      <c r="C280" s="121">
        <f>+SUM(C271:L271)</f>
        <v>256180.57265684236</v>
      </c>
      <c r="D280" s="121"/>
    </row>
    <row r="281" spans="1:13" x14ac:dyDescent="0.2">
      <c r="A281" s="35"/>
      <c r="B281" s="59" t="s">
        <v>66</v>
      </c>
      <c r="C281" s="121">
        <f>+SUM(C272:L272)</f>
        <v>389648.4221956447</v>
      </c>
      <c r="D281" s="121"/>
    </row>
    <row r="282" spans="1:13" x14ac:dyDescent="0.2">
      <c r="A282" s="35"/>
      <c r="B282" s="59" t="s">
        <v>29</v>
      </c>
      <c r="C282" s="46">
        <f>+C281+C280</f>
        <v>645828.994852487</v>
      </c>
      <c r="D282" s="46"/>
    </row>
    <row r="283" spans="1:13" x14ac:dyDescent="0.2">
      <c r="A283" s="35"/>
    </row>
    <row r="284" spans="1:13" x14ac:dyDescent="0.2">
      <c r="A284" s="35"/>
      <c r="B284" s="5" t="s">
        <v>114</v>
      </c>
      <c r="D284" s="5" t="s">
        <v>115</v>
      </c>
    </row>
    <row r="285" spans="1:13" x14ac:dyDescent="0.2">
      <c r="A285" s="35"/>
      <c r="B285" s="59" t="s">
        <v>63</v>
      </c>
      <c r="C285" s="120">
        <f>+C280/C282</f>
        <v>0.39666935783110241</v>
      </c>
      <c r="E285" s="114">
        <f>+C280/SUMPRODUCT(O48:V48,C84:J84)*1000</f>
        <v>69.995475789963237</v>
      </c>
      <c r="F285" s="5" t="s">
        <v>116</v>
      </c>
      <c r="I285" s="5" t="s">
        <v>117</v>
      </c>
      <c r="K285" s="5" t="s">
        <v>118</v>
      </c>
      <c r="L285" s="59" t="s">
        <v>63</v>
      </c>
      <c r="M285" s="153">
        <f>IF(ROUND(E$285/F$204,4)&lt;ROUND(E$286/F$204,4),1,ROUND(E285/F$204,4))</f>
        <v>1.0051000000000001</v>
      </c>
    </row>
    <row r="286" spans="1:13" x14ac:dyDescent="0.2">
      <c r="A286" s="35"/>
      <c r="B286" s="59" t="s">
        <v>66</v>
      </c>
      <c r="C286" s="120">
        <f>+C281/C282</f>
        <v>0.60333064216889765</v>
      </c>
      <c r="E286" s="114">
        <f>+C281/SUMPRODUCT(O45:V45,C84:J84)*1000</f>
        <v>69.408290644954761</v>
      </c>
      <c r="F286" s="5" t="s">
        <v>116</v>
      </c>
      <c r="I286" s="5" t="s">
        <v>141</v>
      </c>
      <c r="L286" s="59" t="s">
        <v>66</v>
      </c>
      <c r="M286" s="153">
        <f>IF(ROUND(E$285/F$204,4)&lt;ROUND(E$286/F$204,4),1,ROUND(E286/F$204,4))</f>
        <v>0.99670000000000003</v>
      </c>
    </row>
    <row r="287" spans="1:13" x14ac:dyDescent="0.2">
      <c r="A287" s="35"/>
    </row>
    <row r="288" spans="1:13" x14ac:dyDescent="0.2">
      <c r="A288" s="35"/>
    </row>
    <row r="289" spans="1:19" x14ac:dyDescent="0.2">
      <c r="A289" s="34"/>
      <c r="B289" s="3" t="s">
        <v>122</v>
      </c>
      <c r="F289" s="114"/>
    </row>
    <row r="290" spans="1:19" x14ac:dyDescent="0.2">
      <c r="A290" s="35"/>
      <c r="B290" s="7" t="s">
        <v>123</v>
      </c>
      <c r="C290" s="117">
        <f>E155</f>
        <v>182.11815014235768</v>
      </c>
      <c r="D290" s="117"/>
      <c r="E290" s="5" t="s">
        <v>124</v>
      </c>
      <c r="F290" s="5" t="s">
        <v>125</v>
      </c>
    </row>
    <row r="291" spans="1:19" x14ac:dyDescent="0.2">
      <c r="A291" s="35"/>
      <c r="B291" s="7" t="s">
        <v>126</v>
      </c>
      <c r="C291" s="117">
        <f>E156</f>
        <v>182.11815014235768</v>
      </c>
      <c r="D291" s="117"/>
      <c r="E291" s="5" t="s">
        <v>124</v>
      </c>
      <c r="F291" s="5" t="s">
        <v>127</v>
      </c>
    </row>
    <row r="292" spans="1:19" x14ac:dyDescent="0.2">
      <c r="A292" s="35"/>
      <c r="B292" s="7" t="s">
        <v>128</v>
      </c>
      <c r="C292" s="46">
        <f>+E153</f>
        <v>24997.069690332264</v>
      </c>
      <c r="D292" s="46"/>
      <c r="E292" s="113" t="s">
        <v>61</v>
      </c>
    </row>
    <row r="293" spans="1:19" x14ac:dyDescent="0.2">
      <c r="A293" s="35"/>
      <c r="B293" s="7" t="s">
        <v>129</v>
      </c>
      <c r="C293" s="41">
        <f>+E169</f>
        <v>3</v>
      </c>
      <c r="D293" s="41"/>
      <c r="E293" s="5" t="s">
        <v>140</v>
      </c>
      <c r="F293" s="83"/>
    </row>
    <row r="294" spans="1:19" x14ac:dyDescent="0.2">
      <c r="A294" s="35"/>
      <c r="B294" s="7" t="s">
        <v>130</v>
      </c>
      <c r="C294" s="5" t="s">
        <v>254</v>
      </c>
    </row>
    <row r="295" spans="1:19" x14ac:dyDescent="0.2">
      <c r="A295" s="35"/>
      <c r="B295" s="7" t="s">
        <v>131</v>
      </c>
      <c r="C295" s="28" t="s">
        <v>226</v>
      </c>
      <c r="D295" s="28"/>
    </row>
    <row r="296" spans="1:19" x14ac:dyDescent="0.2">
      <c r="A296" s="35"/>
      <c r="B296" s="7" t="s">
        <v>132</v>
      </c>
      <c r="C296" s="5" t="s">
        <v>255</v>
      </c>
    </row>
    <row r="297" spans="1:19" x14ac:dyDescent="0.2">
      <c r="A297" s="35"/>
      <c r="B297" s="7" t="s">
        <v>133</v>
      </c>
      <c r="C297" s="5" t="s">
        <v>134</v>
      </c>
    </row>
    <row r="298" spans="1:19" x14ac:dyDescent="0.2">
      <c r="A298" s="35"/>
      <c r="B298" s="7" t="s">
        <v>135</v>
      </c>
      <c r="C298" s="5" t="s">
        <v>224</v>
      </c>
    </row>
    <row r="299" spans="1:19" x14ac:dyDescent="0.2">
      <c r="A299" s="35"/>
      <c r="C299" s="5" t="s">
        <v>225</v>
      </c>
    </row>
    <row r="302" spans="1:19" x14ac:dyDescent="0.2">
      <c r="A302" s="34" t="s">
        <v>243</v>
      </c>
      <c r="B302" s="3" t="s">
        <v>244</v>
      </c>
    </row>
    <row r="303" spans="1:19" x14ac:dyDescent="0.2">
      <c r="A303" s="35"/>
      <c r="B303" s="4" t="s">
        <v>245</v>
      </c>
      <c r="N303" s="19"/>
      <c r="O303" s="19"/>
      <c r="P303" s="19"/>
      <c r="Q303" s="19"/>
      <c r="R303" s="19"/>
      <c r="S303" s="19"/>
    </row>
    <row r="304" spans="1:19" x14ac:dyDescent="0.2">
      <c r="A304" s="35"/>
      <c r="B304" s="4" t="s">
        <v>35</v>
      </c>
      <c r="N304" s="19"/>
      <c r="O304" s="19"/>
      <c r="P304" s="19"/>
      <c r="Q304" s="19"/>
      <c r="R304" s="19"/>
      <c r="S304" s="19"/>
    </row>
    <row r="305" spans="1:19" x14ac:dyDescent="0.2">
      <c r="A305" s="35"/>
      <c r="B305" s="4"/>
      <c r="N305" s="19"/>
      <c r="O305" s="19"/>
      <c r="P305" s="19"/>
      <c r="Q305" s="19"/>
      <c r="R305" s="19"/>
      <c r="S305" s="19"/>
    </row>
    <row r="306" spans="1:19" x14ac:dyDescent="0.2">
      <c r="A306" s="35"/>
      <c r="B306" s="88" t="s">
        <v>246</v>
      </c>
      <c r="C306" s="89">
        <f>'auction results and rates'!C29</f>
        <v>90.87</v>
      </c>
      <c r="D306" s="90"/>
      <c r="E306" s="117"/>
      <c r="N306" s="19"/>
      <c r="O306" s="147"/>
      <c r="P306" s="147"/>
      <c r="Q306" s="80"/>
      <c r="R306" s="80"/>
      <c r="S306" s="19"/>
    </row>
    <row r="307" spans="1:19" x14ac:dyDescent="0.2">
      <c r="A307" s="35"/>
      <c r="B307" s="91" t="s">
        <v>247</v>
      </c>
      <c r="C307" s="92">
        <f>K174*K57/SUMPRODUCT(C57:J57,C80:J80)</f>
        <v>6.8713586426370119</v>
      </c>
      <c r="D307" s="90"/>
      <c r="N307" s="19"/>
      <c r="O307" s="79"/>
      <c r="P307" s="79"/>
      <c r="Q307" s="80"/>
      <c r="R307" s="80"/>
      <c r="S307" s="19"/>
    </row>
    <row r="308" spans="1:19" x14ac:dyDescent="0.2">
      <c r="A308" s="35"/>
      <c r="B308" s="93" t="s">
        <v>248</v>
      </c>
      <c r="C308" s="94">
        <f>C306-C307</f>
        <v>83.998641357362999</v>
      </c>
      <c r="D308" s="95"/>
      <c r="N308" s="19"/>
      <c r="O308" s="81"/>
      <c r="P308" s="81"/>
      <c r="Q308" s="81"/>
      <c r="R308" s="81"/>
      <c r="S308" s="19"/>
    </row>
    <row r="309" spans="1:19" x14ac:dyDescent="0.2">
      <c r="A309" s="35"/>
      <c r="B309" s="4"/>
      <c r="N309" s="19"/>
      <c r="O309" s="148"/>
      <c r="P309" s="148"/>
      <c r="Q309" s="148"/>
      <c r="R309" s="148"/>
      <c r="S309" s="19"/>
    </row>
    <row r="310" spans="1:19" x14ac:dyDescent="0.2">
      <c r="A310" s="35"/>
      <c r="C310" s="22" t="s">
        <v>5</v>
      </c>
      <c r="D310" s="55" t="s">
        <v>148</v>
      </c>
      <c r="E310" s="22" t="s">
        <v>6</v>
      </c>
      <c r="F310" s="22" t="s">
        <v>7</v>
      </c>
      <c r="G310" s="22" t="s">
        <v>8</v>
      </c>
      <c r="H310" s="22" t="s">
        <v>9</v>
      </c>
      <c r="I310" s="22" t="s">
        <v>10</v>
      </c>
      <c r="J310" s="22" t="s">
        <v>11</v>
      </c>
      <c r="N310" s="19"/>
      <c r="O310" s="19"/>
      <c r="P310" s="19"/>
      <c r="Q310" s="19"/>
      <c r="R310" s="19"/>
      <c r="S310" s="19"/>
    </row>
    <row r="311" spans="1:19" x14ac:dyDescent="0.2">
      <c r="A311" s="35"/>
      <c r="B311" s="36" t="s">
        <v>44</v>
      </c>
      <c r="D311" s="119">
        <f>$C$308*D254*'auction results and rates'!E100</f>
        <v>133.32294931746111</v>
      </c>
      <c r="E311" s="119">
        <f>$C$308*E254*'auction results and rates'!$E$100</f>
        <v>113.4862652874685</v>
      </c>
      <c r="F311" s="119">
        <f>$C$308*F254*'auction results and rates'!$E$100</f>
        <v>122.85122341321609</v>
      </c>
      <c r="G311" s="119">
        <f>$C$308*G254*'auction results and rates'!$E$100</f>
        <v>107.95242639498127</v>
      </c>
      <c r="H311" s="119">
        <f>$C$308*H254*'auction results and rates'!$E$100</f>
        <v>101.99290758768736</v>
      </c>
      <c r="I311" s="119">
        <f>$C$308*I254*'auction results and rates'!$E$100</f>
        <v>74.238577142289969</v>
      </c>
      <c r="J311" s="119">
        <f>$C$308*J254*'auction results and rates'!$E$100</f>
        <v>96.373932712238798</v>
      </c>
      <c r="L311" s="122"/>
      <c r="M311" s="122"/>
      <c r="N311" s="19"/>
      <c r="O311" s="19"/>
      <c r="P311" s="19"/>
      <c r="Q311" s="149"/>
      <c r="R311" s="149"/>
      <c r="S311" s="19"/>
    </row>
    <row r="312" spans="1:19" x14ac:dyDescent="0.2">
      <c r="A312" s="35"/>
      <c r="B312" s="37" t="s">
        <v>143</v>
      </c>
      <c r="D312" s="119">
        <f>$C$308*D255*'auction results and rates'!E100</f>
        <v>164.99353497908021</v>
      </c>
      <c r="E312" s="119"/>
      <c r="F312" s="119"/>
      <c r="G312" s="119"/>
      <c r="H312" s="119"/>
      <c r="I312" s="119"/>
      <c r="J312" s="119"/>
      <c r="N312" s="19"/>
      <c r="O312" s="19"/>
      <c r="P312" s="19"/>
      <c r="Q312" s="19"/>
      <c r="R312" s="19"/>
      <c r="S312" s="19"/>
    </row>
    <row r="313" spans="1:19" x14ac:dyDescent="0.2">
      <c r="A313" s="35"/>
      <c r="B313" s="37" t="s">
        <v>37</v>
      </c>
      <c r="D313" s="119">
        <f>$C$308*D256*'auction results and rates'!E100</f>
        <v>69.811506028300187</v>
      </c>
      <c r="E313" s="119"/>
      <c r="F313" s="119"/>
      <c r="G313" s="119"/>
      <c r="H313" s="119"/>
      <c r="I313" s="119"/>
      <c r="J313" s="119"/>
      <c r="N313" s="19"/>
      <c r="O313" s="19"/>
      <c r="P313" s="19"/>
      <c r="Q313" s="19"/>
      <c r="R313" s="19"/>
      <c r="S313" s="19"/>
    </row>
    <row r="314" spans="1:19" x14ac:dyDescent="0.2">
      <c r="A314" s="35"/>
      <c r="B314" s="7" t="s">
        <v>73</v>
      </c>
      <c r="C314" s="119">
        <f>($C$308*$C$257+C258)*'auction results and rates'!E100</f>
        <v>110.26483223282767</v>
      </c>
      <c r="D314" s="119"/>
      <c r="E314" s="119"/>
      <c r="F314" s="119"/>
      <c r="G314" s="119"/>
      <c r="H314" s="119"/>
      <c r="I314" s="119"/>
      <c r="J314" s="119"/>
      <c r="N314" s="19"/>
      <c r="O314" s="19"/>
      <c r="P314" s="19"/>
      <c r="Q314" s="19"/>
      <c r="R314" s="19"/>
      <c r="S314" s="19"/>
    </row>
    <row r="315" spans="1:19" x14ac:dyDescent="0.2">
      <c r="A315" s="35"/>
      <c r="B315" s="7" t="s">
        <v>75</v>
      </c>
      <c r="C315" s="119">
        <f>($C$308*$C$257+C259)*'auction results and rates'!E100</f>
        <v>119.03398031282768</v>
      </c>
      <c r="D315" s="119"/>
      <c r="E315" s="119"/>
      <c r="F315" s="119"/>
      <c r="G315" s="119"/>
      <c r="H315" s="119"/>
      <c r="I315" s="119"/>
      <c r="J315" s="119"/>
      <c r="N315" s="19"/>
      <c r="O315" s="19"/>
      <c r="P315" s="19"/>
      <c r="Q315" s="19"/>
      <c r="R315" s="19"/>
      <c r="S315" s="19"/>
    </row>
    <row r="316" spans="1:19" x14ac:dyDescent="0.2">
      <c r="A316" s="35"/>
      <c r="B316" s="36" t="s">
        <v>45</v>
      </c>
      <c r="C316" s="119">
        <f>$C$308*C261*'auction results and rates'!E101</f>
        <v>75.774510779210445</v>
      </c>
      <c r="D316" s="119">
        <f>$C$308*D261*'auction results and rates'!E101</f>
        <v>76.107585551866322</v>
      </c>
      <c r="E316" s="119">
        <f>$C$308*E261*'auction results and rates'!$E$101</f>
        <v>76.940272483505993</v>
      </c>
      <c r="F316" s="119">
        <f>$C$308*F261*'auction results and rates'!$E$101</f>
        <v>74.69201776807887</v>
      </c>
      <c r="G316" s="119">
        <f>$C$308*G261*'auction results and rates'!$E$101</f>
        <v>76.357391631358212</v>
      </c>
      <c r="H316" s="119">
        <f>$C$308*H261*'auction results and rates'!$E$101</f>
        <v>74.275674302259034</v>
      </c>
      <c r="I316" s="119">
        <f>$C$308*I261*'auction results and rates'!$E$101</f>
        <v>72.693569132143651</v>
      </c>
      <c r="J316" s="119">
        <f>$C$308*J261*'auction results and rates'!$E$101</f>
        <v>75.108361233898705</v>
      </c>
      <c r="N316" s="19"/>
      <c r="O316" s="19"/>
      <c r="P316" s="19"/>
      <c r="Q316" s="149"/>
      <c r="R316" s="149"/>
      <c r="S316" s="19"/>
    </row>
    <row r="317" spans="1:19" x14ac:dyDescent="0.2">
      <c r="A317" s="35"/>
      <c r="B317" s="37" t="s">
        <v>143</v>
      </c>
      <c r="C317" s="119"/>
      <c r="D317" s="119">
        <f>$C$308*D262*'auction results and rates'!E101</f>
        <v>89.930188617084923</v>
      </c>
      <c r="E317" s="119"/>
      <c r="F317" s="119"/>
      <c r="G317" s="119"/>
      <c r="H317" s="119"/>
      <c r="I317" s="119"/>
      <c r="J317" s="119"/>
      <c r="N317" s="19"/>
      <c r="O317" s="19"/>
      <c r="P317" s="19"/>
      <c r="Q317" s="19"/>
      <c r="R317" s="19"/>
      <c r="S317" s="19"/>
    </row>
    <row r="318" spans="1:19" x14ac:dyDescent="0.2">
      <c r="A318" s="35"/>
      <c r="B318" s="37" t="s">
        <v>37</v>
      </c>
      <c r="C318" s="119"/>
      <c r="D318" s="119">
        <f>$C$308*D263*'auction results and rates'!E101</f>
        <v>69.779164871404774</v>
      </c>
      <c r="E318" s="119"/>
      <c r="F318" s="119"/>
      <c r="G318" s="119"/>
      <c r="H318" s="119"/>
      <c r="I318" s="119"/>
      <c r="J318" s="119"/>
      <c r="N318" s="19"/>
      <c r="O318" s="19"/>
      <c r="P318" s="19"/>
      <c r="Q318" s="19"/>
      <c r="R318" s="19"/>
      <c r="S318" s="19"/>
    </row>
    <row r="319" spans="1:19" x14ac:dyDescent="0.2">
      <c r="A319" s="35"/>
      <c r="B319" s="5" t="s">
        <v>46</v>
      </c>
      <c r="C319" s="119">
        <f>$C$308*C264</f>
        <v>113.23016854972533</v>
      </c>
      <c r="D319" s="119">
        <f>$C$308*D264</f>
        <v>100.71437098747825</v>
      </c>
      <c r="E319" s="119">
        <f t="shared" ref="E319:J319" si="61">$C$308*E264</f>
        <v>112.81017534293851</v>
      </c>
      <c r="F319" s="119">
        <f t="shared" si="61"/>
        <v>131.79386828970254</v>
      </c>
      <c r="G319" s="119">
        <f t="shared" si="61"/>
        <v>105.33429626213321</v>
      </c>
      <c r="H319" s="119">
        <f t="shared" si="61"/>
        <v>93.49048783074501</v>
      </c>
      <c r="I319" s="119">
        <f t="shared" si="61"/>
        <v>73.330813904977902</v>
      </c>
      <c r="J319" s="119">
        <f t="shared" si="61"/>
        <v>91.642517720883035</v>
      </c>
      <c r="N319" s="19"/>
      <c r="O319" s="19"/>
      <c r="P319" s="19"/>
      <c r="Q319" s="149"/>
      <c r="R319" s="149"/>
      <c r="S319" s="19"/>
    </row>
    <row r="320" spans="1:19" x14ac:dyDescent="0.2">
      <c r="A320" s="35"/>
      <c r="C320" s="123">
        <f>(C319+C174)*$C325*1.07/10</f>
        <v>13.099269931508555</v>
      </c>
      <c r="D320" s="123">
        <f t="shared" ref="D320:J320" si="62">(D319+D174)*$C325*1.07/10</f>
        <v>11.404934719481199</v>
      </c>
      <c r="E320" s="123">
        <f t="shared" si="62"/>
        <v>12.883513266959469</v>
      </c>
      <c r="F320" s="123">
        <f t="shared" si="62"/>
        <v>15.332855460565863</v>
      </c>
      <c r="G320" s="123">
        <f t="shared" si="62"/>
        <v>11.897210989080303</v>
      </c>
      <c r="H320" s="123">
        <f t="shared" si="62"/>
        <v>10.406540788308385</v>
      </c>
      <c r="I320" s="123">
        <f t="shared" si="62"/>
        <v>7.8640254673995216</v>
      </c>
      <c r="J320" s="123">
        <f t="shared" si="62"/>
        <v>10.172837986694262</v>
      </c>
      <c r="N320" s="19"/>
      <c r="O320" s="19"/>
      <c r="P320" s="19"/>
      <c r="Q320" s="150"/>
      <c r="R320" s="150"/>
      <c r="S320" s="19"/>
    </row>
    <row r="321" spans="1:19" x14ac:dyDescent="0.2">
      <c r="A321" s="20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N321" s="19"/>
      <c r="O321" s="19"/>
      <c r="P321" s="19"/>
      <c r="Q321" s="19"/>
      <c r="R321" s="19"/>
      <c r="S321" s="19"/>
    </row>
    <row r="322" spans="1:19" ht="12.75" customHeight="1" x14ac:dyDescent="0.2">
      <c r="A322" s="34" t="s">
        <v>249</v>
      </c>
      <c r="B322" s="18" t="s">
        <v>250</v>
      </c>
      <c r="C322" s="19"/>
      <c r="D322" s="19"/>
      <c r="E322" s="19"/>
      <c r="F322" s="19"/>
      <c r="G322" s="19"/>
      <c r="H322" s="19"/>
      <c r="I322" s="19"/>
      <c r="J322" s="19"/>
      <c r="K322" s="19"/>
      <c r="N322" s="19"/>
      <c r="O322" s="19"/>
      <c r="P322" s="19"/>
      <c r="Q322" s="19"/>
      <c r="R322" s="19"/>
      <c r="S322" s="19"/>
    </row>
    <row r="323" spans="1:19" x14ac:dyDescent="0.2">
      <c r="A323" s="35"/>
      <c r="B323" s="21" t="s">
        <v>245</v>
      </c>
      <c r="C323" s="19"/>
      <c r="D323" s="19"/>
      <c r="E323" s="19"/>
      <c r="F323" s="19"/>
      <c r="G323" s="19"/>
      <c r="H323" s="19"/>
      <c r="I323" s="19"/>
      <c r="J323" s="19"/>
      <c r="K323" s="19"/>
      <c r="N323" s="19"/>
      <c r="O323" s="19"/>
      <c r="P323" s="19"/>
      <c r="Q323" s="19"/>
      <c r="R323" s="19"/>
      <c r="S323" s="19"/>
    </row>
    <row r="324" spans="1:19" x14ac:dyDescent="0.2">
      <c r="A324" s="35"/>
      <c r="B324" s="21" t="s">
        <v>251</v>
      </c>
      <c r="C324" s="19"/>
      <c r="D324" s="19"/>
      <c r="E324" s="19"/>
      <c r="F324" s="19"/>
      <c r="G324" s="19"/>
      <c r="H324" s="19"/>
      <c r="I324" s="19"/>
      <c r="J324" s="19"/>
      <c r="K324" s="19"/>
      <c r="N324" s="19"/>
      <c r="O324" s="19"/>
      <c r="P324" s="19"/>
      <c r="Q324" s="19"/>
      <c r="R324" s="19"/>
      <c r="S324" s="19"/>
    </row>
    <row r="325" spans="1:19" x14ac:dyDescent="0.2">
      <c r="A325" s="35"/>
      <c r="B325" s="124" t="s">
        <v>252</v>
      </c>
      <c r="C325" s="19">
        <f>1/(1-(0.00186+0.00035))</f>
        <v>1.0022148949177683</v>
      </c>
      <c r="D325" s="19"/>
      <c r="E325" s="19"/>
      <c r="F325" s="19"/>
      <c r="G325" s="19"/>
      <c r="H325" s="19"/>
      <c r="I325" s="19"/>
      <c r="J325" s="19"/>
      <c r="K325" s="19"/>
      <c r="N325" s="19"/>
      <c r="O325" s="19"/>
      <c r="P325" s="19"/>
      <c r="Q325" s="19"/>
      <c r="R325" s="19"/>
      <c r="S325" s="19"/>
    </row>
    <row r="326" spans="1:19" x14ac:dyDescent="0.2">
      <c r="A326" s="35"/>
      <c r="B326" s="124" t="s">
        <v>253</v>
      </c>
      <c r="C326" s="19"/>
      <c r="D326" s="19"/>
      <c r="E326" s="19"/>
      <c r="F326" s="19"/>
      <c r="G326" s="19"/>
      <c r="H326" s="19"/>
      <c r="I326" s="19"/>
      <c r="J326" s="19"/>
      <c r="K326" s="19"/>
      <c r="N326" s="19"/>
      <c r="O326" s="126"/>
      <c r="P326" s="19"/>
      <c r="Q326" s="19"/>
      <c r="R326" s="19"/>
      <c r="S326" s="19"/>
    </row>
    <row r="327" spans="1:19" x14ac:dyDescent="0.2">
      <c r="A327" s="35"/>
      <c r="B327" s="21"/>
      <c r="C327" s="19"/>
      <c r="D327" s="19"/>
      <c r="E327" s="19"/>
      <c r="F327" s="19"/>
      <c r="G327" s="19"/>
      <c r="H327" s="19"/>
      <c r="I327" s="19"/>
      <c r="J327" s="19"/>
      <c r="K327" s="19"/>
      <c r="N327" s="19"/>
      <c r="O327" s="19"/>
      <c r="P327" s="19"/>
      <c r="Q327" s="19"/>
      <c r="R327" s="19"/>
      <c r="S327" s="19"/>
    </row>
    <row r="328" spans="1:19" x14ac:dyDescent="0.2">
      <c r="A328" s="35"/>
      <c r="B328" s="19"/>
      <c r="C328" s="22" t="s">
        <v>5</v>
      </c>
      <c r="D328" s="22" t="s">
        <v>148</v>
      </c>
      <c r="E328" s="22" t="s">
        <v>6</v>
      </c>
      <c r="F328" s="22" t="s">
        <v>7</v>
      </c>
      <c r="G328" s="22" t="s">
        <v>8</v>
      </c>
      <c r="H328" s="22" t="s">
        <v>9</v>
      </c>
      <c r="I328" s="22" t="s">
        <v>10</v>
      </c>
      <c r="J328" s="22" t="s">
        <v>11</v>
      </c>
      <c r="K328" s="19"/>
      <c r="N328" s="19"/>
      <c r="O328" s="19"/>
      <c r="P328" s="19"/>
      <c r="Q328" s="19"/>
      <c r="R328" s="19"/>
      <c r="S328" s="19"/>
    </row>
    <row r="329" spans="1:19" x14ac:dyDescent="0.2">
      <c r="A329" s="35"/>
      <c r="B329" s="24" t="s">
        <v>44</v>
      </c>
      <c r="C329" s="125"/>
      <c r="D329" s="125"/>
      <c r="E329" s="126">
        <f t="shared" ref="E329:J329" si="63">ROUND((E311*$C$325*1.07)/1000,6)</f>
        <v>0.121699</v>
      </c>
      <c r="F329" s="126">
        <f t="shared" si="63"/>
        <v>0.131742</v>
      </c>
      <c r="G329" s="126">
        <f t="shared" si="63"/>
        <v>0.11576500000000001</v>
      </c>
      <c r="H329" s="126">
        <f t="shared" si="63"/>
        <v>0.109374</v>
      </c>
      <c r="I329" s="126">
        <f t="shared" si="63"/>
        <v>7.9611000000000001E-2</v>
      </c>
      <c r="J329" s="126">
        <f t="shared" si="63"/>
        <v>0.103349</v>
      </c>
      <c r="K329" s="19"/>
    </row>
    <row r="330" spans="1:19" x14ac:dyDescent="0.2">
      <c r="A330" s="35"/>
      <c r="B330" s="127" t="s">
        <v>143</v>
      </c>
      <c r="C330" s="125"/>
      <c r="D330" s="126">
        <f>ROUND((D312*$C$325*1.07)/1000,6)</f>
        <v>0.17693400000000001</v>
      </c>
      <c r="E330" s="126"/>
      <c r="F330" s="126"/>
      <c r="G330" s="126"/>
      <c r="H330" s="126"/>
      <c r="I330" s="126"/>
      <c r="J330" s="128"/>
      <c r="K330" s="19"/>
    </row>
    <row r="331" spans="1:19" x14ac:dyDescent="0.2">
      <c r="A331" s="35"/>
      <c r="B331" s="127" t="s">
        <v>37</v>
      </c>
      <c r="C331" s="125"/>
      <c r="D331" s="126">
        <f>ROUND((D313*$C$325*1.07)/1000,6)</f>
        <v>7.4864E-2</v>
      </c>
      <c r="E331" s="126"/>
      <c r="F331" s="126"/>
      <c r="G331" s="126"/>
      <c r="H331" s="126"/>
      <c r="I331" s="126"/>
      <c r="J331" s="128"/>
      <c r="K331" s="19"/>
    </row>
    <row r="332" spans="1:19" x14ac:dyDescent="0.2">
      <c r="A332" s="35"/>
      <c r="B332" s="78" t="s">
        <v>73</v>
      </c>
      <c r="C332" s="126">
        <f>ROUND((C314*$C$325*1.07)/1000,6)</f>
        <v>0.118245</v>
      </c>
      <c r="D332" s="126"/>
      <c r="E332" s="126"/>
      <c r="F332" s="126"/>
      <c r="G332" s="126"/>
      <c r="H332" s="126"/>
      <c r="I332" s="126"/>
      <c r="J332" s="19"/>
      <c r="K332" s="19"/>
    </row>
    <row r="333" spans="1:19" x14ac:dyDescent="0.2">
      <c r="A333" s="35"/>
      <c r="B333" s="78" t="s">
        <v>75</v>
      </c>
      <c r="C333" s="126">
        <f>ROUND((C315*$C$325*1.07)/1000,6)</f>
        <v>0.12764800000000001</v>
      </c>
      <c r="D333" s="126"/>
      <c r="E333" s="126"/>
      <c r="F333" s="126"/>
      <c r="G333" s="126"/>
      <c r="H333" s="126"/>
      <c r="I333" s="126"/>
      <c r="J333" s="19"/>
      <c r="K333" s="19"/>
    </row>
    <row r="334" spans="1:19" x14ac:dyDescent="0.2">
      <c r="A334" s="35"/>
      <c r="B334" s="24" t="s">
        <v>45</v>
      </c>
      <c r="C334" s="126">
        <f>ROUND((C316*$C$325*1.07)/1000,6)</f>
        <v>8.1257999999999997E-2</v>
      </c>
      <c r="D334" s="126"/>
      <c r="E334" s="126">
        <f t="shared" ref="E334:J334" si="64">ROUND((E316*$C$325*1.07)/1000,6)</f>
        <v>8.2507999999999998E-2</v>
      </c>
      <c r="F334" s="126">
        <f t="shared" si="64"/>
        <v>8.0097000000000002E-2</v>
      </c>
      <c r="G334" s="126">
        <f t="shared" si="64"/>
        <v>8.1882999999999997E-2</v>
      </c>
      <c r="H334" s="126">
        <f t="shared" si="64"/>
        <v>7.9651E-2</v>
      </c>
      <c r="I334" s="126">
        <f t="shared" si="64"/>
        <v>7.7953999999999996E-2</v>
      </c>
      <c r="J334" s="126">
        <f t="shared" si="64"/>
        <v>8.0544000000000004E-2</v>
      </c>
      <c r="K334" s="19"/>
    </row>
    <row r="335" spans="1:19" x14ac:dyDescent="0.2">
      <c r="A335" s="35"/>
      <c r="B335" s="127" t="s">
        <v>143</v>
      </c>
      <c r="C335" s="126"/>
      <c r="D335" s="126">
        <f>ROUND((D317*$C$325*1.07)/1000,6)</f>
        <v>9.6437999999999996E-2</v>
      </c>
      <c r="E335" s="126"/>
      <c r="F335" s="126"/>
      <c r="G335" s="126"/>
      <c r="H335" s="126"/>
      <c r="I335" s="126"/>
      <c r="J335" s="128"/>
      <c r="K335" s="19"/>
    </row>
    <row r="336" spans="1:19" x14ac:dyDescent="0.2">
      <c r="A336" s="35"/>
      <c r="B336" s="127" t="s">
        <v>37</v>
      </c>
      <c r="C336" s="126"/>
      <c r="D336" s="126">
        <f>ROUND((D318*$C$325*1.07)/1000,6)</f>
        <v>7.4829000000000007E-2</v>
      </c>
      <c r="E336" s="126"/>
      <c r="F336" s="126"/>
      <c r="G336" s="126"/>
      <c r="H336" s="126"/>
      <c r="I336" s="126"/>
      <c r="J336" s="128"/>
      <c r="K336" s="19"/>
    </row>
    <row r="337" spans="1:11" x14ac:dyDescent="0.2">
      <c r="A337" s="35"/>
      <c r="B337" s="19" t="s">
        <v>46</v>
      </c>
      <c r="C337" s="126">
        <f>ROUND((C319*$C$325*1.07)/1000,6)</f>
        <v>0.12142500000000001</v>
      </c>
      <c r="D337" s="126">
        <f>ROUND((D319*$C$325*1.07)/1000,6)</f>
        <v>0.108003</v>
      </c>
      <c r="E337" s="126">
        <f t="shared" ref="E337:J337" si="65">ROUND((E319*$C$325*1.07)/1000,6)</f>
        <v>0.120974</v>
      </c>
      <c r="F337" s="126">
        <f t="shared" si="65"/>
        <v>0.14133200000000001</v>
      </c>
      <c r="G337" s="126">
        <f t="shared" si="65"/>
        <v>0.112957</v>
      </c>
      <c r="H337" s="126">
        <f t="shared" si="65"/>
        <v>0.100256</v>
      </c>
      <c r="I337" s="126">
        <f t="shared" si="65"/>
        <v>7.8638E-2</v>
      </c>
      <c r="J337" s="126">
        <f t="shared" si="65"/>
        <v>9.8275000000000001E-2</v>
      </c>
      <c r="K337" s="19"/>
    </row>
    <row r="338" spans="1:11" x14ac:dyDescent="0.2">
      <c r="C338" s="151"/>
    </row>
    <row r="339" spans="1:11" x14ac:dyDescent="0.2">
      <c r="C339" s="151"/>
    </row>
  </sheetData>
  <customSheetViews>
    <customSheetView guid="{E387223A-F425-4996-A843-D576BB2C4D04}" scale="87" showPageBreaks="1" printArea="1" hiddenRows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1"/>
      <headerFooter alignWithMargins="0">
        <oddHeader>&amp;L&amp;12Atlantic City Electric Company
Attachment 2</oddHeader>
        <oddFooter>&amp;CPage &amp;P of &amp;N</oddFooter>
      </headerFooter>
    </customSheetView>
    <customSheetView guid="{689761CC-C80B-4574-9251-22E069AE5A7E}" scale="87" showPageBreaks="1" printArea="1" showRuler="0">
      <rowBreaks count="7" manualBreakCount="7">
        <brk id="58" max="12" man="1"/>
        <brk id="117" max="12" man="1"/>
        <brk id="177" max="12" man="1"/>
        <brk id="222" max="12" man="1"/>
        <brk id="262" max="12" man="1"/>
        <brk id="296" max="12" man="1"/>
        <brk id="336" max="12" man="1"/>
      </rowBreaks>
      <pageMargins left="0.75" right="0.75" top="1" bottom="1" header="0.5" footer="0.5"/>
      <pageSetup scale="60" orientation="landscape" r:id="rId2"/>
      <headerFooter alignWithMargins="0">
        <oddHeader>&amp;L&amp;12Atlantic City Electric Company
Attachment 2</oddHeader>
        <oddFooter>&amp;CPage &amp;P of &amp;N</oddFooter>
      </headerFooter>
    </customSheetView>
  </customSheetViews>
  <phoneticPr fontId="10" type="noConversion"/>
  <pageMargins left="0.75" right="0.75" top="1" bottom="1" header="0.5" footer="0.5"/>
  <pageSetup scale="47" orientation="landscape" r:id="rId3"/>
  <headerFooter alignWithMargins="0">
    <oddHeader>&amp;L&amp;"Arial,Bold"Atlantic City Electric Company &amp;"Arial,Regular"
Development of Final BGS Rates
June 2013 - May 2014&amp;RATTACHMENT 2</oddHeader>
    <oddFooter>&amp;CPage &amp;P of &amp;N</oddFooter>
  </headerFooter>
  <rowBreaks count="6" manualBreakCount="6">
    <brk id="58" max="12" man="1"/>
    <brk id="120" max="12" man="1"/>
    <brk id="180" max="12" man="1"/>
    <brk id="225" max="12" man="1"/>
    <brk id="265" max="12" man="1"/>
    <brk id="299" max="12" man="1"/>
  </rowBreaks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49"/>
  <sheetViews>
    <sheetView topLeftCell="D104" zoomScale="80" zoomScaleNormal="80" workbookViewId="0">
      <selection activeCell="A130" sqref="A1:XFD1048576"/>
    </sheetView>
  </sheetViews>
  <sheetFormatPr defaultRowHeight="12.75" x14ac:dyDescent="0.2"/>
  <cols>
    <col min="1" max="1" width="12.85546875" style="5" customWidth="1"/>
    <col min="2" max="2" width="30.140625" style="5" customWidth="1"/>
    <col min="3" max="5" width="13.140625" style="5" customWidth="1"/>
    <col min="6" max="6" width="11.85546875" style="5" customWidth="1"/>
    <col min="7" max="8" width="10.7109375" style="5" customWidth="1"/>
    <col min="9" max="9" width="11" style="5" customWidth="1"/>
    <col min="10" max="11" width="10.7109375" style="5" customWidth="1"/>
    <col min="12" max="12" width="14.28515625" style="5" bestFit="1" customWidth="1"/>
    <col min="13" max="13" width="9.85546875" style="5" bestFit="1" customWidth="1"/>
    <col min="14" max="14" width="11.5703125" style="5" bestFit="1" customWidth="1"/>
    <col min="15" max="15" width="9.85546875" style="5" bestFit="1" customWidth="1"/>
    <col min="16" max="16" width="11.5703125" style="5" bestFit="1" customWidth="1"/>
    <col min="17" max="17" width="10" style="5" bestFit="1" customWidth="1"/>
    <col min="18" max="18" width="11.5703125" style="5" bestFit="1" customWidth="1"/>
    <col min="19" max="19" width="10" style="5" bestFit="1" customWidth="1"/>
    <col min="20" max="20" width="11.42578125" style="5" bestFit="1" customWidth="1"/>
    <col min="21" max="21" width="9.140625" style="5"/>
    <col min="22" max="22" width="12.28515625" style="5" bestFit="1" customWidth="1"/>
    <col min="23" max="16384" width="9.140625" style="5"/>
  </cols>
  <sheetData>
    <row r="1" spans="1:11" x14ac:dyDescent="0.2">
      <c r="A1" s="3" t="s">
        <v>261</v>
      </c>
    </row>
    <row r="2" spans="1:11" x14ac:dyDescent="0.2">
      <c r="A2" s="160" t="s">
        <v>267</v>
      </c>
    </row>
    <row r="3" spans="1:11" x14ac:dyDescent="0.2">
      <c r="A3" s="160" t="s">
        <v>264</v>
      </c>
    </row>
    <row r="5" spans="1:11" x14ac:dyDescent="0.2">
      <c r="A5" s="34" t="s">
        <v>240</v>
      </c>
      <c r="B5" s="3" t="s">
        <v>241</v>
      </c>
    </row>
    <row r="6" spans="1:11" ht="51" x14ac:dyDescent="0.2">
      <c r="A6" s="59" t="s">
        <v>175</v>
      </c>
      <c r="B6" s="3" t="s">
        <v>176</v>
      </c>
      <c r="C6" s="161" t="s">
        <v>263</v>
      </c>
      <c r="D6" s="161" t="s">
        <v>265</v>
      </c>
      <c r="E6" s="161" t="s">
        <v>266</v>
      </c>
      <c r="G6" s="161" t="s">
        <v>177</v>
      </c>
    </row>
    <row r="8" spans="1:11" x14ac:dyDescent="0.2">
      <c r="A8" s="59">
        <v>1</v>
      </c>
      <c r="B8" s="5" t="s">
        <v>178</v>
      </c>
      <c r="C8" s="6">
        <v>100.95</v>
      </c>
      <c r="D8" s="6">
        <v>85.1</v>
      </c>
      <c r="E8" s="6">
        <v>85.1</v>
      </c>
      <c r="F8" s="117"/>
      <c r="G8" s="5" t="s">
        <v>179</v>
      </c>
    </row>
    <row r="9" spans="1:11" x14ac:dyDescent="0.2">
      <c r="A9" s="59">
        <v>2</v>
      </c>
      <c r="B9" s="5" t="s">
        <v>180</v>
      </c>
      <c r="C9" s="48">
        <v>8</v>
      </c>
      <c r="D9" s="48">
        <v>7</v>
      </c>
      <c r="E9" s="48">
        <v>7</v>
      </c>
      <c r="G9" s="5" t="s">
        <v>181</v>
      </c>
    </row>
    <row r="10" spans="1:11" x14ac:dyDescent="0.2">
      <c r="A10" s="59">
        <v>3</v>
      </c>
      <c r="B10" s="5" t="s">
        <v>182</v>
      </c>
      <c r="C10" s="48">
        <v>22</v>
      </c>
      <c r="D10" s="48">
        <v>22</v>
      </c>
      <c r="E10" s="48">
        <f>+D10</f>
        <v>22</v>
      </c>
      <c r="G10" s="5" t="s">
        <v>181</v>
      </c>
    </row>
    <row r="11" spans="1:11" x14ac:dyDescent="0.2">
      <c r="A11" s="59"/>
      <c r="C11" s="162"/>
      <c r="D11" s="162"/>
      <c r="E11" s="162"/>
    </row>
    <row r="12" spans="1:11" x14ac:dyDescent="0.2">
      <c r="A12" s="59"/>
      <c r="B12" s="5" t="s">
        <v>183</v>
      </c>
    </row>
    <row r="13" spans="1:11" x14ac:dyDescent="0.2">
      <c r="A13" s="59">
        <v>4</v>
      </c>
      <c r="B13" s="163" t="s">
        <v>184</v>
      </c>
      <c r="C13" s="86">
        <v>1.0385</v>
      </c>
      <c r="D13" s="86">
        <v>1.0048999999999999</v>
      </c>
      <c r="E13" s="164">
        <f>'June 13- May 14'!M285</f>
        <v>1.0051000000000001</v>
      </c>
      <c r="G13" s="5" t="s">
        <v>185</v>
      </c>
      <c r="K13" s="86"/>
    </row>
    <row r="14" spans="1:11" x14ac:dyDescent="0.2">
      <c r="A14" s="59">
        <v>5</v>
      </c>
      <c r="B14" s="163" t="s">
        <v>186</v>
      </c>
      <c r="C14" s="86">
        <v>0.97529999999999994</v>
      </c>
      <c r="D14" s="86">
        <v>0.99690000000000001</v>
      </c>
      <c r="E14" s="164">
        <f>'June 13- May 14'!M286</f>
        <v>0.99670000000000003</v>
      </c>
      <c r="G14" s="5" t="s">
        <v>185</v>
      </c>
      <c r="K14" s="86"/>
    </row>
    <row r="15" spans="1:11" x14ac:dyDescent="0.2">
      <c r="A15" s="59"/>
    </row>
    <row r="16" spans="1:11" x14ac:dyDescent="0.2">
      <c r="A16" s="59"/>
      <c r="B16" s="5" t="s">
        <v>187</v>
      </c>
    </row>
    <row r="17" spans="1:7" x14ac:dyDescent="0.2">
      <c r="A17" s="59">
        <v>6</v>
      </c>
      <c r="B17" s="5" t="s">
        <v>188</v>
      </c>
      <c r="C17" s="49">
        <f>SUMPRODUCT('June 13- May 14'!O$48:V$48,'June 13- May 14'!C$84:J$84)</f>
        <v>3659959.0154307731</v>
      </c>
      <c r="D17" s="49"/>
      <c r="E17" s="50"/>
      <c r="G17" s="5" t="s">
        <v>189</v>
      </c>
    </row>
    <row r="18" spans="1:7" x14ac:dyDescent="0.2">
      <c r="A18" s="59">
        <v>7</v>
      </c>
      <c r="B18" s="5" t="s">
        <v>190</v>
      </c>
      <c r="C18" s="49">
        <f>SUMPRODUCT('June 13- May 14'!O$45:V$45,'June 13- May 14'!C$84:J$84)</f>
        <v>5613859.9376956131</v>
      </c>
      <c r="D18" s="49"/>
      <c r="E18" s="50"/>
    </row>
    <row r="19" spans="1:7" x14ac:dyDescent="0.2">
      <c r="A19" s="59"/>
      <c r="D19" s="43"/>
    </row>
    <row r="20" spans="1:7" x14ac:dyDescent="0.2">
      <c r="A20" s="59"/>
      <c r="B20" s="5" t="s">
        <v>191</v>
      </c>
    </row>
    <row r="21" spans="1:7" x14ac:dyDescent="0.2">
      <c r="A21" s="59">
        <v>8</v>
      </c>
      <c r="B21" s="163" t="s">
        <v>184</v>
      </c>
      <c r="C21" s="60">
        <f t="shared" ref="C21:E22" si="0">+C$8*C$9/C$10*C13*$C17/1000</f>
        <v>139526.38829750341</v>
      </c>
      <c r="D21" s="60">
        <f t="shared" si="0"/>
        <v>99587.306802773746</v>
      </c>
      <c r="E21" s="60">
        <f t="shared" si="0"/>
        <v>99607.127144460057</v>
      </c>
      <c r="G21" s="113" t="s">
        <v>192</v>
      </c>
    </row>
    <row r="22" spans="1:7" ht="15" x14ac:dyDescent="0.35">
      <c r="A22" s="59">
        <v>9</v>
      </c>
      <c r="B22" s="163" t="s">
        <v>186</v>
      </c>
      <c r="C22" s="45">
        <f t="shared" si="0"/>
        <v>200989.52634211854</v>
      </c>
      <c r="D22" s="45">
        <f t="shared" si="0"/>
        <v>151536.79173427873</v>
      </c>
      <c r="E22" s="45">
        <f t="shared" si="0"/>
        <v>151506.3901309616</v>
      </c>
      <c r="G22" s="113" t="s">
        <v>193</v>
      </c>
    </row>
    <row r="23" spans="1:7" x14ac:dyDescent="0.2">
      <c r="A23" s="59">
        <v>10</v>
      </c>
      <c r="B23" s="5" t="s">
        <v>194</v>
      </c>
      <c r="C23" s="46">
        <f>+C22+C21</f>
        <v>340515.91463962197</v>
      </c>
      <c r="D23" s="46">
        <f>+D22+D21</f>
        <v>251124.09853705246</v>
      </c>
      <c r="E23" s="46">
        <f>+E22+E21</f>
        <v>251113.51727542165</v>
      </c>
    </row>
    <row r="24" spans="1:7" x14ac:dyDescent="0.2">
      <c r="A24" s="59"/>
    </row>
    <row r="25" spans="1:7" x14ac:dyDescent="0.2">
      <c r="A25" s="59"/>
      <c r="B25" s="5" t="s">
        <v>195</v>
      </c>
    </row>
    <row r="26" spans="1:7" x14ac:dyDescent="0.2">
      <c r="A26" s="59">
        <v>11</v>
      </c>
      <c r="B26" s="163" t="s">
        <v>184</v>
      </c>
      <c r="C26" s="165">
        <f>ROUND(+SUM(C21:E21)/C17*1000,2)</f>
        <v>92.55</v>
      </c>
      <c r="D26" s="118"/>
      <c r="G26" s="113" t="s">
        <v>196</v>
      </c>
    </row>
    <row r="27" spans="1:7" x14ac:dyDescent="0.2">
      <c r="A27" s="59">
        <v>12</v>
      </c>
      <c r="B27" s="163" t="s">
        <v>186</v>
      </c>
      <c r="C27" s="144">
        <f>ROUND(+SUM(C22:E22)/C18*1000,2)</f>
        <v>89.78</v>
      </c>
      <c r="G27" s="113" t="s">
        <v>197</v>
      </c>
    </row>
    <row r="28" spans="1:7" x14ac:dyDescent="0.2">
      <c r="A28" s="59"/>
      <c r="B28" s="163"/>
      <c r="C28" s="166"/>
      <c r="G28" s="113"/>
    </row>
    <row r="29" spans="1:7" x14ac:dyDescent="0.2">
      <c r="A29" s="59">
        <v>13</v>
      </c>
      <c r="B29" s="5" t="s">
        <v>198</v>
      </c>
      <c r="C29" s="167">
        <f>ROUND(+SUM(C23:E23)/(C17+C18)*1000,2)</f>
        <v>90.87</v>
      </c>
      <c r="D29" s="5" t="s">
        <v>199</v>
      </c>
      <c r="G29" s="113" t="s">
        <v>200</v>
      </c>
    </row>
    <row r="30" spans="1:7" x14ac:dyDescent="0.2">
      <c r="D30" s="5" t="s">
        <v>201</v>
      </c>
      <c r="G30" s="5" t="s">
        <v>202</v>
      </c>
    </row>
    <row r="31" spans="1:7" x14ac:dyDescent="0.2">
      <c r="C31" s="118"/>
    </row>
    <row r="32" spans="1:7" x14ac:dyDescent="0.2">
      <c r="B32" s="28" t="s">
        <v>203</v>
      </c>
      <c r="D32" s="118"/>
    </row>
    <row r="33" spans="1:13" x14ac:dyDescent="0.2">
      <c r="A33" s="59">
        <v>14</v>
      </c>
      <c r="B33" s="7" t="s">
        <v>204</v>
      </c>
      <c r="C33" s="46">
        <f>(C29*(C18+C17))/1000</f>
        <v>842711.92827059468</v>
      </c>
      <c r="D33" s="118"/>
      <c r="G33" s="113" t="s">
        <v>205</v>
      </c>
    </row>
    <row r="34" spans="1:13" ht="15" x14ac:dyDescent="0.35">
      <c r="A34" s="59">
        <v>15</v>
      </c>
      <c r="B34" s="7" t="s">
        <v>206</v>
      </c>
      <c r="C34" s="62">
        <f>SUM(C23:E23)</f>
        <v>842753.53045209614</v>
      </c>
      <c r="D34" s="118"/>
      <c r="G34" s="113" t="s">
        <v>207</v>
      </c>
    </row>
    <row r="35" spans="1:13" x14ac:dyDescent="0.2">
      <c r="A35" s="59">
        <v>16</v>
      </c>
      <c r="B35" s="7" t="s">
        <v>208</v>
      </c>
      <c r="C35" s="60">
        <f>+C33-C34</f>
        <v>-41.602181501453742</v>
      </c>
      <c r="D35" s="118"/>
      <c r="G35" s="113" t="s">
        <v>209</v>
      </c>
    </row>
    <row r="36" spans="1:13" x14ac:dyDescent="0.2">
      <c r="B36" s="7"/>
      <c r="D36" s="118"/>
    </row>
    <row r="38" spans="1:13" x14ac:dyDescent="0.2">
      <c r="A38" s="34" t="s">
        <v>242</v>
      </c>
      <c r="B38" s="3" t="s">
        <v>210</v>
      </c>
      <c r="G38" s="4" t="s">
        <v>211</v>
      </c>
    </row>
    <row r="39" spans="1:13" x14ac:dyDescent="0.2">
      <c r="A39" s="35"/>
      <c r="B39" s="3"/>
      <c r="G39" s="4" t="s">
        <v>231</v>
      </c>
    </row>
    <row r="40" spans="1:13" x14ac:dyDescent="0.2">
      <c r="B40" s="3"/>
    </row>
    <row r="41" spans="1:13" x14ac:dyDescent="0.2">
      <c r="B41" s="4" t="s">
        <v>212</v>
      </c>
    </row>
    <row r="42" spans="1:13" x14ac:dyDescent="0.2">
      <c r="B42" s="3"/>
    </row>
    <row r="43" spans="1:13" x14ac:dyDescent="0.2">
      <c r="C43" s="30" t="s">
        <v>5</v>
      </c>
      <c r="D43" s="30" t="s">
        <v>148</v>
      </c>
      <c r="E43" s="30" t="s">
        <v>6</v>
      </c>
      <c r="F43" s="30" t="s">
        <v>7</v>
      </c>
      <c r="G43" s="30" t="s">
        <v>8</v>
      </c>
      <c r="H43" s="30" t="s">
        <v>9</v>
      </c>
      <c r="I43" s="30" t="s">
        <v>10</v>
      </c>
      <c r="J43" s="30" t="s">
        <v>11</v>
      </c>
      <c r="K43" s="30" t="s">
        <v>29</v>
      </c>
    </row>
    <row r="44" spans="1:13" x14ac:dyDescent="0.2">
      <c r="C44" s="30"/>
      <c r="D44" s="30"/>
      <c r="E44" s="30"/>
      <c r="F44" s="30"/>
      <c r="G44" s="30"/>
    </row>
    <row r="45" spans="1:13" x14ac:dyDescent="0.2">
      <c r="B45" s="36" t="s">
        <v>44</v>
      </c>
      <c r="D45" s="3">
        <f>'June 13- May 14'!D212</f>
        <v>1.2350000000000001</v>
      </c>
      <c r="E45" s="3">
        <f>'June 13- May 14'!E212</f>
        <v>1.087</v>
      </c>
      <c r="F45" s="3">
        <f>'June 13- May 14'!F212</f>
        <v>1.224</v>
      </c>
      <c r="G45" s="3">
        <f>'June 13- May 14'!G212</f>
        <v>1.0149999999999999</v>
      </c>
      <c r="H45" s="3">
        <f>'June 13- May 14'!H212</f>
        <v>0.93400000000000005</v>
      </c>
      <c r="I45" s="3">
        <f>'June 13- May 14'!I212</f>
        <v>0.64200000000000002</v>
      </c>
      <c r="J45" s="3">
        <f>'June 13- May 14'!J212</f>
        <v>0.88</v>
      </c>
      <c r="K45" s="51"/>
      <c r="L45" s="51"/>
      <c r="M45" s="51"/>
    </row>
    <row r="46" spans="1:13" x14ac:dyDescent="0.2">
      <c r="B46" s="37" t="s">
        <v>143</v>
      </c>
      <c r="D46" s="3">
        <f>'June 13- May 14'!D213</f>
        <v>1.5089999999999999</v>
      </c>
      <c r="E46" s="3"/>
      <c r="F46" s="3"/>
      <c r="G46" s="3"/>
      <c r="H46" s="3"/>
      <c r="I46" s="3"/>
      <c r="J46" s="3"/>
      <c r="K46" s="51"/>
      <c r="L46" s="51"/>
      <c r="M46" s="51"/>
    </row>
    <row r="47" spans="1:13" x14ac:dyDescent="0.2">
      <c r="B47" s="37" t="s">
        <v>37</v>
      </c>
      <c r="D47" s="3">
        <f>'June 13- May 14'!D214</f>
        <v>0.68500000000000005</v>
      </c>
      <c r="E47" s="3"/>
      <c r="F47" s="3"/>
      <c r="G47" s="3"/>
      <c r="H47" s="3"/>
      <c r="I47" s="3"/>
      <c r="J47" s="3"/>
      <c r="K47" s="54"/>
      <c r="L47" s="51"/>
      <c r="M47" s="51"/>
    </row>
    <row r="48" spans="1:13" x14ac:dyDescent="0.2">
      <c r="E48" s="26"/>
      <c r="F48" s="52"/>
      <c r="G48" s="52"/>
      <c r="L48" s="51"/>
      <c r="M48" s="51"/>
    </row>
    <row r="49" spans="1:13" x14ac:dyDescent="0.2">
      <c r="B49" s="15" t="s">
        <v>97</v>
      </c>
      <c r="C49" s="32">
        <f>'June 13- May 14'!C215</f>
        <v>1.113</v>
      </c>
      <c r="D49" s="32"/>
      <c r="E49" s="26"/>
      <c r="F49" s="52"/>
      <c r="G49" s="52"/>
      <c r="H49" s="52"/>
      <c r="I49" s="52"/>
      <c r="J49" s="52"/>
      <c r="K49" s="51"/>
      <c r="L49" s="51"/>
      <c r="M49" s="51"/>
    </row>
    <row r="50" spans="1:13" x14ac:dyDescent="0.2">
      <c r="B50" s="15" t="s">
        <v>98</v>
      </c>
      <c r="C50" s="32">
        <f>'June 13- May 14'!C216</f>
        <v>-3.514392117219046</v>
      </c>
      <c r="D50" s="32"/>
      <c r="E50" s="47" t="s">
        <v>99</v>
      </c>
      <c r="F50" s="52"/>
      <c r="G50" s="52"/>
      <c r="H50" s="52"/>
      <c r="I50" s="52"/>
      <c r="J50" s="52"/>
      <c r="K50" s="51"/>
      <c r="L50" s="51"/>
      <c r="M50" s="51"/>
    </row>
    <row r="51" spans="1:13" x14ac:dyDescent="0.2">
      <c r="B51" s="15" t="s">
        <v>98</v>
      </c>
      <c r="C51" s="32">
        <f>'June 13- May 14'!C217</f>
        <v>5.137607882780955</v>
      </c>
      <c r="D51" s="32"/>
      <c r="E51" s="47" t="s">
        <v>100</v>
      </c>
      <c r="F51" s="52"/>
      <c r="G51" s="52"/>
      <c r="H51" s="52"/>
      <c r="I51" s="52"/>
      <c r="J51" s="52"/>
      <c r="K51" s="51"/>
      <c r="L51" s="51"/>
      <c r="M51" s="51"/>
    </row>
    <row r="52" spans="1:13" x14ac:dyDescent="0.2">
      <c r="G52" s="52"/>
      <c r="H52" s="52"/>
      <c r="I52" s="52"/>
      <c r="J52" s="52"/>
      <c r="K52" s="51"/>
      <c r="L52" s="51"/>
      <c r="M52" s="51"/>
    </row>
    <row r="53" spans="1:13" x14ac:dyDescent="0.2">
      <c r="H53" s="52"/>
      <c r="I53" s="52"/>
      <c r="J53" s="52"/>
      <c r="K53" s="51"/>
      <c r="L53" s="51"/>
      <c r="M53" s="51"/>
    </row>
    <row r="54" spans="1:13" x14ac:dyDescent="0.2">
      <c r="C54" s="52"/>
      <c r="D54" s="52"/>
      <c r="E54" s="52"/>
      <c r="F54" s="52"/>
      <c r="G54" s="52"/>
      <c r="H54" s="52"/>
      <c r="I54" s="52"/>
      <c r="J54" s="52"/>
      <c r="K54" s="51"/>
      <c r="L54" s="51"/>
      <c r="M54" s="51"/>
    </row>
    <row r="55" spans="1:13" x14ac:dyDescent="0.2">
      <c r="B55" s="36" t="s">
        <v>45</v>
      </c>
      <c r="C55" s="32">
        <f>'June 13- May 14'!C219</f>
        <v>1.127</v>
      </c>
      <c r="D55" s="32">
        <f>'June 13- May 14'!D219</f>
        <v>1.103</v>
      </c>
      <c r="E55" s="32">
        <f>'June 13- May 14'!E219</f>
        <v>1.1000000000000001</v>
      </c>
      <c r="F55" s="32">
        <f>'June 13- May 14'!F219</f>
        <v>1.401</v>
      </c>
      <c r="G55" s="32">
        <f>'June 13- May 14'!G219</f>
        <v>0.998</v>
      </c>
      <c r="H55" s="32">
        <f>'June 13- May 14'!H219</f>
        <v>0.84499999999999997</v>
      </c>
      <c r="I55" s="32">
        <f>'June 13- May 14'!I219</f>
        <v>0.64300000000000002</v>
      </c>
      <c r="J55" s="32">
        <f>'June 13- May 14'!J219</f>
        <v>0.83499999999999996</v>
      </c>
      <c r="K55" s="51"/>
      <c r="L55" s="51"/>
      <c r="M55" s="51"/>
    </row>
    <row r="56" spans="1:13" x14ac:dyDescent="0.2">
      <c r="B56" s="37" t="s">
        <v>143</v>
      </c>
      <c r="C56" s="32"/>
      <c r="D56" s="32">
        <f>'June 13- May 14'!D220</f>
        <v>1.2250000000000001</v>
      </c>
      <c r="E56" s="32"/>
      <c r="F56" s="32"/>
      <c r="G56" s="32"/>
      <c r="H56" s="32"/>
      <c r="I56" s="32"/>
      <c r="J56" s="32"/>
      <c r="K56" s="51"/>
      <c r="L56" s="51"/>
      <c r="M56" s="51"/>
    </row>
    <row r="57" spans="1:13" x14ac:dyDescent="0.2">
      <c r="B57" s="37" t="s">
        <v>37</v>
      </c>
      <c r="C57" s="32"/>
      <c r="D57" s="32">
        <f>'June 13- May 14'!D221</f>
        <v>0.69899999999999995</v>
      </c>
      <c r="E57" s="32"/>
      <c r="F57" s="32"/>
      <c r="G57" s="32"/>
      <c r="H57" s="32"/>
      <c r="I57" s="32"/>
      <c r="J57" s="32"/>
      <c r="K57" s="54"/>
      <c r="L57" s="51"/>
      <c r="M57" s="51"/>
    </row>
    <row r="58" spans="1:13" x14ac:dyDescent="0.2">
      <c r="C58" s="56"/>
      <c r="D58" s="56"/>
      <c r="E58" s="56"/>
      <c r="F58" s="56"/>
      <c r="G58" s="56"/>
      <c r="K58" s="51"/>
      <c r="L58" s="51"/>
      <c r="M58" s="51"/>
    </row>
    <row r="59" spans="1:13" x14ac:dyDescent="0.2">
      <c r="B59" s="5" t="s">
        <v>213</v>
      </c>
      <c r="C59" s="64">
        <f>'June 13- May 14'!C223</f>
        <v>1.121</v>
      </c>
      <c r="D59" s="64">
        <f>'June 13- May 14'!D223</f>
        <v>0.96399999999999997</v>
      </c>
      <c r="E59" s="64">
        <f>'June 13- May 14'!E223</f>
        <v>1.095</v>
      </c>
      <c r="F59" s="64">
        <f>'June 13- May 14'!F223</f>
        <v>1.3169999999999999</v>
      </c>
      <c r="G59" s="64">
        <f>'June 13- May 14'!G223</f>
        <v>1.0049999999999999</v>
      </c>
      <c r="H59" s="64">
        <f>'June 13- May 14'!H223</f>
        <v>0.871</v>
      </c>
      <c r="I59" s="64">
        <f>'June 13- May 14'!I223</f>
        <v>0.64300000000000002</v>
      </c>
      <c r="J59" s="64">
        <f>'June 13- May 14'!J223</f>
        <v>0.85</v>
      </c>
      <c r="K59" s="51"/>
      <c r="L59" s="51"/>
      <c r="M59" s="51"/>
    </row>
    <row r="62" spans="1:13" x14ac:dyDescent="0.2">
      <c r="A62" s="168" t="s">
        <v>234</v>
      </c>
      <c r="B62" s="58" t="s">
        <v>235</v>
      </c>
      <c r="C62" s="51"/>
      <c r="E62" s="51"/>
    </row>
    <row r="63" spans="1:13" x14ac:dyDescent="0.2">
      <c r="B63" s="4" t="s">
        <v>214</v>
      </c>
    </row>
    <row r="65" spans="2:13" x14ac:dyDescent="0.2">
      <c r="B65" s="4" t="s">
        <v>212</v>
      </c>
    </row>
    <row r="66" spans="2:13" x14ac:dyDescent="0.2">
      <c r="B66" s="3"/>
    </row>
    <row r="67" spans="2:13" x14ac:dyDescent="0.2">
      <c r="C67" s="30" t="str">
        <f t="shared" ref="C67:J67" si="1">+C43</f>
        <v>RS</v>
      </c>
      <c r="D67" s="30" t="str">
        <f t="shared" si="1"/>
        <v>RS TOU - BGS</v>
      </c>
      <c r="E67" s="30" t="str">
        <f t="shared" si="1"/>
        <v>MGS - SEC</v>
      </c>
      <c r="F67" s="30" t="str">
        <f t="shared" si="1"/>
        <v>MGS - PRI</v>
      </c>
      <c r="G67" s="30" t="str">
        <f t="shared" si="1"/>
        <v>AGS - SEC</v>
      </c>
      <c r="H67" s="30" t="str">
        <f t="shared" si="1"/>
        <v>AGS - PRI</v>
      </c>
      <c r="I67" s="30" t="str">
        <f t="shared" si="1"/>
        <v>SPL/CSL</v>
      </c>
      <c r="J67" s="30" t="str">
        <f t="shared" si="1"/>
        <v>DDC</v>
      </c>
    </row>
    <row r="68" spans="2:13" x14ac:dyDescent="0.2">
      <c r="C68" s="168"/>
      <c r="D68" s="168"/>
      <c r="E68" s="168"/>
      <c r="F68" s="169"/>
      <c r="G68" s="169"/>
      <c r="H68" s="169"/>
      <c r="I68" s="169"/>
      <c r="J68" s="169"/>
    </row>
    <row r="69" spans="2:13" x14ac:dyDescent="0.2">
      <c r="B69" s="36" t="s">
        <v>44</v>
      </c>
      <c r="C69" s="169"/>
      <c r="D69" s="169">
        <f t="shared" ref="D69:J69" si="2">ROUND(($C$29*D45)/10,4)</f>
        <v>11.2224</v>
      </c>
      <c r="E69" s="169">
        <f t="shared" si="2"/>
        <v>9.8775999999999993</v>
      </c>
      <c r="F69" s="169">
        <f t="shared" si="2"/>
        <v>11.1225</v>
      </c>
      <c r="G69" s="169">
        <f t="shared" si="2"/>
        <v>9.2233000000000001</v>
      </c>
      <c r="H69" s="169">
        <f t="shared" si="2"/>
        <v>8.4872999999999994</v>
      </c>
      <c r="I69" s="169">
        <f t="shared" si="2"/>
        <v>5.8338999999999999</v>
      </c>
      <c r="J69" s="169">
        <f t="shared" si="2"/>
        <v>7.9965999999999999</v>
      </c>
      <c r="L69" s="51"/>
      <c r="M69" s="51"/>
    </row>
    <row r="70" spans="2:13" x14ac:dyDescent="0.2">
      <c r="B70" s="37" t="s">
        <v>143</v>
      </c>
      <c r="C70" s="168"/>
      <c r="D70" s="169">
        <f>ROUND(($C$29*D46)/10,4)</f>
        <v>13.712300000000001</v>
      </c>
      <c r="E70" s="169"/>
      <c r="F70" s="168"/>
      <c r="G70" s="168"/>
      <c r="H70" s="168"/>
      <c r="I70" s="168"/>
      <c r="J70" s="168"/>
      <c r="L70" s="51"/>
      <c r="M70" s="51"/>
    </row>
    <row r="71" spans="2:13" x14ac:dyDescent="0.2">
      <c r="B71" s="37" t="s">
        <v>37</v>
      </c>
      <c r="C71" s="168"/>
      <c r="D71" s="169">
        <f>ROUND(($C$29*D47)/10,4)</f>
        <v>6.2245999999999997</v>
      </c>
      <c r="E71" s="169"/>
      <c r="F71" s="168"/>
      <c r="G71" s="168"/>
      <c r="H71" s="168"/>
      <c r="I71" s="168"/>
      <c r="J71" s="168"/>
      <c r="L71" s="51"/>
      <c r="M71" s="51"/>
    </row>
    <row r="72" spans="2:13" x14ac:dyDescent="0.2">
      <c r="B72" s="55"/>
      <c r="C72" s="168"/>
      <c r="D72" s="168"/>
      <c r="E72" s="168"/>
      <c r="F72" s="168"/>
      <c r="G72" s="168"/>
      <c r="H72" s="168"/>
      <c r="I72" s="168"/>
      <c r="J72" s="168"/>
      <c r="L72" s="51"/>
      <c r="M72" s="51"/>
    </row>
    <row r="73" spans="2:13" x14ac:dyDescent="0.2">
      <c r="B73" s="47" t="s">
        <v>99</v>
      </c>
      <c r="C73" s="169">
        <f>ROUND((+$C$29*C49+C50)/10,4)</f>
        <v>9.7623999999999995</v>
      </c>
      <c r="D73" s="169"/>
      <c r="E73" s="168"/>
      <c r="F73" s="168"/>
      <c r="G73" s="168"/>
      <c r="H73" s="168"/>
      <c r="I73" s="168"/>
      <c r="J73" s="168"/>
      <c r="L73" s="51"/>
      <c r="M73" s="51"/>
    </row>
    <row r="74" spans="2:13" x14ac:dyDescent="0.2">
      <c r="B74" s="47" t="s">
        <v>100</v>
      </c>
      <c r="C74" s="169">
        <f>ROUND((+$C$29*C49+C51)/10,4)</f>
        <v>10.627599999999999</v>
      </c>
      <c r="D74" s="169"/>
      <c r="E74" s="168"/>
      <c r="F74" s="168"/>
      <c r="G74" s="168"/>
      <c r="H74" s="168"/>
      <c r="I74" s="168"/>
      <c r="J74" s="168"/>
      <c r="L74" s="51"/>
      <c r="M74" s="51"/>
    </row>
    <row r="75" spans="2:13" x14ac:dyDescent="0.2">
      <c r="C75" s="169"/>
      <c r="D75" s="169"/>
      <c r="E75" s="168"/>
      <c r="F75" s="168"/>
      <c r="G75" s="168"/>
      <c r="H75" s="168"/>
      <c r="I75" s="168"/>
      <c r="J75" s="168"/>
      <c r="L75" s="51"/>
      <c r="M75" s="51"/>
    </row>
    <row r="76" spans="2:13" x14ac:dyDescent="0.2">
      <c r="B76" s="36" t="s">
        <v>45</v>
      </c>
      <c r="C76" s="169">
        <f>ROUND(($C$29*C55)/10,4)</f>
        <v>10.241</v>
      </c>
      <c r="D76" s="169">
        <f t="shared" ref="D76:J76" si="3">ROUND(($C$29*D55)/10,4)</f>
        <v>10.023</v>
      </c>
      <c r="E76" s="169">
        <f t="shared" si="3"/>
        <v>9.9956999999999994</v>
      </c>
      <c r="F76" s="169">
        <f t="shared" si="3"/>
        <v>12.7309</v>
      </c>
      <c r="G76" s="169">
        <f t="shared" si="3"/>
        <v>9.0687999999999995</v>
      </c>
      <c r="H76" s="169">
        <f t="shared" si="3"/>
        <v>7.6784999999999997</v>
      </c>
      <c r="I76" s="169">
        <f t="shared" si="3"/>
        <v>5.8429000000000002</v>
      </c>
      <c r="J76" s="169">
        <f t="shared" si="3"/>
        <v>7.5876000000000001</v>
      </c>
      <c r="L76" s="51"/>
      <c r="M76" s="51"/>
    </row>
    <row r="77" spans="2:13" x14ac:dyDescent="0.2">
      <c r="B77" s="37" t="s">
        <v>143</v>
      </c>
      <c r="C77" s="168"/>
      <c r="D77" s="169">
        <f>ROUND(($C$29*D56)/10,4)</f>
        <v>11.131600000000001</v>
      </c>
      <c r="E77" s="169"/>
      <c r="F77" s="168"/>
      <c r="G77" s="168"/>
      <c r="H77" s="168"/>
      <c r="I77" s="168"/>
      <c r="J77" s="168"/>
      <c r="L77" s="51"/>
      <c r="M77" s="51"/>
    </row>
    <row r="78" spans="2:13" x14ac:dyDescent="0.2">
      <c r="B78" s="37" t="s">
        <v>37</v>
      </c>
      <c r="C78" s="168"/>
      <c r="D78" s="169">
        <f>ROUND(($C$29*D57)/10,4)</f>
        <v>6.3517999999999999</v>
      </c>
      <c r="E78" s="169"/>
      <c r="F78" s="168"/>
      <c r="G78" s="168"/>
      <c r="H78" s="168"/>
      <c r="I78" s="168"/>
      <c r="J78" s="168"/>
      <c r="L78" s="51"/>
      <c r="M78" s="51"/>
    </row>
    <row r="79" spans="2:13" x14ac:dyDescent="0.2">
      <c r="C79" s="57"/>
      <c r="D79" s="53"/>
      <c r="E79" s="57"/>
      <c r="F79" s="53"/>
    </row>
    <row r="81" spans="1:22" x14ac:dyDescent="0.2">
      <c r="A81" s="168" t="s">
        <v>232</v>
      </c>
      <c r="B81" s="3" t="s">
        <v>233</v>
      </c>
      <c r="C81" s="51"/>
      <c r="E81" s="51"/>
    </row>
    <row r="82" spans="1:22" x14ac:dyDescent="0.2">
      <c r="C82" s="51"/>
      <c r="E82" s="51"/>
    </row>
    <row r="83" spans="1:22" x14ac:dyDescent="0.2">
      <c r="C83" s="30" t="str">
        <f>C67</f>
        <v>RS</v>
      </c>
      <c r="D83" s="30" t="str">
        <f t="shared" ref="D83:J83" si="4">D67</f>
        <v>RS TOU - BGS</v>
      </c>
      <c r="E83" s="30" t="str">
        <f t="shared" si="4"/>
        <v>MGS - SEC</v>
      </c>
      <c r="F83" s="30" t="str">
        <f t="shared" si="4"/>
        <v>MGS - PRI</v>
      </c>
      <c r="G83" s="30" t="str">
        <f t="shared" si="4"/>
        <v>AGS - SEC</v>
      </c>
      <c r="H83" s="30" t="str">
        <f t="shared" si="4"/>
        <v>AGS - PRI</v>
      </c>
      <c r="I83" s="30" t="str">
        <f t="shared" si="4"/>
        <v>SPL/CSL</v>
      </c>
      <c r="J83" s="30" t="str">
        <f t="shared" si="4"/>
        <v>DDC</v>
      </c>
      <c r="K83" s="23"/>
      <c r="L83" s="23"/>
    </row>
    <row r="84" spans="1:22" x14ac:dyDescent="0.2">
      <c r="B84" s="5" t="s">
        <v>173</v>
      </c>
      <c r="K84" s="19"/>
      <c r="L84" s="19"/>
    </row>
    <row r="85" spans="1:22" x14ac:dyDescent="0.2">
      <c r="B85" s="59" t="s">
        <v>63</v>
      </c>
      <c r="C85" s="60">
        <f>+C73/100*'June 13- May 14'!$O52+C74/100*'June 13- May 14'!$O53</f>
        <v>196975.81639292729</v>
      </c>
      <c r="D85" s="60">
        <f>(D70/100*'June 13- May 14'!$P49)+(D71/100*'June 13- May 14'!$P50)</f>
        <v>131.4319697495749</v>
      </c>
      <c r="E85" s="61">
        <f>E69/100*'June 13- May 14'!$Q48</f>
        <v>49680.436062658358</v>
      </c>
      <c r="F85" s="61">
        <f>F69/100*'June 13- May 14'!R48</f>
        <v>599.9232919806974</v>
      </c>
      <c r="G85" s="61">
        <f>G69/100*'June 13- May 14'!$S48</f>
        <v>68429.089694511989</v>
      </c>
      <c r="H85" s="61">
        <f>H69/100*'June 13- May 14'!$T48</f>
        <v>16778.626694611525</v>
      </c>
      <c r="I85" s="61">
        <f>I69/100*'June 13- May 14'!$U48</f>
        <v>1261.2813896379921</v>
      </c>
      <c r="J85" s="61">
        <f>J69/100*'June 13- May 14'!$V48</f>
        <v>339.3703360642001</v>
      </c>
      <c r="K85" s="65"/>
      <c r="N85" s="68">
        <f>'June 13- May 14'!$O52+'June 13- May 14'!$O53</f>
        <v>1947586.9871911057</v>
      </c>
      <c r="O85" s="68">
        <f>('June 13- May 14'!$P49)+('June 13- May 14'!$P50)</f>
        <v>1294.3328088912169</v>
      </c>
      <c r="P85" s="69">
        <f>'June 13- May 14'!$Q48</f>
        <v>502960.59835039242</v>
      </c>
      <c r="Q85" s="69">
        <f>'June 13- May 14'!$R48</f>
        <v>5393.7810022989197</v>
      </c>
      <c r="R85" s="69">
        <f>'June 13- May 14'!$S48</f>
        <v>741915.4716263375</v>
      </c>
      <c r="S85" s="69">
        <f>'June 13- May 14'!$T48</f>
        <v>197690.98175640695</v>
      </c>
      <c r="T85" s="69">
        <f>'June 13- May 14'!$U48</f>
        <v>21619.866463909086</v>
      </c>
      <c r="U85" s="69">
        <f>'June 13- May 14'!$V48</f>
        <v>4243.932872273218</v>
      </c>
      <c r="V85" s="145">
        <f>SUM(N85:U85)</f>
        <v>3422705.9520716146</v>
      </c>
    </row>
    <row r="86" spans="1:22" ht="15" x14ac:dyDescent="0.35">
      <c r="B86" s="59" t="s">
        <v>66</v>
      </c>
      <c r="C86" s="45">
        <f>+C76/100*'June 13- May 14'!$O45</f>
        <v>291309.26449667616</v>
      </c>
      <c r="D86" s="45">
        <f>(D77/100*'June 13- May 14'!$P46)+(D78/100*'June 13- May 14'!$P47)</f>
        <v>269.80350015070024</v>
      </c>
      <c r="E86" s="45">
        <f>E76/100*'June 13- May 14'!$Q45</f>
        <v>73050.167795566333</v>
      </c>
      <c r="F86" s="45">
        <f>F76/100*'June 13- May 14'!R45</f>
        <v>750.67788576292696</v>
      </c>
      <c r="G86" s="45">
        <f>G76/100*'June 13- May 14'!$S45</f>
        <v>103233.42488315958</v>
      </c>
      <c r="H86" s="45">
        <f>H76/100*'June 13- May 14'!$T45</f>
        <v>35974.076285209034</v>
      </c>
      <c r="I86" s="45">
        <f>I76/100*'June 13- May 14'!$U45</f>
        <v>3213.8556961519807</v>
      </c>
      <c r="J86" s="45">
        <f>J76/100*'June 13- May 14'!$V45</f>
        <v>648.33910981756947</v>
      </c>
      <c r="K86" s="66"/>
      <c r="N86" s="70">
        <f>'June 13- May 14'!$O45</f>
        <v>2844539.2490643114</v>
      </c>
      <c r="O86" s="70">
        <f>('June 13- May 14'!$P46)+('June 13- May 14'!$P47)</f>
        <v>3107.2309356821888</v>
      </c>
      <c r="P86" s="70">
        <f>'June 13- May 14'!$Q45</f>
        <v>730815.92880504951</v>
      </c>
      <c r="Q86" s="70">
        <f>'June 13- May 14'!$R45</f>
        <v>5896.5028848151105</v>
      </c>
      <c r="R86" s="70">
        <f>'June 13- May 14'!$S45</f>
        <v>1138336.1071272891</v>
      </c>
      <c r="S86" s="70">
        <f>'June 13- May 14'!$T45</f>
        <v>468503.9563092927</v>
      </c>
      <c r="T86" s="70">
        <f>'June 13- May 14'!$U45</f>
        <v>55004.461759605343</v>
      </c>
      <c r="U86" s="70">
        <f>'June 13- May 14'!$V45</f>
        <v>8544.7191446250399</v>
      </c>
      <c r="V86" s="145">
        <f>SUM(N86:U86)</f>
        <v>5254748.1560306698</v>
      </c>
    </row>
    <row r="87" spans="1:22" x14ac:dyDescent="0.2">
      <c r="B87" s="59" t="s">
        <v>29</v>
      </c>
      <c r="C87" s="46">
        <f t="shared" ref="C87:J87" si="5">+C86+C85</f>
        <v>488285.08088960347</v>
      </c>
      <c r="D87" s="46">
        <f t="shared" si="5"/>
        <v>401.23546990027512</v>
      </c>
      <c r="E87" s="46">
        <f t="shared" si="5"/>
        <v>122730.6038582247</v>
      </c>
      <c r="F87" s="46">
        <f t="shared" si="5"/>
        <v>1350.6011777436242</v>
      </c>
      <c r="G87" s="46">
        <f t="shared" si="5"/>
        <v>171662.51457767157</v>
      </c>
      <c r="H87" s="46">
        <f t="shared" si="5"/>
        <v>52752.702979820562</v>
      </c>
      <c r="I87" s="46">
        <f t="shared" si="5"/>
        <v>4475.1370857899728</v>
      </c>
      <c r="J87" s="46">
        <f t="shared" si="5"/>
        <v>987.70944588176962</v>
      </c>
      <c r="K87" s="67"/>
      <c r="N87" s="71">
        <f t="shared" ref="N87:U87" si="6">+N86+N85</f>
        <v>4792126.2362554166</v>
      </c>
      <c r="O87" s="71">
        <f t="shared" si="6"/>
        <v>4401.5637445734055</v>
      </c>
      <c r="P87" s="71">
        <f t="shared" si="6"/>
        <v>1233776.5271554419</v>
      </c>
      <c r="Q87" s="71">
        <f t="shared" si="6"/>
        <v>11290.28388711403</v>
      </c>
      <c r="R87" s="71">
        <f t="shared" si="6"/>
        <v>1880251.5787536264</v>
      </c>
      <c r="S87" s="71">
        <f t="shared" si="6"/>
        <v>666194.93806569965</v>
      </c>
      <c r="T87" s="71">
        <f t="shared" si="6"/>
        <v>76624.328223514429</v>
      </c>
      <c r="U87" s="71">
        <f t="shared" si="6"/>
        <v>12788.652016898257</v>
      </c>
      <c r="V87" s="145">
        <f>SUM(N87:U87)</f>
        <v>8677454.1081022881</v>
      </c>
    </row>
    <row r="88" spans="1:22" x14ac:dyDescent="0.2">
      <c r="B88" s="59"/>
      <c r="C88" s="46"/>
      <c r="D88" s="46"/>
      <c r="E88" s="46"/>
      <c r="F88" s="46"/>
      <c r="G88" s="46"/>
      <c r="H88" s="46"/>
      <c r="I88" s="46"/>
      <c r="J88" s="46"/>
      <c r="K88" s="46"/>
      <c r="L88" s="46"/>
    </row>
    <row r="89" spans="1:22" x14ac:dyDescent="0.2">
      <c r="B89" s="59" t="s">
        <v>215</v>
      </c>
      <c r="C89" s="46">
        <f>SUM(C85:J85)</f>
        <v>334195.97583214153</v>
      </c>
      <c r="D89" s="46"/>
      <c r="E89" s="46"/>
      <c r="F89" s="46"/>
      <c r="G89" s="46"/>
      <c r="H89" s="46"/>
      <c r="I89" s="46"/>
      <c r="J89" s="46"/>
      <c r="K89" s="46"/>
      <c r="L89" s="46"/>
    </row>
    <row r="90" spans="1:22" ht="15" x14ac:dyDescent="0.35">
      <c r="B90" s="59" t="s">
        <v>216</v>
      </c>
      <c r="C90" s="62">
        <f>SUM(C86:J86)</f>
        <v>508449.60965249425</v>
      </c>
      <c r="E90" s="51"/>
    </row>
    <row r="91" spans="1:22" x14ac:dyDescent="0.2">
      <c r="B91" s="59" t="s">
        <v>217</v>
      </c>
      <c r="C91" s="46">
        <f>+C90+C89</f>
        <v>842645.58548463578</v>
      </c>
      <c r="E91" s="51"/>
    </row>
    <row r="92" spans="1:22" x14ac:dyDescent="0.2">
      <c r="B92" s="59"/>
      <c r="C92" s="51"/>
      <c r="E92" s="51"/>
    </row>
    <row r="93" spans="1:22" x14ac:dyDescent="0.2"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22" x14ac:dyDescent="0.2">
      <c r="B94" s="5" t="s">
        <v>174</v>
      </c>
    </row>
    <row r="95" spans="1:22" x14ac:dyDescent="0.2">
      <c r="B95" s="59" t="s">
        <v>63</v>
      </c>
      <c r="C95" s="46">
        <f>+C21+D21+E21</f>
        <v>338720.82224473718</v>
      </c>
    </row>
    <row r="96" spans="1:22" ht="15" x14ac:dyDescent="0.35">
      <c r="B96" s="59" t="s">
        <v>66</v>
      </c>
      <c r="C96" s="62">
        <f>+C22+D22+E22</f>
        <v>504032.7082073589</v>
      </c>
      <c r="E96" s="72"/>
      <c r="F96" s="73"/>
      <c r="G96" s="73"/>
      <c r="H96" s="74"/>
    </row>
    <row r="97" spans="1:10" x14ac:dyDescent="0.2">
      <c r="B97" s="59" t="s">
        <v>29</v>
      </c>
      <c r="C97" s="46">
        <f>+C96+C95</f>
        <v>842753.53045209614</v>
      </c>
      <c r="E97" s="75" t="s">
        <v>227</v>
      </c>
      <c r="F97" s="19"/>
      <c r="G97" s="19"/>
      <c r="H97" s="170"/>
      <c r="J97" s="10" t="s">
        <v>219</v>
      </c>
    </row>
    <row r="98" spans="1:10" x14ac:dyDescent="0.2">
      <c r="C98" s="51"/>
      <c r="E98" s="75" t="s">
        <v>228</v>
      </c>
      <c r="F98" s="21" t="s">
        <v>229</v>
      </c>
      <c r="G98" s="19"/>
      <c r="H98" s="170"/>
      <c r="J98" s="63">
        <f>+C100/C95</f>
        <v>1.3358630811678589E-2</v>
      </c>
    </row>
    <row r="99" spans="1:10" x14ac:dyDescent="0.2">
      <c r="B99" s="28" t="s">
        <v>218</v>
      </c>
      <c r="C99" s="46"/>
      <c r="E99" s="171" t="s">
        <v>230</v>
      </c>
      <c r="F99" s="19"/>
      <c r="G99" s="19"/>
      <c r="H99" s="170"/>
      <c r="J99" s="63">
        <f>+C101/C96</f>
        <v>-8.7631246409473999E-3</v>
      </c>
    </row>
    <row r="100" spans="1:10" x14ac:dyDescent="0.2">
      <c r="B100" s="59" t="s">
        <v>63</v>
      </c>
      <c r="C100" s="46">
        <f>+C95-C89</f>
        <v>4524.8464125956525</v>
      </c>
      <c r="E100" s="76">
        <f>ROUND(1+(C100/C89),5)</f>
        <v>1.0135400000000001</v>
      </c>
      <c r="F100" s="19"/>
      <c r="G100" s="19"/>
      <c r="H100" s="170"/>
      <c r="J100" s="63">
        <f>+C102/C97</f>
        <v>1.2808604599074858E-4</v>
      </c>
    </row>
    <row r="101" spans="1:10" ht="15" x14ac:dyDescent="0.35">
      <c r="B101" s="59" t="s">
        <v>66</v>
      </c>
      <c r="C101" s="62">
        <f>+C96-C90</f>
        <v>-4416.9014451353578</v>
      </c>
      <c r="E101" s="76">
        <f>ROUND(1+(C101/C90),5)</f>
        <v>0.99131000000000002</v>
      </c>
      <c r="F101" s="19"/>
      <c r="G101" s="19"/>
      <c r="H101" s="170"/>
    </row>
    <row r="102" spans="1:10" x14ac:dyDescent="0.2">
      <c r="B102" s="59" t="s">
        <v>29</v>
      </c>
      <c r="C102" s="46">
        <f>+C97-C91</f>
        <v>107.94496746035293</v>
      </c>
      <c r="E102" s="172"/>
      <c r="F102" s="173"/>
      <c r="G102" s="173"/>
      <c r="H102" s="174"/>
    </row>
    <row r="104" spans="1:10" x14ac:dyDescent="0.2">
      <c r="C104" s="5" t="s">
        <v>220</v>
      </c>
    </row>
    <row r="105" spans="1:10" x14ac:dyDescent="0.2">
      <c r="C105" s="5" t="s">
        <v>221</v>
      </c>
    </row>
    <row r="108" spans="1:10" x14ac:dyDescent="0.2">
      <c r="A108" s="168" t="s">
        <v>236</v>
      </c>
      <c r="B108" s="58" t="s">
        <v>237</v>
      </c>
      <c r="C108" s="51"/>
      <c r="E108" s="51"/>
    </row>
    <row r="109" spans="1:10" x14ac:dyDescent="0.2">
      <c r="B109" s="4" t="s">
        <v>214</v>
      </c>
    </row>
    <row r="111" spans="1:10" x14ac:dyDescent="0.2">
      <c r="B111" s="4" t="s">
        <v>212</v>
      </c>
    </row>
    <row r="112" spans="1:10" x14ac:dyDescent="0.2">
      <c r="B112" s="3"/>
    </row>
    <row r="113" spans="1:10" x14ac:dyDescent="0.2">
      <c r="C113" s="30" t="s">
        <v>5</v>
      </c>
      <c r="D113" s="30" t="s">
        <v>148</v>
      </c>
      <c r="E113" s="30" t="s">
        <v>6</v>
      </c>
      <c r="F113" s="30" t="s">
        <v>7</v>
      </c>
      <c r="G113" s="30" t="s">
        <v>8</v>
      </c>
      <c r="H113" s="30" t="s">
        <v>9</v>
      </c>
      <c r="I113" s="30" t="s">
        <v>10</v>
      </c>
      <c r="J113" s="30" t="s">
        <v>11</v>
      </c>
    </row>
    <row r="114" spans="1:10" x14ac:dyDescent="0.2">
      <c r="C114" s="168"/>
      <c r="D114" s="168"/>
      <c r="E114" s="168"/>
      <c r="F114" s="169"/>
      <c r="G114" s="169"/>
      <c r="H114" s="169"/>
      <c r="I114" s="169"/>
      <c r="J114" s="169"/>
    </row>
    <row r="115" spans="1:10" x14ac:dyDescent="0.2">
      <c r="B115" s="36" t="s">
        <v>44</v>
      </c>
      <c r="C115" s="169"/>
      <c r="D115" s="169">
        <f>ROUND(D69*$E$100,4)</f>
        <v>11.3744</v>
      </c>
      <c r="E115" s="169">
        <f t="shared" ref="E115:J115" si="7">ROUND(E69*$E$100,4)</f>
        <v>10.0113</v>
      </c>
      <c r="F115" s="169">
        <f t="shared" si="7"/>
        <v>11.273099999999999</v>
      </c>
      <c r="G115" s="169">
        <f t="shared" si="7"/>
        <v>9.3482000000000003</v>
      </c>
      <c r="H115" s="169">
        <f t="shared" si="7"/>
        <v>8.6021999999999998</v>
      </c>
      <c r="I115" s="169">
        <f t="shared" si="7"/>
        <v>5.9128999999999996</v>
      </c>
      <c r="J115" s="169">
        <f t="shared" si="7"/>
        <v>8.1049000000000007</v>
      </c>
    </row>
    <row r="116" spans="1:10" x14ac:dyDescent="0.2">
      <c r="B116" s="37" t="s">
        <v>143</v>
      </c>
      <c r="C116" s="168"/>
      <c r="D116" s="169">
        <f>ROUND(D70*$E$100,4)</f>
        <v>13.898</v>
      </c>
      <c r="E116" s="169"/>
      <c r="F116" s="168"/>
      <c r="G116" s="168"/>
      <c r="H116" s="168"/>
      <c r="I116" s="168"/>
      <c r="J116" s="168"/>
    </row>
    <row r="117" spans="1:10" x14ac:dyDescent="0.2">
      <c r="B117" s="37" t="s">
        <v>37</v>
      </c>
      <c r="C117" s="168"/>
      <c r="D117" s="169">
        <f>ROUND(D71*$E$100,4)</f>
        <v>6.3089000000000004</v>
      </c>
      <c r="E117" s="169"/>
      <c r="F117" s="168"/>
      <c r="G117" s="168"/>
      <c r="H117" s="168"/>
      <c r="I117" s="168"/>
      <c r="J117" s="168"/>
    </row>
    <row r="118" spans="1:10" x14ac:dyDescent="0.2">
      <c r="B118" s="55"/>
      <c r="C118" s="168"/>
      <c r="D118" s="168"/>
      <c r="E118" s="168"/>
      <c r="F118" s="168"/>
      <c r="G118" s="168"/>
      <c r="H118" s="168"/>
      <c r="I118" s="168"/>
      <c r="J118" s="168"/>
    </row>
    <row r="119" spans="1:10" x14ac:dyDescent="0.2">
      <c r="B119" s="47" t="s">
        <v>99</v>
      </c>
      <c r="C119" s="169">
        <f>ROUND(C73*$E$100,4)</f>
        <v>9.8946000000000005</v>
      </c>
      <c r="D119" s="169"/>
      <c r="E119" s="168"/>
      <c r="F119" s="168"/>
      <c r="G119" s="168"/>
      <c r="H119" s="168"/>
      <c r="I119" s="168"/>
      <c r="J119" s="168"/>
    </row>
    <row r="120" spans="1:10" x14ac:dyDescent="0.2">
      <c r="B120" s="47" t="s">
        <v>100</v>
      </c>
      <c r="C120" s="169">
        <f>ROUND(C74*$E$100,4)</f>
        <v>10.7715</v>
      </c>
      <c r="D120" s="169"/>
      <c r="E120" s="168"/>
      <c r="F120" s="168"/>
      <c r="G120" s="168"/>
      <c r="H120" s="168"/>
      <c r="I120" s="168"/>
      <c r="J120" s="168"/>
    </row>
    <row r="121" spans="1:10" x14ac:dyDescent="0.2">
      <c r="C121" s="169"/>
      <c r="D121" s="169"/>
      <c r="E121" s="168"/>
      <c r="F121" s="168"/>
      <c r="G121" s="168"/>
      <c r="H121" s="168"/>
      <c r="I121" s="168"/>
      <c r="J121" s="168"/>
    </row>
    <row r="122" spans="1:10" x14ac:dyDescent="0.2">
      <c r="B122" s="36" t="s">
        <v>45</v>
      </c>
      <c r="C122" s="169">
        <f t="shared" ref="C122:J122" si="8">ROUND(C76*$E$101,4)</f>
        <v>10.151999999999999</v>
      </c>
      <c r="D122" s="169">
        <f t="shared" si="8"/>
        <v>9.9359000000000002</v>
      </c>
      <c r="E122" s="169">
        <f t="shared" si="8"/>
        <v>9.9087999999999994</v>
      </c>
      <c r="F122" s="169">
        <f t="shared" si="8"/>
        <v>12.6203</v>
      </c>
      <c r="G122" s="169">
        <f t="shared" si="8"/>
        <v>8.99</v>
      </c>
      <c r="H122" s="169">
        <f t="shared" si="8"/>
        <v>7.6117999999999997</v>
      </c>
      <c r="I122" s="169">
        <f t="shared" si="8"/>
        <v>5.7920999999999996</v>
      </c>
      <c r="J122" s="169">
        <f t="shared" si="8"/>
        <v>7.5217000000000001</v>
      </c>
    </row>
    <row r="123" spans="1:10" x14ac:dyDescent="0.2">
      <c r="B123" s="37" t="s">
        <v>143</v>
      </c>
      <c r="C123" s="168"/>
      <c r="D123" s="169">
        <f>ROUND(D77*$E$101,4)</f>
        <v>11.0349</v>
      </c>
      <c r="E123" s="169"/>
      <c r="F123" s="168"/>
      <c r="G123" s="168"/>
      <c r="H123" s="168"/>
      <c r="I123" s="168"/>
      <c r="J123" s="168"/>
    </row>
    <row r="124" spans="1:10" x14ac:dyDescent="0.2">
      <c r="B124" s="37" t="s">
        <v>37</v>
      </c>
      <c r="C124" s="168"/>
      <c r="D124" s="169">
        <f>ROUND(D78*$E$101,4)</f>
        <v>6.2965999999999998</v>
      </c>
      <c r="E124" s="169"/>
      <c r="F124" s="168"/>
      <c r="G124" s="168"/>
      <c r="H124" s="168"/>
      <c r="I124" s="168"/>
      <c r="J124" s="168"/>
    </row>
    <row r="128" spans="1:10" x14ac:dyDescent="0.2">
      <c r="A128" s="168" t="s">
        <v>238</v>
      </c>
      <c r="B128" s="3" t="s">
        <v>239</v>
      </c>
      <c r="C128" s="51"/>
      <c r="E128" s="51"/>
    </row>
    <row r="130" spans="2:10" x14ac:dyDescent="0.2">
      <c r="C130" s="30" t="s">
        <v>5</v>
      </c>
      <c r="D130" s="30" t="s">
        <v>148</v>
      </c>
      <c r="E130" s="30" t="s">
        <v>6</v>
      </c>
      <c r="F130" s="30" t="s">
        <v>7</v>
      </c>
      <c r="G130" s="30" t="s">
        <v>8</v>
      </c>
      <c r="H130" s="30" t="s">
        <v>9</v>
      </c>
      <c r="I130" s="30" t="s">
        <v>10</v>
      </c>
      <c r="J130" s="30" t="s">
        <v>11</v>
      </c>
    </row>
    <row r="131" spans="2:10" x14ac:dyDescent="0.2">
      <c r="B131" s="5" t="s">
        <v>173</v>
      </c>
      <c r="C131" s="77"/>
    </row>
    <row r="132" spans="2:10" x14ac:dyDescent="0.2">
      <c r="B132" s="59" t="s">
        <v>63</v>
      </c>
      <c r="C132" s="77">
        <f>+C119/100*'June 13- May 14'!O52+'auction results and rates'!C120/100*'June 13- May 14'!O53</f>
        <v>199643.08491629764</v>
      </c>
      <c r="D132" s="44">
        <f>D116/100*'June 13- May 14'!P49+D117/100*'June 13- May 14'!P50</f>
        <v>133.21191582795734</v>
      </c>
      <c r="E132" s="77">
        <f>E115/100*'June 13- May 14'!Q48</f>
        <v>50352.894382652841</v>
      </c>
      <c r="F132" s="77">
        <f>F115/100*'June 13- May 14'!R48</f>
        <v>608.04632617015955</v>
      </c>
      <c r="G132" s="77">
        <f>G115/100*'June 13- May 14'!S48</f>
        <v>69355.742118573296</v>
      </c>
      <c r="H132" s="77">
        <f>H115/100*'June 13- May 14'!T48</f>
        <v>17005.773632649638</v>
      </c>
      <c r="I132" s="77">
        <f>I115/100*'June 13- May 14'!U48</f>
        <v>1278.3610841444802</v>
      </c>
      <c r="J132" s="77">
        <f>J115/100*'June 13- May 14'!V48</f>
        <v>343.96651536487207</v>
      </c>
    </row>
    <row r="133" spans="2:10" ht="15" x14ac:dyDescent="0.35">
      <c r="B133" s="59" t="s">
        <v>66</v>
      </c>
      <c r="C133" s="45">
        <f>+C122/100*'June 13- May 14'!O45</f>
        <v>288777.62456500891</v>
      </c>
      <c r="D133" s="45">
        <f>D123/100*'June 13- May 14'!P46+'auction results and rates'!D124/100*'June 13- May 14'!P47</f>
        <v>267.4593715154337</v>
      </c>
      <c r="E133" s="45">
        <f>E122/100*'June 13- May 14'!Q45</f>
        <v>72415.088753434742</v>
      </c>
      <c r="F133" s="45">
        <f>F122/100*'June 13- May 14'!R45</f>
        <v>744.15635357232145</v>
      </c>
      <c r="G133" s="45">
        <f>G122/100*'June 13- May 14'!S45</f>
        <v>102336.41603074329</v>
      </c>
      <c r="H133" s="45">
        <f>H122/100*'June 13- May 14'!T45</f>
        <v>35661.584146350739</v>
      </c>
      <c r="I133" s="45">
        <f>I122/100*'June 13- May 14'!U45</f>
        <v>3185.9134295781009</v>
      </c>
      <c r="J133" s="45">
        <f>J122/100*'June 13- May 14'!V45</f>
        <v>642.70813990126169</v>
      </c>
    </row>
    <row r="134" spans="2:10" x14ac:dyDescent="0.2">
      <c r="B134" s="59" t="s">
        <v>29</v>
      </c>
      <c r="C134" s="46">
        <f t="shared" ref="C134:J134" si="9">+C133+C132</f>
        <v>488420.70948130655</v>
      </c>
      <c r="D134" s="46">
        <f t="shared" si="9"/>
        <v>400.67128734339104</v>
      </c>
      <c r="E134" s="46">
        <f t="shared" si="9"/>
        <v>122767.98313608758</v>
      </c>
      <c r="F134" s="46">
        <f t="shared" si="9"/>
        <v>1352.202679742481</v>
      </c>
      <c r="G134" s="46">
        <f t="shared" si="9"/>
        <v>171692.15814931659</v>
      </c>
      <c r="H134" s="46">
        <f t="shared" si="9"/>
        <v>52667.357779000376</v>
      </c>
      <c r="I134" s="46">
        <f t="shared" si="9"/>
        <v>4464.2745137225811</v>
      </c>
      <c r="J134" s="46">
        <f t="shared" si="9"/>
        <v>986.67465526613375</v>
      </c>
    </row>
    <row r="135" spans="2:10" x14ac:dyDescent="0.2">
      <c r="B135" s="59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59" t="s">
        <v>215</v>
      </c>
      <c r="C136" s="46">
        <f>SUM(C132:J132)</f>
        <v>338721.0808916809</v>
      </c>
      <c r="D136" s="46"/>
      <c r="E136" s="46"/>
      <c r="F136" s="46"/>
      <c r="G136" s="46"/>
      <c r="H136" s="46"/>
      <c r="I136" s="46"/>
      <c r="J136" s="46"/>
    </row>
    <row r="137" spans="2:10" ht="15" x14ac:dyDescent="0.35">
      <c r="B137" s="59" t="s">
        <v>216</v>
      </c>
      <c r="C137" s="62">
        <f>SUM(C133:J133)</f>
        <v>504030.95079010481</v>
      </c>
      <c r="E137" s="51"/>
    </row>
    <row r="138" spans="2:10" x14ac:dyDescent="0.2">
      <c r="B138" s="59" t="s">
        <v>217</v>
      </c>
      <c r="C138" s="46">
        <f>+C137+C136</f>
        <v>842752.03168178571</v>
      </c>
      <c r="E138" s="51"/>
    </row>
    <row r="139" spans="2:10" x14ac:dyDescent="0.2">
      <c r="B139" s="59"/>
    </row>
    <row r="141" spans="2:10" x14ac:dyDescent="0.2">
      <c r="B141" s="5" t="s">
        <v>174</v>
      </c>
    </row>
    <row r="142" spans="2:10" x14ac:dyDescent="0.2">
      <c r="B142" s="59" t="s">
        <v>63</v>
      </c>
      <c r="C142" s="46">
        <f>C95</f>
        <v>338720.82224473718</v>
      </c>
    </row>
    <row r="143" spans="2:10" ht="15" x14ac:dyDescent="0.35">
      <c r="B143" s="59" t="s">
        <v>66</v>
      </c>
      <c r="C143" s="62">
        <f>C96</f>
        <v>504032.7082073589</v>
      </c>
    </row>
    <row r="144" spans="2:10" x14ac:dyDescent="0.2">
      <c r="B144" s="59" t="s">
        <v>29</v>
      </c>
      <c r="C144" s="46">
        <f>+C143+C142</f>
        <v>842753.53045209614</v>
      </c>
    </row>
    <row r="146" spans="2:3" x14ac:dyDescent="0.2">
      <c r="B146" s="28" t="s">
        <v>218</v>
      </c>
    </row>
    <row r="147" spans="2:3" x14ac:dyDescent="0.2">
      <c r="B147" s="59" t="s">
        <v>63</v>
      </c>
      <c r="C147" s="46">
        <f>+C136-C142</f>
        <v>0.25864694372285157</v>
      </c>
    </row>
    <row r="148" spans="2:3" ht="15" x14ac:dyDescent="0.35">
      <c r="B148" s="59" t="s">
        <v>66</v>
      </c>
      <c r="C148" s="62">
        <f>+C137-C143</f>
        <v>-1.7574172540917061</v>
      </c>
    </row>
    <row r="149" spans="2:3" x14ac:dyDescent="0.2">
      <c r="B149" s="59" t="s">
        <v>29</v>
      </c>
      <c r="C149" s="46">
        <f>+C148+C147</f>
        <v>-1.4987703103688546</v>
      </c>
    </row>
  </sheetData>
  <customSheetViews>
    <customSheetView guid="{E387223A-F425-4996-A843-D576BB2C4D04}" scale="87" showPageBreaks="1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1"/>
      <headerFooter alignWithMargins="0"/>
    </customSheetView>
    <customSheetView guid="{689761CC-C80B-4574-9251-22E069AE5A7E}" scale="87" fitToPage="1" printArea="1" showRuler="0" topLeftCell="A80">
      <selection activeCell="C51" sqref="C51"/>
      <rowBreaks count="2" manualBreakCount="2">
        <brk id="36" max="12" man="1"/>
        <brk id="62" max="12" man="1"/>
      </rowBreaks>
      <pageMargins left="0.75" right="0.75" top="1" bottom="1" header="0.5" footer="0.5"/>
      <pageSetup scale="72" fitToHeight="0" orientation="landscape" r:id="rId2"/>
      <headerFooter alignWithMargins="0"/>
    </customSheetView>
  </customSheetViews>
  <phoneticPr fontId="0" type="noConversion"/>
  <pageMargins left="0.75" right="0.75" top="1" bottom="1" header="0.5" footer="0.5"/>
  <pageSetup scale="71" fitToHeight="0" orientation="landscape" r:id="rId3"/>
  <headerFooter alignWithMargins="0">
    <oddHeader>&amp;RATTACHMENT 3</oddHeader>
    <oddFooter>&amp;CPage &amp;P of &amp;N</oddFooter>
  </headerFooter>
  <rowBreaks count="3" manualBreakCount="3">
    <brk id="37" max="12" man="1"/>
    <brk id="80" max="12" man="1"/>
    <brk id="107" max="12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June 13- May 14</vt:lpstr>
      <vt:lpstr>auction results and rates</vt:lpstr>
      <vt:lpstr>'auction results and rates'!Print_Area</vt:lpstr>
      <vt:lpstr>'June 13- May 14'!Print_Area</vt:lpstr>
      <vt:lpstr>'auction results and rates'!Print_Titles</vt:lpstr>
    </vt:vector>
  </TitlesOfParts>
  <Company>Conectiv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JJanocha</dc:creator>
  <cp:lastModifiedBy>Cardona, Paul</cp:lastModifiedBy>
  <cp:lastPrinted>2012-06-28T21:50:19Z</cp:lastPrinted>
  <dcterms:created xsi:type="dcterms:W3CDTF">2003-06-13T18:49:24Z</dcterms:created>
  <dcterms:modified xsi:type="dcterms:W3CDTF">2013-01-07T15:11:53Z</dcterms:modified>
</cp:coreProperties>
</file>