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5" yWindow="3810" windowWidth="15405" windowHeight="3870" tabRatio="839"/>
  </bookViews>
  <sheets>
    <sheet name="BGS Cost &amp; Bid Factors" sheetId="1" r:id="rId1"/>
    <sheet name="Weighted Avg Price Calc" sheetId="5" r:id="rId2"/>
    <sheet name="Rate Calculations" sheetId="7" r:id="rId3"/>
  </sheets>
  <definedNames>
    <definedName name="_xlnm.Print_Area" localSheetId="0">'BGS Cost &amp; Bid Factors'!$A$1:$J$480</definedName>
    <definedName name="_xlnm.Print_Area" localSheetId="2">'Rate Calculations'!$A$1:$J$198</definedName>
    <definedName name="_xlnm.Print_Titles" localSheetId="2">'Rate Calculations'!$1:$4</definedName>
  </definedNames>
  <calcPr calcId="125725"/>
</workbook>
</file>

<file path=xl/calcChain.xml><?xml version="1.0" encoding="utf-8"?>
<calcChain xmlns="http://schemas.openxmlformats.org/spreadsheetml/2006/main">
  <c r="J429" i="1"/>
  <c r="J428"/>
  <c r="I10" i="5" l="1"/>
  <c r="F10"/>
  <c r="M465" i="1" l="1"/>
  <c r="M466" l="1"/>
  <c r="F415" l="1"/>
  <c r="G413"/>
  <c r="F413"/>
  <c r="D410"/>
  <c r="G415"/>
  <c r="D412" l="1"/>
  <c r="D413"/>
  <c r="G410"/>
  <c r="G411"/>
  <c r="G412"/>
  <c r="F410"/>
  <c r="F411"/>
  <c r="F412"/>
  <c r="D411"/>
  <c r="M48" l="1"/>
  <c r="N44"/>
  <c r="C451"/>
  <c r="G9" i="5"/>
  <c r="H146" i="1"/>
  <c r="N142"/>
  <c r="N143"/>
  <c r="N144" s="1"/>
  <c r="E144" s="1"/>
  <c r="O142"/>
  <c r="O143"/>
  <c r="O144" s="1"/>
  <c r="E145" s="1"/>
  <c r="L48" i="7"/>
  <c r="L49"/>
  <c r="S78" i="1"/>
  <c r="S67"/>
  <c r="C472"/>
  <c r="E3"/>
  <c r="C473"/>
  <c r="C474"/>
  <c r="B136"/>
  <c r="B41"/>
  <c r="B1"/>
  <c r="C56"/>
  <c r="C167" s="1"/>
  <c r="D56"/>
  <c r="D167" s="1"/>
  <c r="E56"/>
  <c r="H19"/>
  <c r="R19" s="1"/>
  <c r="H18"/>
  <c r="H17"/>
  <c r="R17" s="1"/>
  <c r="H16"/>
  <c r="R16" s="1"/>
  <c r="H15"/>
  <c r="R15" s="1"/>
  <c r="H14"/>
  <c r="H13"/>
  <c r="R13" s="1"/>
  <c r="H12"/>
  <c r="R12" s="1"/>
  <c r="H11"/>
  <c r="R11" s="1"/>
  <c r="H10"/>
  <c r="R10" s="1"/>
  <c r="H9"/>
  <c r="R9" s="1"/>
  <c r="H8"/>
  <c r="R8" s="1"/>
  <c r="H559"/>
  <c r="G559"/>
  <c r="F559"/>
  <c r="E559"/>
  <c r="D559"/>
  <c r="C559"/>
  <c r="I558"/>
  <c r="H558"/>
  <c r="G558"/>
  <c r="F558"/>
  <c r="E558"/>
  <c r="D558"/>
  <c r="C558"/>
  <c r="I557"/>
  <c r="H557"/>
  <c r="G557"/>
  <c r="F557"/>
  <c r="D557"/>
  <c r="C557"/>
  <c r="I556"/>
  <c r="H556"/>
  <c r="G556"/>
  <c r="F556"/>
  <c r="D556"/>
  <c r="C556"/>
  <c r="E555"/>
  <c r="H552"/>
  <c r="G552"/>
  <c r="F552"/>
  <c r="E552"/>
  <c r="D552"/>
  <c r="C552"/>
  <c r="I551"/>
  <c r="H551"/>
  <c r="G551"/>
  <c r="F551"/>
  <c r="E551"/>
  <c r="D551"/>
  <c r="C551"/>
  <c r="I550"/>
  <c r="H550"/>
  <c r="G550"/>
  <c r="F550"/>
  <c r="E550"/>
  <c r="C550"/>
  <c r="I549"/>
  <c r="H549"/>
  <c r="G549"/>
  <c r="F549"/>
  <c r="E549"/>
  <c r="I548"/>
  <c r="H548"/>
  <c r="G548"/>
  <c r="F548"/>
  <c r="E548"/>
  <c r="I547"/>
  <c r="H547"/>
  <c r="G547"/>
  <c r="F547"/>
  <c r="D547"/>
  <c r="C547"/>
  <c r="I546"/>
  <c r="H546"/>
  <c r="G546"/>
  <c r="F546"/>
  <c r="D546"/>
  <c r="C546"/>
  <c r="E545"/>
  <c r="E491"/>
  <c r="E535" s="1"/>
  <c r="F491"/>
  <c r="F535" s="1"/>
  <c r="G491"/>
  <c r="G535" s="1"/>
  <c r="H491"/>
  <c r="H535" s="1"/>
  <c r="I491"/>
  <c r="I535" s="1"/>
  <c r="D491"/>
  <c r="D535" s="1"/>
  <c r="C491"/>
  <c r="C535" s="1"/>
  <c r="E167"/>
  <c r="R14"/>
  <c r="R18"/>
  <c r="J141"/>
  <c r="J139"/>
  <c r="G56"/>
  <c r="G167" s="1"/>
  <c r="H56"/>
  <c r="H167" s="1"/>
  <c r="S74"/>
  <c r="S63"/>
  <c r="S73"/>
  <c r="T74" s="1"/>
  <c r="O45"/>
  <c r="S77"/>
  <c r="Q449"/>
  <c r="Q450"/>
  <c r="Q451"/>
  <c r="Q452"/>
  <c r="Q453"/>
  <c r="Q454"/>
  <c r="Q455"/>
  <c r="Q456"/>
  <c r="Q457"/>
  <c r="R457"/>
  <c r="S457"/>
  <c r="I158"/>
  <c r="I157"/>
  <c r="H154"/>
  <c r="C154"/>
  <c r="C158"/>
  <c r="M16"/>
  <c r="M13"/>
  <c r="M14"/>
  <c r="M15"/>
  <c r="M12"/>
  <c r="M8"/>
  <c r="M9"/>
  <c r="M10"/>
  <c r="M11"/>
  <c r="M19"/>
  <c r="M17"/>
  <c r="M18"/>
  <c r="N16"/>
  <c r="N13"/>
  <c r="N14"/>
  <c r="N15"/>
  <c r="N12"/>
  <c r="N8"/>
  <c r="N9"/>
  <c r="N10"/>
  <c r="N11"/>
  <c r="N19"/>
  <c r="N17"/>
  <c r="N18"/>
  <c r="O16"/>
  <c r="O13"/>
  <c r="O14"/>
  <c r="O15"/>
  <c r="O12"/>
  <c r="O8"/>
  <c r="O9"/>
  <c r="O10"/>
  <c r="O11"/>
  <c r="O19"/>
  <c r="O17"/>
  <c r="O18"/>
  <c r="P16"/>
  <c r="P13"/>
  <c r="P14"/>
  <c r="P15"/>
  <c r="P12"/>
  <c r="P8"/>
  <c r="P9"/>
  <c r="P10"/>
  <c r="P11"/>
  <c r="P19"/>
  <c r="P17"/>
  <c r="P18"/>
  <c r="Q16"/>
  <c r="Q13"/>
  <c r="Q14"/>
  <c r="Q15"/>
  <c r="Q12"/>
  <c r="Q8"/>
  <c r="Q9"/>
  <c r="Q10"/>
  <c r="Q11"/>
  <c r="Q19"/>
  <c r="Q17"/>
  <c r="Q18"/>
  <c r="S16"/>
  <c r="S13"/>
  <c r="S14"/>
  <c r="S15"/>
  <c r="S12"/>
  <c r="S8"/>
  <c r="S9"/>
  <c r="S10"/>
  <c r="S11"/>
  <c r="S19"/>
  <c r="S17"/>
  <c r="S18"/>
  <c r="H206"/>
  <c r="I383"/>
  <c r="H383"/>
  <c r="G383"/>
  <c r="F383"/>
  <c r="E383"/>
  <c r="D383"/>
  <c r="C383"/>
  <c r="H350"/>
  <c r="C346"/>
  <c r="D346" s="1"/>
  <c r="H325"/>
  <c r="G325"/>
  <c r="F325"/>
  <c r="E325"/>
  <c r="D325"/>
  <c r="C325"/>
  <c r="H296"/>
  <c r="C292"/>
  <c r="H271"/>
  <c r="G271"/>
  <c r="F271"/>
  <c r="E271"/>
  <c r="D271"/>
  <c r="C271"/>
  <c r="H257"/>
  <c r="H200"/>
  <c r="S66"/>
  <c r="S62"/>
  <c r="S60"/>
  <c r="S84" s="1"/>
  <c r="T78"/>
  <c r="S71"/>
  <c r="P457"/>
  <c r="O26"/>
  <c r="I584"/>
  <c r="H584"/>
  <c r="G584"/>
  <c r="F584"/>
  <c r="E584"/>
  <c r="D584"/>
  <c r="C584"/>
  <c r="I573"/>
  <c r="H573"/>
  <c r="G573"/>
  <c r="F573"/>
  <c r="E573"/>
  <c r="D573"/>
  <c r="C573"/>
  <c r="I361"/>
  <c r="H361"/>
  <c r="G361"/>
  <c r="F361"/>
  <c r="E361"/>
  <c r="D361"/>
  <c r="C361"/>
  <c r="D165"/>
  <c r="E165"/>
  <c r="F165"/>
  <c r="G165"/>
  <c r="H165"/>
  <c r="C165"/>
  <c r="C253"/>
  <c r="D253" s="1"/>
  <c r="C468"/>
  <c r="C467"/>
  <c r="N42"/>
  <c r="O42"/>
  <c r="P42"/>
  <c r="Q42"/>
  <c r="R42"/>
  <c r="S42"/>
  <c r="M42"/>
  <c r="D231"/>
  <c r="E231"/>
  <c r="F231"/>
  <c r="G231"/>
  <c r="H231"/>
  <c r="C231"/>
  <c r="C196"/>
  <c r="D179"/>
  <c r="E179"/>
  <c r="F179"/>
  <c r="G179"/>
  <c r="H179"/>
  <c r="C179"/>
  <c r="D137"/>
  <c r="E137"/>
  <c r="F137"/>
  <c r="G137"/>
  <c r="H137"/>
  <c r="I137"/>
  <c r="C137"/>
  <c r="D122"/>
  <c r="E122"/>
  <c r="F122"/>
  <c r="G122"/>
  <c r="H122"/>
  <c r="I122"/>
  <c r="C122"/>
  <c r="D104"/>
  <c r="E104"/>
  <c r="F104"/>
  <c r="G104"/>
  <c r="H104"/>
  <c r="I104"/>
  <c r="C104"/>
  <c r="D86"/>
  <c r="E86"/>
  <c r="F86"/>
  <c r="G86"/>
  <c r="H86"/>
  <c r="I86"/>
  <c r="D76"/>
  <c r="E76"/>
  <c r="F76"/>
  <c r="G76"/>
  <c r="H76"/>
  <c r="I76"/>
  <c r="N24"/>
  <c r="O24"/>
  <c r="P24"/>
  <c r="Q24"/>
  <c r="R24"/>
  <c r="S24"/>
  <c r="M24"/>
  <c r="D24"/>
  <c r="E24"/>
  <c r="F24"/>
  <c r="G24"/>
  <c r="H24"/>
  <c r="I24"/>
  <c r="D42"/>
  <c r="E42"/>
  <c r="F42"/>
  <c r="G42"/>
  <c r="H42"/>
  <c r="I42"/>
  <c r="C86"/>
  <c r="C76"/>
  <c r="C42"/>
  <c r="C24"/>
  <c r="N6"/>
  <c r="O6"/>
  <c r="P6"/>
  <c r="Q6"/>
  <c r="R6"/>
  <c r="S6"/>
  <c r="M6"/>
  <c r="O37"/>
  <c r="O36"/>
  <c r="O35"/>
  <c r="O34"/>
  <c r="O33"/>
  <c r="O32"/>
  <c r="O30"/>
  <c r="O29"/>
  <c r="O28"/>
  <c r="O27"/>
  <c r="H263"/>
  <c r="C466"/>
  <c r="S75"/>
  <c r="S79"/>
  <c r="O49"/>
  <c r="O31"/>
  <c r="S68" s="1"/>
  <c r="T67"/>
  <c r="I205" i="7"/>
  <c r="I204"/>
  <c r="I203"/>
  <c r="H203"/>
  <c r="G203"/>
  <c r="F203"/>
  <c r="E203"/>
  <c r="D203"/>
  <c r="C203"/>
  <c r="C217" s="1"/>
  <c r="A2"/>
  <c r="D184"/>
  <c r="D98"/>
  <c r="I161"/>
  <c r="H161"/>
  <c r="G161"/>
  <c r="F161"/>
  <c r="E161"/>
  <c r="D161"/>
  <c r="C161"/>
  <c r="I76"/>
  <c r="H76"/>
  <c r="G76"/>
  <c r="F76"/>
  <c r="E76"/>
  <c r="D76"/>
  <c r="C76"/>
  <c r="H226"/>
  <c r="G226"/>
  <c r="F226"/>
  <c r="E226"/>
  <c r="D226"/>
  <c r="C226"/>
  <c r="I225"/>
  <c r="H225"/>
  <c r="G225"/>
  <c r="F225"/>
  <c r="E225"/>
  <c r="D225"/>
  <c r="C225"/>
  <c r="I224"/>
  <c r="H224"/>
  <c r="G224"/>
  <c r="F224"/>
  <c r="D224"/>
  <c r="C224"/>
  <c r="I223"/>
  <c r="H223"/>
  <c r="G223"/>
  <c r="F223"/>
  <c r="D223"/>
  <c r="C223"/>
  <c r="H55"/>
  <c r="G55"/>
  <c r="F55"/>
  <c r="E222"/>
  <c r="D55"/>
  <c r="C55"/>
  <c r="H219"/>
  <c r="G219"/>
  <c r="F219"/>
  <c r="E219"/>
  <c r="D219"/>
  <c r="C219"/>
  <c r="I218"/>
  <c r="H218"/>
  <c r="G218"/>
  <c r="F218"/>
  <c r="E218"/>
  <c r="D218"/>
  <c r="C218"/>
  <c r="I217"/>
  <c r="H217"/>
  <c r="G217"/>
  <c r="F217"/>
  <c r="E217"/>
  <c r="I216"/>
  <c r="H216"/>
  <c r="G216"/>
  <c r="F216"/>
  <c r="E216"/>
  <c r="I215"/>
  <c r="H215"/>
  <c r="G215"/>
  <c r="F215"/>
  <c r="E215"/>
  <c r="I214"/>
  <c r="H214"/>
  <c r="G214"/>
  <c r="F214"/>
  <c r="D214"/>
  <c r="C214"/>
  <c r="I213"/>
  <c r="H213"/>
  <c r="G213"/>
  <c r="F213"/>
  <c r="D213"/>
  <c r="C213"/>
  <c r="E212"/>
  <c r="I116"/>
  <c r="H116"/>
  <c r="G116"/>
  <c r="F116"/>
  <c r="E116"/>
  <c r="D116"/>
  <c r="C116"/>
  <c r="I55"/>
  <c r="I202" s="1"/>
  <c r="E55"/>
  <c r="H12"/>
  <c r="G12"/>
  <c r="F12"/>
  <c r="E12"/>
  <c r="D12"/>
  <c r="C12"/>
  <c r="C33"/>
  <c r="E202"/>
  <c r="F202"/>
  <c r="G202"/>
  <c r="H202"/>
  <c r="D202"/>
  <c r="C202"/>
  <c r="A2" i="5"/>
  <c r="S92" i="1" l="1"/>
  <c r="Q48"/>
  <c r="R44"/>
  <c r="G417"/>
  <c r="G416"/>
  <c r="F416"/>
  <c r="F417"/>
  <c r="M44"/>
  <c r="R48"/>
  <c r="N48"/>
  <c r="S64"/>
  <c r="S87"/>
  <c r="O44"/>
  <c r="O48"/>
  <c r="L50" i="7"/>
  <c r="Q44" i="1"/>
  <c r="H37" i="7"/>
  <c r="D33"/>
  <c r="I414" i="1"/>
  <c r="G433" s="1"/>
  <c r="E414"/>
  <c r="J414" s="1"/>
  <c r="H433" s="1"/>
  <c r="I416"/>
  <c r="G419"/>
  <c r="G418"/>
  <c r="G420"/>
  <c r="I411"/>
  <c r="F418"/>
  <c r="I418" s="1"/>
  <c r="F420"/>
  <c r="I420" s="1"/>
  <c r="I410"/>
  <c r="I412"/>
  <c r="F419"/>
  <c r="I419" s="1"/>
  <c r="D415"/>
  <c r="D417"/>
  <c r="D416"/>
  <c r="E416" s="1"/>
  <c r="J416" s="1"/>
  <c r="E39" i="5"/>
  <c r="C447" i="1"/>
  <c r="D447"/>
  <c r="T63"/>
  <c r="E409"/>
  <c r="J409" s="1"/>
  <c r="H428" s="1"/>
  <c r="I409"/>
  <c r="G428" s="1"/>
  <c r="I413"/>
  <c r="I415"/>
  <c r="E415"/>
  <c r="J415" s="1"/>
  <c r="I417"/>
  <c r="E417"/>
  <c r="J417" s="1"/>
  <c r="E411"/>
  <c r="J411" s="1"/>
  <c r="E413"/>
  <c r="D419"/>
  <c r="E419" s="1"/>
  <c r="J419" s="1"/>
  <c r="E410"/>
  <c r="E412"/>
  <c r="J412" s="1"/>
  <c r="D418"/>
  <c r="E418" s="1"/>
  <c r="D420"/>
  <c r="E420" s="1"/>
  <c r="J420" s="1"/>
  <c r="H439" l="1"/>
  <c r="D73" s="1"/>
  <c r="H438"/>
  <c r="D72" s="1"/>
  <c r="G436"/>
  <c r="C70" s="1"/>
  <c r="G434"/>
  <c r="C68" s="1"/>
  <c r="H436"/>
  <c r="D70" s="1"/>
  <c r="H434"/>
  <c r="D68" s="1"/>
  <c r="G432"/>
  <c r="C66" s="1"/>
  <c r="G438"/>
  <c r="C72" s="1"/>
  <c r="G429"/>
  <c r="C63" s="1"/>
  <c r="G437"/>
  <c r="C71" s="1"/>
  <c r="H431"/>
  <c r="D65" s="1"/>
  <c r="H430"/>
  <c r="D64" s="1"/>
  <c r="H435"/>
  <c r="D69" s="1"/>
  <c r="G431"/>
  <c r="C65" s="1"/>
  <c r="G439"/>
  <c r="C73" s="1"/>
  <c r="G430"/>
  <c r="C64" s="1"/>
  <c r="G435"/>
  <c r="C69" s="1"/>
  <c r="E451"/>
  <c r="D150" s="1"/>
  <c r="J418"/>
  <c r="J410"/>
  <c r="J413"/>
  <c r="O46"/>
  <c r="N53"/>
  <c r="O50"/>
  <c r="C465"/>
  <c r="N52"/>
  <c r="D62"/>
  <c r="M52"/>
  <c r="M53" s="1"/>
  <c r="D459"/>
  <c r="G39" i="5"/>
  <c r="D67" i="1"/>
  <c r="Q432"/>
  <c r="C62"/>
  <c r="E449"/>
  <c r="C459"/>
  <c r="C597"/>
  <c r="F425"/>
  <c r="D177" i="7"/>
  <c r="D189" s="1"/>
  <c r="D176"/>
  <c r="D91"/>
  <c r="C596" i="1"/>
  <c r="Q428"/>
  <c r="C67"/>
  <c r="Q429" l="1"/>
  <c r="R428"/>
  <c r="H432"/>
  <c r="D66" s="1"/>
  <c r="H437"/>
  <c r="D71" s="1"/>
  <c r="H429"/>
  <c r="D63" s="1"/>
  <c r="C598"/>
  <c r="Q430"/>
  <c r="N54"/>
  <c r="E45" i="5"/>
  <c r="F89" i="1"/>
  <c r="F107" s="1"/>
  <c r="C89"/>
  <c r="C107" s="1"/>
  <c r="H89"/>
  <c r="H107" s="1"/>
  <c r="G89"/>
  <c r="G107" s="1"/>
  <c r="D89"/>
  <c r="D107" s="1"/>
  <c r="E88"/>
  <c r="C88"/>
  <c r="G88"/>
  <c r="H88"/>
  <c r="D88"/>
  <c r="E89"/>
  <c r="D101" i="7"/>
  <c r="D149" i="1"/>
  <c r="C464"/>
  <c r="C93"/>
  <c r="C111" s="1"/>
  <c r="H93"/>
  <c r="H111" s="1"/>
  <c r="G93"/>
  <c r="G111" s="1"/>
  <c r="D93"/>
  <c r="D111" s="1"/>
  <c r="E93"/>
  <c r="C172"/>
  <c r="E172"/>
  <c r="H172"/>
  <c r="D172"/>
  <c r="G172"/>
  <c r="I150"/>
  <c r="D188" i="7"/>
  <c r="D190" s="1"/>
  <c r="D178"/>
  <c r="E461" i="1"/>
  <c r="D161" s="1"/>
  <c r="C469" s="1"/>
  <c r="D92" i="7"/>
  <c r="D102" s="1"/>
  <c r="J54" i="1"/>
  <c r="J48"/>
  <c r="D90"/>
  <c r="D108" s="1"/>
  <c r="G90"/>
  <c r="G108" s="1"/>
  <c r="H90"/>
  <c r="H108" s="1"/>
  <c r="C90"/>
  <c r="C108" s="1"/>
  <c r="E90"/>
  <c r="J46"/>
  <c r="R432" l="1"/>
  <c r="S432" s="1"/>
  <c r="D92"/>
  <c r="D110" s="1"/>
  <c r="D128" s="1"/>
  <c r="C92"/>
  <c r="C110" s="1"/>
  <c r="C128" s="1"/>
  <c r="C188" s="1"/>
  <c r="G94"/>
  <c r="G112" s="1"/>
  <c r="C94"/>
  <c r="C112" s="1"/>
  <c r="E92"/>
  <c r="E110" s="1"/>
  <c r="E128" s="1"/>
  <c r="G92"/>
  <c r="G110" s="1"/>
  <c r="G128" s="1"/>
  <c r="G188" s="1"/>
  <c r="H92"/>
  <c r="H110" s="1"/>
  <c r="H128" s="1"/>
  <c r="D94"/>
  <c r="D112" s="1"/>
  <c r="H94"/>
  <c r="H112" s="1"/>
  <c r="E94"/>
  <c r="E112" s="1"/>
  <c r="R429"/>
  <c r="R430" s="1"/>
  <c r="D103" i="7"/>
  <c r="F88" i="1"/>
  <c r="F106" s="1"/>
  <c r="P48"/>
  <c r="F90"/>
  <c r="F108" s="1"/>
  <c r="J47"/>
  <c r="J49"/>
  <c r="J50"/>
  <c r="J45"/>
  <c r="J53"/>
  <c r="J52"/>
  <c r="J55"/>
  <c r="E108"/>
  <c r="F171"/>
  <c r="D171"/>
  <c r="G171"/>
  <c r="D170"/>
  <c r="E170"/>
  <c r="H170"/>
  <c r="I149"/>
  <c r="E171"/>
  <c r="H171"/>
  <c r="C170"/>
  <c r="G170"/>
  <c r="C171"/>
  <c r="D106"/>
  <c r="D96"/>
  <c r="G106"/>
  <c r="E106"/>
  <c r="E96"/>
  <c r="H188"/>
  <c r="E188"/>
  <c r="E111"/>
  <c r="S93"/>
  <c r="S94" s="1"/>
  <c r="E126" s="1"/>
  <c r="E183" s="1"/>
  <c r="E107"/>
  <c r="H106"/>
  <c r="H96"/>
  <c r="C106"/>
  <c r="J51"/>
  <c r="D188"/>
  <c r="D93" i="7"/>
  <c r="C96" i="1" l="1"/>
  <c r="S88"/>
  <c r="S89" s="1"/>
  <c r="E130" s="1"/>
  <c r="E190" s="1"/>
  <c r="G96"/>
  <c r="I88"/>
  <c r="S48"/>
  <c r="I89"/>
  <c r="I107" s="1"/>
  <c r="E125"/>
  <c r="E182" s="1"/>
  <c r="E129"/>
  <c r="E189" s="1"/>
  <c r="J44"/>
  <c r="J56" s="1"/>
  <c r="F56"/>
  <c r="F94"/>
  <c r="F112" s="1"/>
  <c r="F92"/>
  <c r="F172"/>
  <c r="P44"/>
  <c r="F93"/>
  <c r="F111" s="1"/>
  <c r="I90"/>
  <c r="I108" s="1"/>
  <c r="E275"/>
  <c r="E282"/>
  <c r="I106"/>
  <c r="D364"/>
  <c r="D280"/>
  <c r="G364"/>
  <c r="G280"/>
  <c r="E124"/>
  <c r="E114"/>
  <c r="G124"/>
  <c r="G114"/>
  <c r="D124"/>
  <c r="D114"/>
  <c r="C364"/>
  <c r="C280"/>
  <c r="C124"/>
  <c r="C114"/>
  <c r="H114"/>
  <c r="H124"/>
  <c r="E274"/>
  <c r="E281"/>
  <c r="E280"/>
  <c r="E386" s="1"/>
  <c r="E364"/>
  <c r="H364"/>
  <c r="H280"/>
  <c r="F124"/>
  <c r="F110" l="1"/>
  <c r="F96"/>
  <c r="S44"/>
  <c r="I94"/>
  <c r="I112" s="1"/>
  <c r="I92"/>
  <c r="I56"/>
  <c r="I93"/>
  <c r="I111" s="1"/>
  <c r="H259"/>
  <c r="H298" s="1"/>
  <c r="H352" s="1"/>
  <c r="F167"/>
  <c r="F181" s="1"/>
  <c r="F170"/>
  <c r="C181"/>
  <c r="C132"/>
  <c r="C192" s="1"/>
  <c r="C386"/>
  <c r="D181"/>
  <c r="D132"/>
  <c r="D192" s="1"/>
  <c r="G181"/>
  <c r="G132"/>
  <c r="G192" s="1"/>
  <c r="E132"/>
  <c r="E192" s="1"/>
  <c r="E181"/>
  <c r="D386"/>
  <c r="H386"/>
  <c r="H181"/>
  <c r="H132"/>
  <c r="H192" s="1"/>
  <c r="G386"/>
  <c r="I124"/>
  <c r="I110" l="1"/>
  <c r="I96"/>
  <c r="F128"/>
  <c r="F114"/>
  <c r="H260"/>
  <c r="H299" s="1"/>
  <c r="H353" s="1"/>
  <c r="H39" i="7"/>
  <c r="I64" s="1"/>
  <c r="I500" i="1"/>
  <c r="C98"/>
  <c r="H363"/>
  <c r="H273"/>
  <c r="E363"/>
  <c r="E273"/>
  <c r="E385" s="1"/>
  <c r="G284"/>
  <c r="D284"/>
  <c r="C284"/>
  <c r="F273"/>
  <c r="F363"/>
  <c r="C198"/>
  <c r="H284"/>
  <c r="E284"/>
  <c r="G363"/>
  <c r="G273"/>
  <c r="D184"/>
  <c r="D273"/>
  <c r="C184"/>
  <c r="C273"/>
  <c r="I552" l="1"/>
  <c r="I521"/>
  <c r="I128"/>
  <c r="I114"/>
  <c r="C116" s="1"/>
  <c r="C133" s="1"/>
  <c r="I507"/>
  <c r="H40" i="7"/>
  <c r="I71" s="1"/>
  <c r="F188" i="1"/>
  <c r="F132"/>
  <c r="F192" s="1"/>
  <c r="F284" s="1"/>
  <c r="C238"/>
  <c r="C185"/>
  <c r="C239" s="1"/>
  <c r="D185"/>
  <c r="D239" s="1"/>
  <c r="D186"/>
  <c r="D240" s="1"/>
  <c r="D238"/>
  <c r="G365"/>
  <c r="G369" s="1"/>
  <c r="D27" i="5"/>
  <c r="E27"/>
  <c r="C294" i="1"/>
  <c r="D255"/>
  <c r="F385"/>
  <c r="E365"/>
  <c r="E369" s="1"/>
  <c r="H385"/>
  <c r="C276"/>
  <c r="D276"/>
  <c r="G385"/>
  <c r="E387"/>
  <c r="E391" s="1"/>
  <c r="H365"/>
  <c r="H369" s="1"/>
  <c r="C202" l="1"/>
  <c r="I132"/>
  <c r="C206" s="1"/>
  <c r="F280"/>
  <c r="F386" s="1"/>
  <c r="F387" s="1"/>
  <c r="F391" s="1"/>
  <c r="F364"/>
  <c r="I528"/>
  <c r="I559"/>
  <c r="H368"/>
  <c r="E390"/>
  <c r="D363"/>
  <c r="D365" s="1"/>
  <c r="G387"/>
  <c r="G391" s="1"/>
  <c r="H387"/>
  <c r="H391" s="1"/>
  <c r="E368"/>
  <c r="C363"/>
  <c r="D278"/>
  <c r="D334" s="1"/>
  <c r="D21" i="7" s="1"/>
  <c r="D277" i="1"/>
  <c r="D333" s="1"/>
  <c r="D20" i="7" s="1"/>
  <c r="D332" i="1"/>
  <c r="D19" i="7" s="1"/>
  <c r="C277" i="1"/>
  <c r="C333" s="1"/>
  <c r="C20" i="7" s="1"/>
  <c r="C332" i="1"/>
  <c r="C19" i="7" s="1"/>
  <c r="G368" i="1"/>
  <c r="E97" i="7" l="1"/>
  <c r="I40" i="5"/>
  <c r="E43"/>
  <c r="E44" s="1"/>
  <c r="E96" i="7"/>
  <c r="E182"/>
  <c r="D24" i="5"/>
  <c r="E28"/>
  <c r="E29" s="1"/>
  <c r="D28"/>
  <c r="E183" i="7"/>
  <c r="I365" i="1"/>
  <c r="I369" s="1"/>
  <c r="D259"/>
  <c r="C298"/>
  <c r="F365"/>
  <c r="C302"/>
  <c r="C316" s="1"/>
  <c r="C221"/>
  <c r="D222" s="1"/>
  <c r="D369"/>
  <c r="D368"/>
  <c r="C372"/>
  <c r="C365"/>
  <c r="C369" s="1"/>
  <c r="D348"/>
  <c r="D35" i="7" s="1"/>
  <c r="F390" i="1"/>
  <c r="H390"/>
  <c r="G390"/>
  <c r="C385"/>
  <c r="D385"/>
  <c r="C98" i="7" l="1"/>
  <c r="E184"/>
  <c r="C184"/>
  <c r="E98"/>
  <c r="I368" i="1"/>
  <c r="C373"/>
  <c r="E378" s="1"/>
  <c r="D223"/>
  <c r="C566" s="1"/>
  <c r="F369"/>
  <c r="F368"/>
  <c r="D352"/>
  <c r="D39" i="7" s="1"/>
  <c r="D29" i="5"/>
  <c r="C368" i="1"/>
  <c r="D317"/>
  <c r="D318"/>
  <c r="C394"/>
  <c r="C387"/>
  <c r="C391" s="1"/>
  <c r="D387"/>
  <c r="D391" s="1"/>
  <c r="E377"/>
  <c r="D233" l="1"/>
  <c r="C263"/>
  <c r="G233"/>
  <c r="H233"/>
  <c r="E234"/>
  <c r="E244"/>
  <c r="D484"/>
  <c r="F246"/>
  <c r="H246"/>
  <c r="C246"/>
  <c r="H242"/>
  <c r="C242"/>
  <c r="F242"/>
  <c r="J377"/>
  <c r="C567" s="1"/>
  <c r="C569" s="1"/>
  <c r="C255"/>
  <c r="J378"/>
  <c r="C568" s="1"/>
  <c r="C570" s="1"/>
  <c r="C233"/>
  <c r="E246"/>
  <c r="G246"/>
  <c r="F233"/>
  <c r="D246"/>
  <c r="C259"/>
  <c r="E243"/>
  <c r="G242"/>
  <c r="D242"/>
  <c r="E235"/>
  <c r="L52" i="7"/>
  <c r="I52" s="1"/>
  <c r="L53" s="1"/>
  <c r="L54" s="1"/>
  <c r="D49" s="1"/>
  <c r="C374" i="1"/>
  <c r="C378" s="1"/>
  <c r="F486"/>
  <c r="M468"/>
  <c r="M469" s="1"/>
  <c r="M470" s="1"/>
  <c r="D485" s="1"/>
  <c r="D486" s="1"/>
  <c r="F27" i="5"/>
  <c r="G27" s="1"/>
  <c r="F28"/>
  <c r="I387" i="1"/>
  <c r="C395"/>
  <c r="E400" s="1"/>
  <c r="J400" s="1"/>
  <c r="C336"/>
  <c r="C23" i="7" s="1"/>
  <c r="H336" i="1"/>
  <c r="H23" i="7" s="1"/>
  <c r="D336" i="1"/>
  <c r="D23" i="7" s="1"/>
  <c r="G336" i="1"/>
  <c r="G23" i="7" s="1"/>
  <c r="H327" i="1"/>
  <c r="H14" i="7" s="1"/>
  <c r="G327" i="1"/>
  <c r="G14" i="7" s="1"/>
  <c r="H340" i="1"/>
  <c r="H27" i="7" s="1"/>
  <c r="D327" i="1"/>
  <c r="D14" i="7" s="1"/>
  <c r="E340" i="1"/>
  <c r="E27" i="7" s="1"/>
  <c r="C348" i="1"/>
  <c r="C35" i="7" s="1"/>
  <c r="F336" i="1"/>
  <c r="F23" i="7" s="1"/>
  <c r="E329" i="1"/>
  <c r="E16" i="7" s="1"/>
  <c r="E328" i="1"/>
  <c r="E15" i="7" s="1"/>
  <c r="E338" i="1"/>
  <c r="E25" i="7" s="1"/>
  <c r="E337" i="1"/>
  <c r="E24" i="7" s="1"/>
  <c r="F327" i="1"/>
  <c r="F14" i="7" s="1"/>
  <c r="D340" i="1"/>
  <c r="D27" i="7" s="1"/>
  <c r="F340" i="1"/>
  <c r="F27" i="7" s="1"/>
  <c r="C327" i="1"/>
  <c r="C14" i="7" s="1"/>
  <c r="C340" i="1"/>
  <c r="C27" i="7" s="1"/>
  <c r="G340" i="1"/>
  <c r="G27" i="7" s="1"/>
  <c r="C356" i="1"/>
  <c r="C43" i="7" s="1"/>
  <c r="C352" i="1"/>
  <c r="C39" i="7" s="1"/>
  <c r="D390" i="1"/>
  <c r="E399"/>
  <c r="J399" s="1"/>
  <c r="F50" i="7"/>
  <c r="C390" i="1"/>
  <c r="C396" l="1"/>
  <c r="C400" s="1"/>
  <c r="F488"/>
  <c r="F52" i="7"/>
  <c r="F11" i="5"/>
  <c r="E11" s="1"/>
  <c r="C377" i="1"/>
  <c r="C399"/>
  <c r="F29" i="5"/>
  <c r="G28"/>
  <c r="C91" i="7"/>
  <c r="C176"/>
  <c r="D32" i="5"/>
  <c r="I391" i="1"/>
  <c r="I390"/>
  <c r="C493"/>
  <c r="D493"/>
  <c r="D497"/>
  <c r="D498"/>
  <c r="D496"/>
  <c r="C497"/>
  <c r="C496"/>
  <c r="E504"/>
  <c r="E505"/>
  <c r="E494"/>
  <c r="F503"/>
  <c r="I503"/>
  <c r="G503"/>
  <c r="D503"/>
  <c r="H503"/>
  <c r="C503"/>
  <c r="F493"/>
  <c r="E495"/>
  <c r="I493"/>
  <c r="G493"/>
  <c r="H493"/>
  <c r="C587"/>
  <c r="E587"/>
  <c r="G587"/>
  <c r="I587"/>
  <c r="D587"/>
  <c r="F587"/>
  <c r="H587"/>
  <c r="D586"/>
  <c r="F586"/>
  <c r="H586"/>
  <c r="C586"/>
  <c r="E586"/>
  <c r="G586"/>
  <c r="I586"/>
  <c r="F14" i="5"/>
  <c r="F12" l="1"/>
  <c r="F13" s="1"/>
  <c r="D42"/>
  <c r="D45" s="1"/>
  <c r="G45" s="1"/>
  <c r="D11"/>
  <c r="E91" i="7"/>
  <c r="C101"/>
  <c r="E101" s="1"/>
  <c r="D107" s="1"/>
  <c r="E176"/>
  <c r="C188"/>
  <c r="E188" s="1"/>
  <c r="D195" s="1"/>
  <c r="C177"/>
  <c r="C92"/>
  <c r="G29" i="5"/>
  <c r="D34" s="1"/>
  <c r="D40" s="1"/>
  <c r="D33"/>
  <c r="D12"/>
  <c r="D13" s="1"/>
  <c r="D14"/>
  <c r="E12"/>
  <c r="E13" s="1"/>
  <c r="E14"/>
  <c r="H514" i="1"/>
  <c r="H545"/>
  <c r="H575"/>
  <c r="I514"/>
  <c r="I545"/>
  <c r="F514"/>
  <c r="F545"/>
  <c r="F575"/>
  <c r="H524"/>
  <c r="H576"/>
  <c r="H555"/>
  <c r="G555"/>
  <c r="G576"/>
  <c r="G524"/>
  <c r="F524"/>
  <c r="F576"/>
  <c r="F577" s="1"/>
  <c r="F555"/>
  <c r="E557"/>
  <c r="E526"/>
  <c r="C517"/>
  <c r="C548"/>
  <c r="D517"/>
  <c r="D548"/>
  <c r="D518"/>
  <c r="D549"/>
  <c r="C575"/>
  <c r="C545"/>
  <c r="F588"/>
  <c r="I588"/>
  <c r="E588"/>
  <c r="D43" i="5"/>
  <c r="D44" s="1"/>
  <c r="G44" s="1"/>
  <c r="C592" i="1"/>
  <c r="C588"/>
  <c r="G575"/>
  <c r="G514"/>
  <c r="G545"/>
  <c r="E547"/>
  <c r="E516"/>
  <c r="C576"/>
  <c r="C524"/>
  <c r="C555"/>
  <c r="D576"/>
  <c r="D555"/>
  <c r="D524"/>
  <c r="I555"/>
  <c r="I577"/>
  <c r="I524"/>
  <c r="E515"/>
  <c r="E575"/>
  <c r="E546"/>
  <c r="E525"/>
  <c r="E576"/>
  <c r="E556"/>
  <c r="C518"/>
  <c r="C549"/>
  <c r="D519"/>
  <c r="D550"/>
  <c r="D575"/>
  <c r="D545"/>
  <c r="C591"/>
  <c r="C601" s="1"/>
  <c r="H588"/>
  <c r="D588"/>
  <c r="G588"/>
  <c r="H577" l="1"/>
  <c r="G46" i="5"/>
  <c r="D48" i="7" s="1"/>
  <c r="D50" s="1"/>
  <c r="D62" s="1"/>
  <c r="C189"/>
  <c r="C178"/>
  <c r="E177"/>
  <c r="E178" s="1"/>
  <c r="C93"/>
  <c r="E92"/>
  <c r="E93" s="1"/>
  <c r="C102"/>
  <c r="C581" i="1"/>
  <c r="C577"/>
  <c r="C580"/>
  <c r="C606" s="1"/>
  <c r="G13" i="5"/>
  <c r="C602" i="1"/>
  <c r="C593"/>
  <c r="E577"/>
  <c r="D577"/>
  <c r="G577"/>
  <c r="G14" i="5"/>
  <c r="C60" i="7" l="1"/>
  <c r="F57"/>
  <c r="F78" s="1"/>
  <c r="E58"/>
  <c r="H57"/>
  <c r="H78" s="1"/>
  <c r="H67"/>
  <c r="H79" s="1"/>
  <c r="G57"/>
  <c r="G78" s="1"/>
  <c r="F67"/>
  <c r="F79" s="1"/>
  <c r="D67"/>
  <c r="D79" s="1"/>
  <c r="D60"/>
  <c r="C61"/>
  <c r="C57"/>
  <c r="C78" s="1"/>
  <c r="C607" i="1"/>
  <c r="C608" s="1"/>
  <c r="I57" i="7"/>
  <c r="E68"/>
  <c r="G67"/>
  <c r="G79" s="1"/>
  <c r="E59"/>
  <c r="E69"/>
  <c r="I67"/>
  <c r="C67"/>
  <c r="C79" s="1"/>
  <c r="D61"/>
  <c r="D57"/>
  <c r="D78" s="1"/>
  <c r="E189"/>
  <c r="C190"/>
  <c r="E102"/>
  <c r="C103"/>
  <c r="G15" i="5"/>
  <c r="C582" i="1"/>
  <c r="C603"/>
  <c r="E78" i="7" l="1"/>
  <c r="E79"/>
  <c r="C84" s="1"/>
  <c r="H80"/>
  <c r="G80"/>
  <c r="F80"/>
  <c r="E103"/>
  <c r="D108"/>
  <c r="D109" s="1"/>
  <c r="E190"/>
  <c r="D196"/>
  <c r="D197" s="1"/>
  <c r="I80"/>
  <c r="C80"/>
  <c r="D80"/>
  <c r="E80" l="1"/>
  <c r="C83"/>
  <c r="C107" s="1"/>
  <c r="E107" s="1"/>
  <c r="G107" s="1"/>
  <c r="E120" s="1"/>
  <c r="C108"/>
  <c r="I126" l="1"/>
  <c r="I146" s="1"/>
  <c r="H119"/>
  <c r="H139" s="1"/>
  <c r="I119"/>
  <c r="D119"/>
  <c r="D163" s="1"/>
  <c r="D122"/>
  <c r="D142" s="1"/>
  <c r="D123"/>
  <c r="D216" s="1"/>
  <c r="C119"/>
  <c r="C163" s="1"/>
  <c r="C85"/>
  <c r="D124"/>
  <c r="D217" s="1"/>
  <c r="C122"/>
  <c r="C215" s="1"/>
  <c r="G119"/>
  <c r="G163" s="1"/>
  <c r="F119"/>
  <c r="F139" s="1"/>
  <c r="E121"/>
  <c r="E214" s="1"/>
  <c r="C123"/>
  <c r="C143" s="1"/>
  <c r="C109"/>
  <c r="E108"/>
  <c r="I219"/>
  <c r="E213"/>
  <c r="E140"/>
  <c r="H212" l="1"/>
  <c r="D212"/>
  <c r="F212"/>
  <c r="H163"/>
  <c r="C142"/>
  <c r="D143"/>
  <c r="C212"/>
  <c r="D215"/>
  <c r="E163"/>
  <c r="I212"/>
  <c r="E141"/>
  <c r="G212"/>
  <c r="D144"/>
  <c r="I139"/>
  <c r="C216"/>
  <c r="F163"/>
  <c r="G139"/>
  <c r="G108"/>
  <c r="E109"/>
  <c r="C168" l="1"/>
  <c r="C195" s="1"/>
  <c r="E195" s="1"/>
  <c r="I133"/>
  <c r="H129"/>
  <c r="F129"/>
  <c r="E130"/>
  <c r="G129"/>
  <c r="I129"/>
  <c r="C129"/>
  <c r="D129"/>
  <c r="E131"/>
  <c r="E224" l="1"/>
  <c r="E151"/>
  <c r="C149"/>
  <c r="C222"/>
  <c r="C164"/>
  <c r="G164"/>
  <c r="G165" s="1"/>
  <c r="G222"/>
  <c r="G149"/>
  <c r="F164"/>
  <c r="F165" s="1"/>
  <c r="F222"/>
  <c r="F149"/>
  <c r="I153"/>
  <c r="I226"/>
  <c r="D164"/>
  <c r="D165" s="1"/>
  <c r="D222"/>
  <c r="D149"/>
  <c r="I165"/>
  <c r="I222"/>
  <c r="I149"/>
  <c r="E164"/>
  <c r="E165" s="1"/>
  <c r="E223"/>
  <c r="E150"/>
  <c r="H164"/>
  <c r="H165" s="1"/>
  <c r="H222"/>
  <c r="H149"/>
  <c r="C169" l="1"/>
  <c r="C165"/>
  <c r="C196" l="1"/>
  <c r="C170"/>
  <c r="C197" l="1"/>
  <c r="E196"/>
  <c r="E197" s="1"/>
</calcChain>
</file>

<file path=xl/sharedStrings.xml><?xml version="1.0" encoding="utf-8"?>
<sst xmlns="http://schemas.openxmlformats.org/spreadsheetml/2006/main" count="980" uniqueCount="359">
  <si>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</si>
  <si>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</si>
  <si>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</si>
  <si>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</si>
  <si>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</si>
  <si>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</si>
  <si>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</si>
  <si>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</si>
  <si>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</si>
  <si>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</si>
  <si>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</si>
  <si>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</si>
  <si>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</si>
  <si>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On-Peak</t>
  </si>
  <si>
    <t>Off-Peak</t>
  </si>
  <si>
    <t>Annual</t>
  </si>
  <si>
    <t>Summer - all hrs</t>
  </si>
  <si>
    <t>Winter - all hrs</t>
  </si>
  <si>
    <t>Gen Obl - MW</t>
  </si>
  <si>
    <t>Trans Obl - MW</t>
  </si>
  <si>
    <t>Assumptions:</t>
  </si>
  <si>
    <t>Trans cost</t>
  </si>
  <si>
    <t>per MW-yr</t>
  </si>
  <si>
    <t>Ancillary Services</t>
  </si>
  <si>
    <t>PLUS:</t>
  </si>
  <si>
    <t>DEMAND RATES</t>
  </si>
  <si>
    <t>Usage patterns =</t>
  </si>
  <si>
    <t>Gen Cost =</t>
  </si>
  <si>
    <t>Trans cost =</t>
  </si>
  <si>
    <t>Ancillary Services =</t>
  </si>
  <si>
    <t>Forwards Prices - Energy Only @ bulk system</t>
  </si>
  <si>
    <t>Expansion Factor =</t>
  </si>
  <si>
    <t>in $/MWh</t>
  </si>
  <si>
    <t>per annual MWh</t>
  </si>
  <si>
    <t>per summer MWh</t>
  </si>
  <si>
    <t>per winter MWh</t>
  </si>
  <si>
    <t>NON-DEMAND RATES</t>
  </si>
  <si>
    <t>Losses</t>
  </si>
  <si>
    <t xml:space="preserve"> -- Other Analysis --</t>
  </si>
  <si>
    <t>per MWh at customer (per customer metered MWh)</t>
  </si>
  <si>
    <t>Obligations =</t>
  </si>
  <si>
    <t>Losses =</t>
  </si>
  <si>
    <t>summer</t>
  </si>
  <si>
    <t>winter</t>
  </si>
  <si>
    <t>all months</t>
  </si>
  <si>
    <t>Profile Meter Data</t>
  </si>
  <si>
    <t>per kW of T obl /month</t>
  </si>
  <si>
    <t>Summer</t>
  </si>
  <si>
    <t>Winter</t>
  </si>
  <si>
    <t>Total Costs - in $1000</t>
  </si>
  <si>
    <t>% of Annual Total $</t>
  </si>
  <si>
    <t>% of Annual Total $ by Rate</t>
  </si>
  <si>
    <t>Total Costs by Rate - in $1000</t>
  </si>
  <si>
    <t>Grand Total Cost in $1000 =</t>
  </si>
  <si>
    <t>(data rounded to nearest %)</t>
  </si>
  <si>
    <t>On-Peak periods defined as the 16 hr PJM Trading period, adj for NERC holidays</t>
  </si>
  <si>
    <t>Usage by season</t>
  </si>
  <si>
    <t>winter MWh =</t>
  </si>
  <si>
    <t>summer MWh =</t>
  </si>
  <si>
    <t>forecasted overall annual average</t>
  </si>
  <si>
    <t xml:space="preserve">Generation Obl -                </t>
  </si>
  <si>
    <t>PJM Time Periods =</t>
  </si>
  <si>
    <t>Table #1</t>
  </si>
  <si>
    <t>Table #2</t>
  </si>
  <si>
    <t>Table #6</t>
  </si>
  <si>
    <t>Table #7</t>
  </si>
  <si>
    <t>Table #8</t>
  </si>
  <si>
    <t>Table #9</t>
  </si>
  <si>
    <t>Table #10</t>
  </si>
  <si>
    <t>Table #11</t>
  </si>
  <si>
    <t>Table #13</t>
  </si>
  <si>
    <t>Table #12</t>
  </si>
  <si>
    <t>Table #3</t>
  </si>
  <si>
    <t>Table #4</t>
  </si>
  <si>
    <t>in MW</t>
  </si>
  <si>
    <t>in MWh</t>
  </si>
  <si>
    <t>N/A</t>
  </si>
  <si>
    <t>----</t>
  </si>
  <si>
    <t>PJM on pk</t>
  </si>
  <si>
    <t>PJM off pk</t>
  </si>
  <si>
    <t>in $1000</t>
  </si>
  <si>
    <t>System Total</t>
  </si>
  <si>
    <t>Annual Average</t>
  </si>
  <si>
    <t>System Average</t>
  </si>
  <si>
    <t>includes energy, G&amp;T obligations, and Ancillary Services - adjusted to billing time periods</t>
  </si>
  <si>
    <t>includes energy and Ancillary Services, G&amp;T obligations charged separately - adjusted to billing time periods</t>
  </si>
  <si>
    <t>Table #14</t>
  </si>
  <si>
    <t>Table #15</t>
  </si>
  <si>
    <t>On-Peak periods as defined in specified rate schedule</t>
  </si>
  <si>
    <t xml:space="preserve"> PJM trading time periods - 7 AM to 11 PM weekdays, local time, x NERC </t>
  </si>
  <si>
    <t xml:space="preserve"> as per specific rate schedule</t>
  </si>
  <si>
    <t xml:space="preserve">   --- Other Analysis ---</t>
  </si>
  <si>
    <t xml:space="preserve">     holidays - New Year's, Memorial, 4th of July, Labor Day, Thanksgiving &amp; Christmas</t>
  </si>
  <si>
    <t>$/MW/day</t>
  </si>
  <si>
    <t>per kW/yr</t>
  </si>
  <si>
    <t>Transmission Cost</t>
  </si>
  <si>
    <t>Generation Capacity cost</t>
  </si>
  <si>
    <t># of summer days =</t>
  </si>
  <si>
    <t># of winter days =</t>
  </si>
  <si>
    <t># of summer months =</t>
  </si>
  <si>
    <t># of winter months =</t>
  </si>
  <si>
    <t>summer &gt;&gt;</t>
  </si>
  <si>
    <t>winter  &gt;&gt;</t>
  </si>
  <si>
    <t>ALL RATES</t>
  </si>
  <si>
    <t>Annual - including T&amp;G Obl $</t>
  </si>
  <si>
    <t># of Months and Days used in this analysis</t>
  </si>
  <si>
    <t>total # months =</t>
  </si>
  <si>
    <t>Annual -all hrs</t>
  </si>
  <si>
    <t>Annual - all hrs</t>
  </si>
  <si>
    <t>Annual - all hrs per MWh only</t>
  </si>
  <si>
    <t>Analysis time period =</t>
  </si>
  <si>
    <t>summer months</t>
  </si>
  <si>
    <t>winter months</t>
  </si>
  <si>
    <t>Transmission Obl - all months</t>
  </si>
  <si>
    <t>Including T&amp;G Obligation $</t>
  </si>
  <si>
    <t>on-peak</t>
  </si>
  <si>
    <t>off-peak</t>
  </si>
  <si>
    <t>Multiplier</t>
  </si>
  <si>
    <t>Constant</t>
  </si>
  <si>
    <t>Reconciliation of Customer Revenue and Supplier Payments</t>
  </si>
  <si>
    <t>Total Supplier Payment - in $1000</t>
  </si>
  <si>
    <t>Assumed Winning Bid Price =</t>
  </si>
  <si>
    <t>Payment Ratio - Winter =</t>
  </si>
  <si>
    <t>Payment Ratio - Summer =</t>
  </si>
  <si>
    <t>Table #16</t>
  </si>
  <si>
    <t>% Usage During PJM On-Peak Period</t>
  </si>
  <si>
    <t>Class Usage @ customer</t>
  </si>
  <si>
    <t>Summary of Average BGS Energy Only Costs @ customer - PJM Time Periods</t>
  </si>
  <si>
    <t>Summary of BGS Unit Costs @ customer</t>
  </si>
  <si>
    <t>Summary of Total BGS Costs by Season</t>
  </si>
  <si>
    <t>Energy Costs =</t>
  </si>
  <si>
    <t>Summary of Average BGS Energy Only Unit Costs @ customer - PJM Time Periods</t>
  </si>
  <si>
    <t>Summary of Obligation Costs Expressed as $/MWh @ customer (for non-demand rates only)</t>
  </si>
  <si>
    <t>All-In Average cost @ customer =</t>
  </si>
  <si>
    <t>All-In Average costs @ bulk system =</t>
  </si>
  <si>
    <t>SC3</t>
  </si>
  <si>
    <t>SC1</t>
  </si>
  <si>
    <t>SC5</t>
  </si>
  <si>
    <t>SC4</t>
  </si>
  <si>
    <t>SC6</t>
  </si>
  <si>
    <t>SC2 Dem</t>
  </si>
  <si>
    <t>SC2 ND</t>
  </si>
  <si>
    <t>% Usage During RECO On-Peak Billing Period</t>
  </si>
  <si>
    <t>Forward Energy Prices</t>
  </si>
  <si>
    <t>NYISO Forward Prices - Energy Only @ bulk system</t>
  </si>
  <si>
    <t>PJM Forward Prices - Energy Only @ bulk system</t>
  </si>
  <si>
    <t>Jan</t>
  </si>
  <si>
    <t>Feb</t>
  </si>
  <si>
    <t>Mar</t>
  </si>
  <si>
    <t>Apr</t>
  </si>
  <si>
    <t>Oct</t>
  </si>
  <si>
    <t>Nov</t>
  </si>
  <si>
    <t>Dec</t>
  </si>
  <si>
    <t>Summary of Average BGS Energy Only Unit Costs @ customer - RECO Time Periods</t>
  </si>
  <si>
    <t>RECO On pk</t>
  </si>
  <si>
    <t>RECO Off pk</t>
  </si>
  <si>
    <t>Generation Capacity Prices ($/MW/Day)</t>
  </si>
  <si>
    <t>PJM</t>
  </si>
  <si>
    <t>NYISO</t>
  </si>
  <si>
    <t>Weighted</t>
  </si>
  <si>
    <t>Average</t>
  </si>
  <si>
    <t>Ratio to All-In Cost</t>
  </si>
  <si>
    <t>$/kW/mo</t>
  </si>
  <si>
    <t>$/MW/mo</t>
  </si>
  <si>
    <t>Days</t>
  </si>
  <si>
    <t>Table #5</t>
  </si>
  <si>
    <t>Tariff Based On-Peak</t>
  </si>
  <si>
    <t>PJM based On-Peak kWh</t>
  </si>
  <si>
    <t>Delta between PJM and Tariff based On-Peak kWh</t>
  </si>
  <si>
    <t>Associated $</t>
  </si>
  <si>
    <t>On-Peak MWh</t>
  </si>
  <si>
    <t>Rate Increment/MWh</t>
  </si>
  <si>
    <t xml:space="preserve">Resulting avg gen cap cost = </t>
  </si>
  <si>
    <t>Gen Cost (per kW of Billed Demand/Month)</t>
  </si>
  <si>
    <t>Summary of BGS Unit Costs Less Transmission @ customer</t>
  </si>
  <si>
    <t>Includes energy, generation capacity obligation, and Ancillary Services - adjusted to billing time periods.  Transmission billed at retail tariff level.</t>
  </si>
  <si>
    <t>Includes energy and Ancillary Services, generation obligation charged separately - adjusted to billing time periods.</t>
  </si>
  <si>
    <t>Transmission billed at retail tariff level.  In $/MWh.</t>
  </si>
  <si>
    <t>Summary of Total BGS Costs by Season - Less Transmission</t>
  </si>
  <si>
    <t>/MWh</t>
  </si>
  <si>
    <t>Less Transmission</t>
  </si>
  <si>
    <t xml:space="preserve">BGS Cost </t>
  </si>
  <si>
    <t>Determination of Retail Rates to be Charged to BGS Customers</t>
  </si>
  <si>
    <t>Demand Charge ($/kW)</t>
  </si>
  <si>
    <t>All kWh (¢/kWh)</t>
  </si>
  <si>
    <t>Peak kWh (¢/kWh)</t>
  </si>
  <si>
    <t>Off-Peak kWh (¢/kWh)</t>
  </si>
  <si>
    <t>RECO Billing time periods =</t>
  </si>
  <si>
    <t>Total BGS Revenue (Excl SUT) - in $1000</t>
  </si>
  <si>
    <t>Supplier Price - Summer =</t>
  </si>
  <si>
    <t>Supplier Price - Winter =</t>
  </si>
  <si>
    <t>Table #17</t>
  </si>
  <si>
    <t>Table #18</t>
  </si>
  <si>
    <t>Table #19</t>
  </si>
  <si>
    <t>Table #20</t>
  </si>
  <si>
    <t>Table #21</t>
  </si>
  <si>
    <t>Table #22</t>
  </si>
  <si>
    <t>PJM Forward Prices</t>
  </si>
  <si>
    <t>Retail BGS Rates (excl SUT) (¢/kWh)</t>
  </si>
  <si>
    <t>Including Generation Obligation $</t>
  </si>
  <si>
    <t>(Continued)</t>
  </si>
  <si>
    <t>Weighted Average Forward Prices - Energy Only @ bulk</t>
  </si>
  <si>
    <t>Generation &amp; Transmission Obligations and Costs and Other Adjustments</t>
  </si>
  <si>
    <t>Charges</t>
  </si>
  <si>
    <t>% usage</t>
  </si>
  <si>
    <t>¢/kWh</t>
  </si>
  <si>
    <t>Calculated inversion =</t>
  </si>
  <si>
    <t>Current residential summer BGS charges</t>
  </si>
  <si>
    <t>Current Tariff and % of total summer usage</t>
  </si>
  <si>
    <t>Block 1 (0-250 kWh/month)</t>
  </si>
  <si>
    <t>Block 2 (&gt;250 kWh/m)</t>
  </si>
  <si>
    <t>Block 2 (251-700 kWh/month)</t>
  </si>
  <si>
    <t>Block 3 (&gt;700 kWh/month)</t>
  </si>
  <si>
    <t>Differences</t>
  </si>
  <si>
    <t>Chgs (¢/kWh)</t>
  </si>
  <si>
    <t>Block1</t>
  </si>
  <si>
    <t>Block2</t>
  </si>
  <si>
    <t>Block3</t>
  </si>
  <si>
    <t>Block 1</t>
  </si>
  <si>
    <t>Block 2</t>
  </si>
  <si>
    <t>Block 3</t>
  </si>
  <si>
    <t>Constant Blk 1</t>
  </si>
  <si>
    <t>Constant Blk 2</t>
  </si>
  <si>
    <t>Constant Blk 3</t>
  </si>
  <si>
    <t>NA</t>
  </si>
  <si>
    <r>
      <t xml:space="preserve">NON-DEMAND RATES </t>
    </r>
    <r>
      <rPr>
        <i/>
        <sz val="10"/>
        <rFont val="Arial"/>
        <family val="2"/>
      </rPr>
      <t>(includes energy, G&amp;T obligations, and Ancillary Services - adjusted to billing time periods in $/MWh)</t>
    </r>
  </si>
  <si>
    <r>
      <t xml:space="preserve">DEMAND RATES </t>
    </r>
    <r>
      <rPr>
        <i/>
        <sz val="10"/>
        <rFont val="Arial"/>
        <family val="2"/>
      </rPr>
      <t>(includes energy and Ancillary Services, G&amp;T obligations charged separately - adjusted to billing time periods in $/MWh)</t>
    </r>
  </si>
  <si>
    <t>Total FP</t>
  </si>
  <si>
    <t>based on Forwards prices corrected for basis differential &amp; losses</t>
  </si>
  <si>
    <t>based on Forwards prices corrected for basis differential &amp; losses - RECO billing time periods in $/MWh</t>
  </si>
  <si>
    <t>Zone to Western Hub</t>
  </si>
  <si>
    <t>Basis Differential</t>
  </si>
  <si>
    <r>
      <t xml:space="preserve"> </t>
    </r>
    <r>
      <rPr>
        <i/>
        <sz val="10"/>
        <rFont val="Arial"/>
        <family val="2"/>
      </rPr>
      <t>in $/MWh</t>
    </r>
  </si>
  <si>
    <t>(incl basis differential)</t>
  </si>
  <si>
    <t>Calculation of TOU Rate Adjustment to Reflect Difference between RECO and PJM Time Periods</t>
  </si>
  <si>
    <t>Off/On Peak</t>
  </si>
  <si>
    <t>LMP ratio</t>
  </si>
  <si>
    <t>in $/MWh (See Table 18)</t>
  </si>
  <si>
    <t>(see Table 19)</t>
  </si>
  <si>
    <r>
      <t>Determination of Retail Rates to be Charged to BGS Customers</t>
    </r>
    <r>
      <rPr>
        <b/>
        <i/>
        <sz val="8.6999999999999993"/>
        <rFont val="Arial"/>
        <family val="2"/>
      </rPr>
      <t xml:space="preserve"> (INCLUDING RETAIL TRANSMISSION RATES)</t>
    </r>
  </si>
  <si>
    <t>Transmission Rates (excl SUT)</t>
  </si>
  <si>
    <t>Cents/kWh</t>
  </si>
  <si>
    <t>$/kW</t>
  </si>
  <si>
    <t>Retail Shopping Credits (BGS and Transmission Rates) (excl SUT) (¢/kWh)</t>
  </si>
  <si>
    <t>Table #21A</t>
  </si>
  <si>
    <t>per MW-day in summer</t>
  </si>
  <si>
    <t>per MW-day in winter</t>
  </si>
  <si>
    <t>transmission for the Central/Western Division).</t>
  </si>
  <si>
    <t>Central/West transmission contribution to weighted</t>
  </si>
  <si>
    <t>Tranch MW</t>
  </si>
  <si>
    <t>RECO RFP MW</t>
  </si>
  <si>
    <t>RFP %</t>
  </si>
  <si>
    <t>RECO Avg.x'mission</t>
  </si>
  <si>
    <t>Cen/West x'mission cont</t>
  </si>
  <si>
    <t>Actual RECO x'mission</t>
  </si>
  <si>
    <t>$/MWh</t>
  </si>
  <si>
    <t>Retail BGS Rates (incl SUT) (¢/kWh)</t>
  </si>
  <si>
    <t>SUT @</t>
  </si>
  <si>
    <t>Weighted Average Price Calculation</t>
  </si>
  <si>
    <t>36 Month</t>
  </si>
  <si>
    <t>Tranches</t>
  </si>
  <si>
    <t>Price ¢/kWh</t>
  </si>
  <si>
    <t>Transmission</t>
  </si>
  <si>
    <t>BGS</t>
  </si>
  <si>
    <t>Weighted Avg BGS</t>
  </si>
  <si>
    <t>Weighted Avg Trans</t>
  </si>
  <si>
    <t>Weighted Avg Total Price</t>
  </si>
  <si>
    <t xml:space="preserve">                           Summer</t>
  </si>
  <si>
    <t xml:space="preserve">                           Winter</t>
  </si>
  <si>
    <t xml:space="preserve">                           Summer MWh</t>
  </si>
  <si>
    <t xml:space="preserve">                           Winter MWh</t>
  </si>
  <si>
    <t>Total Cost</t>
  </si>
  <si>
    <t>RECO</t>
  </si>
  <si>
    <t>Auction</t>
  </si>
  <si>
    <t>RFP</t>
  </si>
  <si>
    <t>ROCKLAND ELECTRIC COMPANY</t>
  </si>
  <si>
    <t>Line #</t>
  </si>
  <si>
    <t>Specific BGS-FP Auction &gt;&gt;</t>
  </si>
  <si>
    <t>Notes:</t>
  </si>
  <si>
    <t>From then-current auction</t>
  </si>
  <si>
    <t>Average transmission cost included in bid</t>
  </si>
  <si>
    <t>=(2) - (3)</t>
  </si>
  <si>
    <t>= (1) / Total Tranches * (4)</t>
  </si>
  <si>
    <t>= (1) / Total Tranches * (3)</t>
  </si>
  <si>
    <t>From then-current Bid Factor Spreadsheet</t>
  </si>
  <si>
    <t>Seasonal Payment Factors</t>
  </si>
  <si>
    <t>Transmission (¢/kWh)</t>
  </si>
  <si>
    <t>BGS (¢/kWh)</t>
  </si>
  <si>
    <t>Weighted Avg Total Price (¢/kWh)</t>
  </si>
  <si>
    <t>= (13) + (14)</t>
  </si>
  <si>
    <t>Average Cost (NJ Statewide Auction)</t>
  </si>
  <si>
    <t>= (1) / Total Tranches * (2) / 100 * (8) * (10) * 1,000</t>
  </si>
  <si>
    <t>= (1) / Total Tranches * (2) / 100* (9) * (11) * 1,000</t>
  </si>
  <si>
    <t>= sum(line 13) / (10) / 1000 * 100  rounded to 3 decimal places</t>
  </si>
  <si>
    <t>= sum(line 14) / (11) / 1000 * 100  rounded to 3 decimal places</t>
  </si>
  <si>
    <t>= sum(line 15) / (12) / 1000 * 100  rounded to 3 decimal places</t>
  </si>
  <si>
    <t>Average Cost (Including RECO RFP)</t>
  </si>
  <si>
    <t>= (20) - (21)</t>
  </si>
  <si>
    <t>= (19) / Total Tranches * (22)</t>
  </si>
  <si>
    <t>= (19) / Total Tranches * (21)</t>
  </si>
  <si>
    <t>= (23) + (24)</t>
  </si>
  <si>
    <t>Includes RECO RFP equivalent tranches</t>
  </si>
  <si>
    <t>Determination of Preliminary Retail Rates to be Charged to BGS Customers</t>
  </si>
  <si>
    <t>Net BGS</t>
  </si>
  <si>
    <t>Revenue</t>
  </si>
  <si>
    <t>Costs</t>
  </si>
  <si>
    <t>Difference</t>
  </si>
  <si>
    <t>Adjustment</t>
  </si>
  <si>
    <t>Factors</t>
  </si>
  <si>
    <t>Spreadsheet Error Checking</t>
  </si>
  <si>
    <t>Total RECO FP</t>
  </si>
  <si>
    <t>Eastern Division</t>
  </si>
  <si>
    <t>Central/Western Division</t>
  </si>
  <si>
    <t>Total Supplier Payments - in $1000</t>
  </si>
  <si>
    <t>Less Transmission Credits</t>
  </si>
  <si>
    <t>Net BGS Cost</t>
  </si>
  <si>
    <t>Supplier Payments - in $1000</t>
  </si>
  <si>
    <t>(Eastern Division)</t>
  </si>
  <si>
    <t>(from Table 15 of Bid Factor Spreadsheet)</t>
  </si>
  <si>
    <t>Table A</t>
  </si>
  <si>
    <t>(excludes transmission).</t>
  </si>
  <si>
    <t>Table B</t>
  </si>
  <si>
    <t>Table C</t>
  </si>
  <si>
    <t>Table D</t>
  </si>
  <si>
    <t>Table E</t>
  </si>
  <si>
    <t>Final Retail BGS Rates (¢/kWh)</t>
  </si>
  <si>
    <t>Rates Excluding SUT:</t>
  </si>
  <si>
    <t>Rates Including SUT:</t>
  </si>
  <si>
    <t>Table F</t>
  </si>
  <si>
    <t>Calculation of Rate Adjustment Factors</t>
  </si>
  <si>
    <t>Rate</t>
  </si>
  <si>
    <t>/MWh*</t>
  </si>
  <si>
    <t>/MWh**</t>
  </si>
  <si>
    <t>* Price from Table A (which does not include</t>
  </si>
  <si>
    <t xml:space="preserve">   Marginal Losses)</t>
  </si>
  <si>
    <t>All-In Average costs @ tansmission nodes =</t>
  </si>
  <si>
    <t>Ratio of BGS Unit Costs Less Transmission @ customer to All-In Average Cost @ transmission nodes</t>
  </si>
  <si>
    <t xml:space="preserve">         If total $ were split on a per MWh basis (on transmission node MWhs):</t>
  </si>
  <si>
    <t>per MWh @ transmission nodes</t>
  </si>
  <si>
    <t>per MWh at tranmission node system (per metered MWh at transmission node)</t>
  </si>
  <si>
    <t>Winning Bid Price (¢/kWh)*</t>
  </si>
  <si>
    <t>Applicable Customer Usage @ tansmission nodes</t>
  </si>
  <si>
    <t>Ratio of BGS Unit Costs @ customer to All-In Average Cost @ transmission nodes</t>
  </si>
  <si>
    <t>All-In Average costs @ transmission nodes =</t>
  </si>
  <si>
    <t>per MWH at transmission nodes (per metered MWh at transmission node)</t>
  </si>
  <si>
    <t>All-In Average costs @ Trans node =</t>
  </si>
  <si>
    <t>Expansion Factor (net</t>
  </si>
  <si>
    <t>Includes energy, G&amp;T obligations, and Ancillary Services - adjusted to billing time periods</t>
  </si>
  <si>
    <t>Includes energy and Ancillary Services, G&amp;T obligations charged separately - adjusted to billing time periods</t>
  </si>
  <si>
    <t xml:space="preserve"> Per RECO's Third Party Supplier Agreement adjusted for PJM 500kV losses and inadvertent energy.</t>
  </si>
  <si>
    <t>No Longer Used</t>
  </si>
  <si>
    <t>&lt;&lt;&lt; Year of the auction</t>
  </si>
  <si>
    <t>**</t>
  </si>
  <si>
    <t>*  Includes Impact of PJM Marginal Losses</t>
  </si>
  <si>
    <t>% usage during Off-Peak period (from 2009 profiles)</t>
  </si>
  <si>
    <t xml:space="preserve"> Based on 6/11 to 5/12 Forwards @ PJM West as of 6/7/10</t>
  </si>
  <si>
    <t xml:space="preserve"> Based on 6/11 to 5/12 Forwards @ NYISO Zone G as of 6/8/10</t>
  </si>
  <si>
    <t>2010 Forecasted Billed Sales</t>
  </si>
  <si>
    <t>** Auction results set to 1.0 to avoid using an atypical result from the current 12-month forward prices.</t>
  </si>
</sst>
</file>

<file path=xl/styles.xml><?xml version="1.0" encoding="utf-8"?>
<styleSheet xmlns="http://schemas.openxmlformats.org/spreadsheetml/2006/main">
  <numFmts count="1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0.000"/>
    <numFmt numFmtId="166" formatCode="0.00000"/>
    <numFmt numFmtId="167" formatCode="0.0000"/>
    <numFmt numFmtId="168" formatCode="0.000%"/>
    <numFmt numFmtId="170" formatCode="#,##0.0"/>
    <numFmt numFmtId="171" formatCode="_(&quot;$&quot;* #,##0_);_(&quot;$&quot;* \(#,##0\);_(&quot;$&quot;* &quot;-&quot;??_);_(@_)"/>
    <numFmt numFmtId="173" formatCode="_(&quot;$&quot;* #,##0.000_);_(&quot;$&quot;* \(#,##0.000\);_(&quot;$&quot;* &quot;-&quot;??_);_(@_)"/>
    <numFmt numFmtId="174" formatCode="_(&quot;$&quot;* #,##0.0000_);_(&quot;$&quot;* \(#,##0.0000\);_(&quot;$&quot;* &quot;-&quot;??_);_(@_)"/>
    <numFmt numFmtId="175" formatCode="0.0%"/>
    <numFmt numFmtId="176" formatCode="_(* #,##0_);_(* \(#,##0\);_(* &quot;-&quot;??_);_(@_)"/>
    <numFmt numFmtId="177" formatCode="_(* #,##0.000_);_(* \(#,##0.000\);_(* &quot;-&quot;??_);_(@_)"/>
    <numFmt numFmtId="178" formatCode="_(* #,##0.0000_);_(* \(#,##0.0000\);_(* &quot;-&quot;??_);_(@_)"/>
    <numFmt numFmtId="179" formatCode="&quot;$&quot;#,##0.00"/>
    <numFmt numFmtId="181" formatCode="_(* #,##0.000000_);_(* \(#,##0.000000\);_(* &quot;-&quot;??_);_(@_)"/>
    <numFmt numFmtId="182" formatCode="#,##0.000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i/>
      <u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i/>
      <sz val="8.6999999999999993"/>
      <name val="Arial"/>
      <family val="2"/>
    </font>
    <font>
      <b/>
      <i/>
      <sz val="12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u val="singleAccounting"/>
      <sz val="10"/>
      <name val="Arial"/>
      <family val="2"/>
    </font>
    <font>
      <b/>
      <i/>
      <u/>
      <sz val="1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/>
    <xf numFmtId="0" fontId="2" fillId="0" borderId="0" xfId="0" quotePrefix="1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quotePrefix="1" applyFont="1"/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9" fontId="3" fillId="0" borderId="0" xfId="3" applyFont="1"/>
    <xf numFmtId="43" fontId="2" fillId="0" borderId="0" xfId="1" quotePrefix="1" applyFont="1" applyBorder="1"/>
    <xf numFmtId="0" fontId="7" fillId="0" borderId="0" xfId="0" applyFont="1" applyAlignment="1">
      <alignment horizontal="left"/>
    </xf>
    <xf numFmtId="43" fontId="2" fillId="0" borderId="0" xfId="1" applyFont="1"/>
    <xf numFmtId="17" fontId="7" fillId="0" borderId="0" xfId="0" applyNumberFormat="1" applyFont="1" applyAlignment="1">
      <alignment horizontal="left"/>
    </xf>
    <xf numFmtId="44" fontId="2" fillId="0" borderId="0" xfId="0" applyNumberFormat="1" applyFont="1"/>
    <xf numFmtId="178" fontId="2" fillId="0" borderId="0" xfId="1" applyNumberFormat="1" applyFont="1"/>
    <xf numFmtId="0" fontId="3" fillId="0" borderId="0" xfId="0" quotePrefix="1" applyFont="1" applyAlignment="1">
      <alignment horizontal="left"/>
    </xf>
    <xf numFmtId="0" fontId="6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/>
    <xf numFmtId="175" fontId="7" fillId="0" borderId="0" xfId="3" applyNumberFormat="1" applyFont="1"/>
    <xf numFmtId="0" fontId="2" fillId="0" borderId="1" xfId="0" applyFont="1" applyBorder="1"/>
    <xf numFmtId="0" fontId="7" fillId="0" borderId="1" xfId="0" applyFont="1" applyBorder="1" applyAlignment="1">
      <alignment horizontal="left"/>
    </xf>
    <xf numFmtId="171" fontId="9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quotePrefix="1" applyFont="1" applyAlignment="1">
      <alignment horizontal="left"/>
    </xf>
    <xf numFmtId="0" fontId="2" fillId="0" borderId="0" xfId="0" applyFont="1" applyAlignment="1">
      <alignment horizontal="right"/>
    </xf>
    <xf numFmtId="0" fontId="7" fillId="0" borderId="1" xfId="0" quotePrefix="1" applyFont="1" applyBorder="1" applyAlignment="1">
      <alignment horizontal="left"/>
    </xf>
    <xf numFmtId="44" fontId="7" fillId="0" borderId="0" xfId="0" applyNumberFormat="1" applyFont="1"/>
    <xf numFmtId="0" fontId="6" fillId="0" borderId="0" xfId="0" applyFont="1"/>
    <xf numFmtId="43" fontId="9" fillId="0" borderId="0" xfId="0" applyNumberFormat="1" applyFont="1"/>
    <xf numFmtId="17" fontId="7" fillId="0" borderId="0" xfId="0" quotePrefix="1" applyNumberFormat="1" applyFont="1" applyAlignment="1">
      <alignment horizontal="left"/>
    </xf>
    <xf numFmtId="44" fontId="9" fillId="0" borderId="0" xfId="0" applyNumberFormat="1" applyFont="1"/>
    <xf numFmtId="168" fontId="6" fillId="0" borderId="0" xfId="3" applyNumberFormat="1" applyFont="1" applyFill="1"/>
    <xf numFmtId="0" fontId="2" fillId="0" borderId="0" xfId="0" applyFont="1" applyAlignment="1">
      <alignment horizontal="left"/>
    </xf>
    <xf numFmtId="171" fontId="2" fillId="0" borderId="0" xfId="0" applyNumberFormat="1" applyFont="1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3" fillId="0" borderId="0" xfId="0" applyFont="1" applyAlignment="1"/>
    <xf numFmtId="3" fontId="7" fillId="0" borderId="0" xfId="0" applyNumberFormat="1" applyFont="1"/>
    <xf numFmtId="177" fontId="2" fillId="0" borderId="0" xfId="1" quotePrefix="1" applyNumberFormat="1" applyFont="1" applyBorder="1"/>
    <xf numFmtId="177" fontId="2" fillId="0" borderId="0" xfId="1" quotePrefix="1" applyNumberFormat="1" applyFont="1" applyFill="1" applyBorder="1"/>
    <xf numFmtId="173" fontId="2" fillId="0" borderId="0" xfId="0" applyNumberFormat="1" applyFont="1"/>
    <xf numFmtId="177" fontId="2" fillId="0" borderId="0" xfId="0" applyNumberFormat="1" applyFont="1"/>
    <xf numFmtId="0" fontId="3" fillId="0" borderId="0" xfId="0" applyFont="1" applyFill="1"/>
    <xf numFmtId="0" fontId="2" fillId="0" borderId="0" xfId="0" applyFont="1" applyFill="1" applyAlignment="1">
      <alignment horizontal="centerContinuous"/>
    </xf>
    <xf numFmtId="0" fontId="2" fillId="0" borderId="0" xfId="0" quotePrefix="1" applyFont="1" applyFill="1" applyAlignment="1">
      <alignment horizontal="right"/>
    </xf>
    <xf numFmtId="44" fontId="2" fillId="0" borderId="0" xfId="2" quotePrefix="1" applyFont="1" applyFill="1" applyBorder="1"/>
    <xf numFmtId="0" fontId="11" fillId="0" borderId="0" xfId="0" applyFont="1" applyBorder="1"/>
    <xf numFmtId="0" fontId="4" fillId="0" borderId="0" xfId="0" quotePrefix="1" applyFont="1" applyAlignment="1">
      <alignment horizontal="left"/>
    </xf>
    <xf numFmtId="0" fontId="3" fillId="0" borderId="0" xfId="0" quotePrefix="1" applyFont="1" applyAlignment="1">
      <alignment horizontal="center" wrapText="1"/>
    </xf>
    <xf numFmtId="17" fontId="3" fillId="0" borderId="0" xfId="0" quotePrefix="1" applyNumberFormat="1" applyFont="1" applyAlignment="1">
      <alignment horizontal="left"/>
    </xf>
    <xf numFmtId="0" fontId="8" fillId="0" borderId="0" xfId="0" applyFont="1"/>
    <xf numFmtId="0" fontId="9" fillId="0" borderId="0" xfId="0" applyFont="1" applyFill="1" applyBorder="1"/>
    <xf numFmtId="165" fontId="9" fillId="0" borderId="0" xfId="0" applyNumberFormat="1" applyFont="1" applyFill="1" applyBorder="1"/>
    <xf numFmtId="171" fontId="7" fillId="0" borderId="0" xfId="2" applyNumberFormat="1" applyFont="1" applyFill="1"/>
    <xf numFmtId="171" fontId="7" fillId="0" borderId="0" xfId="2" quotePrefix="1" applyNumberFormat="1" applyFont="1"/>
    <xf numFmtId="171" fontId="7" fillId="0" borderId="0" xfId="0" applyNumberFormat="1" applyFont="1" applyFill="1"/>
    <xf numFmtId="171" fontId="14" fillId="0" borderId="0" xfId="0" applyNumberFormat="1" applyFont="1" applyFill="1"/>
    <xf numFmtId="171" fontId="7" fillId="0" borderId="0" xfId="0" applyNumberFormat="1" applyFont="1"/>
    <xf numFmtId="43" fontId="14" fillId="0" borderId="0" xfId="1" applyFont="1" applyAlignment="1">
      <alignment horizontal="right"/>
    </xf>
    <xf numFmtId="43" fontId="14" fillId="0" borderId="0" xfId="1" applyFont="1" applyFill="1" applyAlignment="1">
      <alignment horizontal="right"/>
    </xf>
    <xf numFmtId="171" fontId="7" fillId="0" borderId="0" xfId="0" quotePrefix="1" applyNumberFormat="1" applyFont="1" applyFill="1" applyAlignment="1">
      <alignment horizontal="left"/>
    </xf>
    <xf numFmtId="171" fontId="2" fillId="0" borderId="0" xfId="0" applyNumberFormat="1" applyFont="1" applyFill="1"/>
    <xf numFmtId="171" fontId="7" fillId="0" borderId="0" xfId="2" applyNumberFormat="1" applyFont="1"/>
    <xf numFmtId="0" fontId="9" fillId="0" borderId="0" xfId="0" applyFont="1" applyBorder="1"/>
    <xf numFmtId="0" fontId="7" fillId="0" borderId="0" xfId="0" applyFont="1" applyFill="1"/>
    <xf numFmtId="0" fontId="8" fillId="0" borderId="0" xfId="0" applyFont="1" applyAlignment="1">
      <alignment horizontal="right"/>
    </xf>
    <xf numFmtId="0" fontId="8" fillId="0" borderId="0" xfId="0" quotePrefix="1" applyFont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0" xfId="0" applyFont="1" applyFill="1" applyAlignment="1">
      <alignment horizontal="right"/>
    </xf>
    <xf numFmtId="0" fontId="2" fillId="0" borderId="0" xfId="0" applyFont="1" applyFill="1"/>
    <xf numFmtId="3" fontId="9" fillId="0" borderId="0" xfId="0" applyNumberFormat="1" applyFont="1" applyFill="1"/>
    <xf numFmtId="3" fontId="12" fillId="0" borderId="0" xfId="0" applyNumberFormat="1" applyFont="1" applyFill="1"/>
    <xf numFmtId="44" fontId="6" fillId="0" borderId="0" xfId="0" quotePrefix="1" applyNumberFormat="1" applyFont="1" applyFill="1"/>
    <xf numFmtId="0" fontId="2" fillId="2" borderId="0" xfId="0" quotePrefix="1" applyFont="1" applyFill="1" applyBorder="1" applyAlignment="1">
      <alignment horizontal="left"/>
    </xf>
    <xf numFmtId="165" fontId="13" fillId="0" borderId="15" xfId="0" applyNumberFormat="1" applyFont="1" applyFill="1" applyBorder="1"/>
    <xf numFmtId="0" fontId="3" fillId="0" borderId="0" xfId="0" quotePrefix="1" applyFont="1" applyFill="1" applyAlignment="1">
      <alignment horizontal="left"/>
    </xf>
    <xf numFmtId="0" fontId="7" fillId="0" borderId="0" xfId="0" quotePrefix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quotePrefix="1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12" fillId="0" borderId="0" xfId="0" applyFont="1" applyFill="1"/>
    <xf numFmtId="0" fontId="9" fillId="0" borderId="0" xfId="0" applyFont="1" applyFill="1"/>
    <xf numFmtId="0" fontId="2" fillId="0" borderId="7" xfId="0" applyFont="1" applyBorder="1" applyAlignment="1">
      <alignment horizontal="left"/>
    </xf>
    <xf numFmtId="0" fontId="9" fillId="0" borderId="8" xfId="0" applyFont="1" applyBorder="1"/>
    <xf numFmtId="0" fontId="9" fillId="0" borderId="11" xfId="0" applyFont="1" applyBorder="1"/>
    <xf numFmtId="0" fontId="9" fillId="0" borderId="13" xfId="0" applyFont="1" applyBorder="1"/>
    <xf numFmtId="165" fontId="1" fillId="0" borderId="0" xfId="0" applyNumberFormat="1" applyFont="1" applyFill="1"/>
    <xf numFmtId="2" fontId="1" fillId="0" borderId="0" xfId="0" applyNumberFormat="1" applyFont="1" applyFill="1"/>
    <xf numFmtId="9" fontId="1" fillId="0" borderId="0" xfId="1" applyNumberFormat="1" applyFont="1" applyFill="1"/>
    <xf numFmtId="0" fontId="6" fillId="3" borderId="0" xfId="0" applyFont="1" applyFill="1" applyAlignment="1">
      <alignment horizontal="left"/>
    </xf>
    <xf numFmtId="0" fontId="2" fillId="3" borderId="0" xfId="0" quotePrefix="1" applyFont="1" applyFill="1" applyBorder="1"/>
    <xf numFmtId="0" fontId="2" fillId="3" borderId="0" xfId="0" quotePrefix="1" applyFont="1" applyFill="1" applyBorder="1" applyAlignment="1">
      <alignment horizontal="left"/>
    </xf>
    <xf numFmtId="17" fontId="2" fillId="3" borderId="0" xfId="0" applyNumberFormat="1" applyFont="1" applyFill="1"/>
    <xf numFmtId="0" fontId="8" fillId="0" borderId="0" xfId="0" applyFont="1" applyFill="1"/>
    <xf numFmtId="0" fontId="6" fillId="4" borderId="0" xfId="0" quotePrefix="1" applyFont="1" applyFill="1" applyAlignment="1">
      <alignment horizontal="left"/>
    </xf>
    <xf numFmtId="0" fontId="2" fillId="4" borderId="0" xfId="0" quotePrefix="1" applyFont="1" applyFill="1" applyAlignment="1">
      <alignment horizontal="left"/>
    </xf>
    <xf numFmtId="17" fontId="2" fillId="4" borderId="0" xfId="0" applyNumberFormat="1" applyFont="1" applyFill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5" fillId="0" borderId="0" xfId="0" applyFont="1"/>
    <xf numFmtId="1" fontId="2" fillId="0" borderId="0" xfId="1" applyNumberFormat="1" applyFont="1"/>
    <xf numFmtId="0" fontId="1" fillId="0" borderId="0" xfId="0" applyFont="1" applyFill="1"/>
    <xf numFmtId="39" fontId="1" fillId="3" borderId="0" xfId="0" quotePrefix="1" applyNumberFormat="1" applyFont="1" applyFill="1"/>
    <xf numFmtId="0" fontId="1" fillId="2" borderId="0" xfId="0" applyFont="1" applyFill="1"/>
    <xf numFmtId="0" fontId="1" fillId="0" borderId="0" xfId="0" applyFont="1" applyAlignment="1">
      <alignment wrapText="1"/>
    </xf>
    <xf numFmtId="17" fontId="1" fillId="0" borderId="0" xfId="0" applyNumberFormat="1" applyFont="1"/>
    <xf numFmtId="10" fontId="1" fillId="0" borderId="0" xfId="3" quotePrefix="1" applyNumberFormat="1" applyFont="1"/>
    <xf numFmtId="10" fontId="1" fillId="0" borderId="0" xfId="3" quotePrefix="1" applyNumberFormat="1" applyFont="1" applyFill="1"/>
    <xf numFmtId="175" fontId="1" fillId="0" borderId="0" xfId="3" quotePrefix="1" applyNumberFormat="1" applyFont="1"/>
    <xf numFmtId="9" fontId="1" fillId="0" borderId="0" xfId="3" quotePrefix="1" applyFont="1"/>
    <xf numFmtId="10" fontId="1" fillId="0" borderId="0" xfId="0" applyNumberFormat="1" applyFont="1"/>
    <xf numFmtId="10" fontId="1" fillId="0" borderId="0" xfId="3" applyNumberFormat="1" applyFont="1" applyFill="1"/>
    <xf numFmtId="9" fontId="1" fillId="0" borderId="0" xfId="3" applyNumberFormat="1" applyFont="1"/>
    <xf numFmtId="9" fontId="1" fillId="3" borderId="0" xfId="3" quotePrefix="1" applyFont="1" applyFill="1"/>
    <xf numFmtId="9" fontId="1" fillId="0" borderId="0" xfId="3" quotePrefix="1" applyFont="1" applyAlignment="1">
      <alignment horizontal="center"/>
    </xf>
    <xf numFmtId="10" fontId="1" fillId="0" borderId="0" xfId="3" quotePrefix="1" applyNumberFormat="1" applyFont="1" applyFill="1" applyAlignment="1">
      <alignment horizontal="right"/>
    </xf>
    <xf numFmtId="3" fontId="1" fillId="0" borderId="0" xfId="0" applyNumberFormat="1" applyFont="1"/>
    <xf numFmtId="0" fontId="1" fillId="0" borderId="0" xfId="0" applyFont="1" applyAlignment="1">
      <alignment horizontal="right"/>
    </xf>
    <xf numFmtId="3" fontId="1" fillId="0" borderId="0" xfId="0" quotePrefix="1" applyNumberFormat="1" applyFont="1"/>
    <xf numFmtId="0" fontId="1" fillId="0" borderId="0" xfId="0" applyFont="1" applyFill="1" applyAlignment="1">
      <alignment horizontal="right"/>
    </xf>
    <xf numFmtId="3" fontId="1" fillId="0" borderId="0" xfId="0" quotePrefix="1" applyNumberFormat="1" applyFont="1" applyFill="1"/>
    <xf numFmtId="0" fontId="1" fillId="0" borderId="0" xfId="0" quotePrefix="1" applyFont="1" applyFill="1" applyAlignment="1">
      <alignment horizontal="right"/>
    </xf>
    <xf numFmtId="3" fontId="1" fillId="0" borderId="0" xfId="0" quotePrefix="1" applyNumberFormat="1" applyFont="1" applyBorder="1"/>
    <xf numFmtId="17" fontId="1" fillId="0" borderId="0" xfId="0" applyNumberFormat="1" applyFont="1" applyAlignment="1">
      <alignment horizontal="center"/>
    </xf>
    <xf numFmtId="37" fontId="1" fillId="0" borderId="0" xfId="0" applyNumberFormat="1" applyFont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Alignment="1"/>
    <xf numFmtId="0" fontId="1" fillId="0" borderId="1" xfId="0" applyFont="1" applyBorder="1"/>
    <xf numFmtId="3" fontId="1" fillId="0" borderId="1" xfId="0" applyNumberFormat="1" applyFont="1" applyBorder="1"/>
    <xf numFmtId="4" fontId="1" fillId="0" borderId="0" xfId="0" applyNumberFormat="1" applyFont="1" applyFill="1"/>
    <xf numFmtId="3" fontId="1" fillId="0" borderId="0" xfId="0" applyNumberFormat="1" applyFont="1" applyBorder="1"/>
    <xf numFmtId="0" fontId="1" fillId="0" borderId="0" xfId="0" applyFont="1" applyBorder="1" applyAlignment="1">
      <alignment horizontal="right"/>
    </xf>
    <xf numFmtId="3" fontId="1" fillId="0" borderId="0" xfId="0" quotePrefix="1" applyNumberFormat="1" applyFont="1" applyBorder="1" applyAlignment="1">
      <alignment horizontal="right"/>
    </xf>
    <xf numFmtId="166" fontId="1" fillId="0" borderId="0" xfId="0" applyNumberFormat="1" applyFont="1" applyBorder="1"/>
    <xf numFmtId="0" fontId="1" fillId="0" borderId="5" xfId="0" applyFont="1" applyBorder="1" applyAlignment="1"/>
    <xf numFmtId="4" fontId="1" fillId="0" borderId="0" xfId="0" applyNumberFormat="1" applyFont="1"/>
    <xf numFmtId="9" fontId="1" fillId="0" borderId="0" xfId="3" applyFont="1"/>
    <xf numFmtId="0" fontId="1" fillId="0" borderId="0" xfId="0" applyFont="1" applyAlignment="1">
      <alignment horizontal="center"/>
    </xf>
    <xf numFmtId="166" fontId="1" fillId="0" borderId="0" xfId="0" applyNumberFormat="1" applyFont="1"/>
    <xf numFmtId="166" fontId="1" fillId="0" borderId="0" xfId="0" applyNumberFormat="1" applyFont="1" applyFill="1"/>
    <xf numFmtId="0" fontId="1" fillId="0" borderId="0" xfId="0" quotePrefix="1" applyFont="1" applyBorder="1" applyAlignment="1">
      <alignment horizontal="right"/>
    </xf>
    <xf numFmtId="44" fontId="1" fillId="0" borderId="0" xfId="2" quotePrefix="1" applyFont="1"/>
    <xf numFmtId="171" fontId="1" fillId="0" borderId="0" xfId="2" applyNumberFormat="1" applyFont="1" applyBorder="1"/>
    <xf numFmtId="17" fontId="1" fillId="0" borderId="0" xfId="0" applyNumberFormat="1" applyFont="1" applyAlignment="1">
      <alignment horizontal="right"/>
    </xf>
    <xf numFmtId="44" fontId="1" fillId="0" borderId="0" xfId="0" applyNumberFormat="1" applyFont="1" applyBorder="1"/>
    <xf numFmtId="44" fontId="1" fillId="0" borderId="0" xfId="2" applyFont="1"/>
    <xf numFmtId="171" fontId="1" fillId="0" borderId="0" xfId="0" applyNumberFormat="1" applyFont="1" applyBorder="1"/>
    <xf numFmtId="44" fontId="1" fillId="0" borderId="0" xfId="2" quotePrefix="1" applyNumberFormat="1" applyFont="1" applyFill="1"/>
    <xf numFmtId="171" fontId="1" fillId="0" borderId="0" xfId="0" applyNumberFormat="1" applyFont="1"/>
    <xf numFmtId="171" fontId="1" fillId="0" borderId="0" xfId="2" quotePrefix="1" applyNumberFormat="1" applyFont="1"/>
    <xf numFmtId="171" fontId="1" fillId="0" borderId="0" xfId="2" applyNumberFormat="1" applyFont="1"/>
    <xf numFmtId="171" fontId="1" fillId="0" borderId="0" xfId="2" quotePrefix="1" applyNumberFormat="1" applyFont="1" applyFill="1"/>
    <xf numFmtId="39" fontId="1" fillId="0" borderId="0" xfId="0" applyNumberFormat="1" applyFont="1"/>
    <xf numFmtId="44" fontId="1" fillId="0" borderId="0" xfId="2" quotePrefix="1" applyNumberFormat="1" applyFont="1"/>
    <xf numFmtId="0" fontId="1" fillId="4" borderId="0" xfId="0" applyFont="1" applyFill="1"/>
    <xf numFmtId="182" fontId="1" fillId="0" borderId="0" xfId="0" applyNumberFormat="1" applyFont="1" applyFill="1"/>
    <xf numFmtId="182" fontId="1" fillId="0" borderId="0" xfId="0" applyNumberFormat="1" applyFont="1"/>
    <xf numFmtId="170" fontId="1" fillId="0" borderId="0" xfId="0" applyNumberFormat="1" applyFont="1"/>
    <xf numFmtId="182" fontId="7" fillId="0" borderId="0" xfId="0" applyNumberFormat="1" applyFont="1" applyAlignment="1">
      <alignment horizontal="right"/>
    </xf>
    <xf numFmtId="14" fontId="1" fillId="0" borderId="0" xfId="1" applyNumberFormat="1" applyFont="1"/>
    <xf numFmtId="176" fontId="1" fillId="0" borderId="0" xfId="0" applyNumberFormat="1" applyFont="1" applyFill="1"/>
    <xf numFmtId="170" fontId="1" fillId="0" borderId="0" xfId="0" applyNumberFormat="1" applyFont="1" applyAlignment="1">
      <alignment horizontal="right"/>
    </xf>
    <xf numFmtId="43" fontId="1" fillId="0" borderId="0" xfId="1" applyFont="1"/>
    <xf numFmtId="0" fontId="1" fillId="0" borderId="0" xfId="0" quotePrefix="1" applyFont="1" applyAlignment="1">
      <alignment horizontal="right"/>
    </xf>
    <xf numFmtId="171" fontId="1" fillId="0" borderId="0" xfId="2" applyNumberFormat="1" applyFont="1" applyFill="1"/>
    <xf numFmtId="0" fontId="1" fillId="0" borderId="0" xfId="0" quotePrefix="1" applyFont="1"/>
    <xf numFmtId="43" fontId="1" fillId="0" borderId="0" xfId="0" applyNumberFormat="1" applyFont="1"/>
    <xf numFmtId="7" fontId="1" fillId="0" borderId="0" xfId="2" applyNumberFormat="1" applyFont="1" applyFill="1"/>
    <xf numFmtId="0" fontId="1" fillId="0" borderId="0" xfId="0" quotePrefix="1" applyFont="1" applyAlignment="1">
      <alignment horizontal="left"/>
    </xf>
    <xf numFmtId="14" fontId="1" fillId="0" borderId="0" xfId="0" applyNumberFormat="1" applyFont="1"/>
    <xf numFmtId="0" fontId="1" fillId="0" borderId="0" xfId="0" quotePrefix="1" applyFont="1" applyFill="1" applyAlignment="1">
      <alignment horizontal="left"/>
    </xf>
    <xf numFmtId="0" fontId="1" fillId="0" borderId="0" xfId="0" applyFont="1" applyFill="1" applyAlignment="1">
      <alignment horizontal="centerContinuous"/>
    </xf>
    <xf numFmtId="0" fontId="1" fillId="0" borderId="0" xfId="0" applyFont="1" applyFill="1" applyBorder="1" applyAlignment="1">
      <alignment horizontal="centerContinuous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165" fontId="1" fillId="0" borderId="0" xfId="0" applyNumberFormat="1" applyFont="1"/>
    <xf numFmtId="10" fontId="1" fillId="0" borderId="0" xfId="0" applyNumberFormat="1" applyFont="1" applyFill="1" applyBorder="1"/>
    <xf numFmtId="10" fontId="1" fillId="0" borderId="0" xfId="0" applyNumberFormat="1" applyFont="1" applyFill="1"/>
    <xf numFmtId="7" fontId="1" fillId="0" borderId="0" xfId="0" applyNumberFormat="1" applyFont="1" applyFill="1"/>
    <xf numFmtId="44" fontId="1" fillId="0" borderId="0" xfId="2" quotePrefix="1" applyFont="1" applyFill="1"/>
    <xf numFmtId="171" fontId="1" fillId="0" borderId="0" xfId="0" applyNumberFormat="1" applyFont="1" applyFill="1"/>
    <xf numFmtId="5" fontId="1" fillId="0" borderId="0" xfId="0" applyNumberFormat="1" applyFont="1" applyFill="1"/>
    <xf numFmtId="44" fontId="1" fillId="0" borderId="0" xfId="2" quotePrefix="1" applyFont="1" applyFill="1" applyAlignment="1">
      <alignment horizontal="left"/>
    </xf>
    <xf numFmtId="17" fontId="1" fillId="0" borderId="0" xfId="0" applyNumberFormat="1" applyFont="1" applyFill="1"/>
    <xf numFmtId="17" fontId="1" fillId="0" borderId="0" xfId="0" applyNumberFormat="1" applyFont="1" applyFill="1" applyAlignment="1">
      <alignment horizontal="right"/>
    </xf>
    <xf numFmtId="173" fontId="1" fillId="0" borderId="0" xfId="2" quotePrefix="1" applyNumberFormat="1" applyFont="1" applyFill="1"/>
    <xf numFmtId="44" fontId="1" fillId="0" borderId="0" xfId="2" applyNumberFormat="1" applyFont="1"/>
    <xf numFmtId="44" fontId="1" fillId="0" borderId="0" xfId="2" quotePrefix="1" applyFont="1" applyAlignment="1">
      <alignment horizontal="left"/>
    </xf>
    <xf numFmtId="171" fontId="1" fillId="0" borderId="0" xfId="2" quotePrefix="1" applyNumberFormat="1" applyFont="1" applyFill="1" applyAlignment="1">
      <alignment horizontal="left"/>
    </xf>
    <xf numFmtId="174" fontId="1" fillId="0" borderId="0" xfId="0" applyNumberFormat="1" applyFont="1" applyFill="1"/>
    <xf numFmtId="43" fontId="1" fillId="0" borderId="0" xfId="1" quotePrefix="1" applyFont="1" applyBorder="1"/>
    <xf numFmtId="43" fontId="1" fillId="0" borderId="0" xfId="1" quotePrefix="1" applyFont="1"/>
    <xf numFmtId="43" fontId="1" fillId="0" borderId="0" xfId="1" applyFont="1" applyFill="1" applyBorder="1" applyAlignment="1">
      <alignment horizontal="right"/>
    </xf>
    <xf numFmtId="177" fontId="1" fillId="0" borderId="0" xfId="1" quotePrefix="1" applyNumberFormat="1" applyFont="1" applyBorder="1"/>
    <xf numFmtId="177" fontId="1" fillId="0" borderId="0" xfId="1" quotePrefix="1" applyNumberFormat="1" applyFont="1"/>
    <xf numFmtId="44" fontId="1" fillId="0" borderId="0" xfId="0" applyNumberFormat="1" applyFont="1"/>
    <xf numFmtId="17" fontId="1" fillId="0" borderId="0" xfId="0" quotePrefix="1" applyNumberFormat="1" applyFont="1" applyAlignment="1">
      <alignment horizontal="right"/>
    </xf>
    <xf numFmtId="0" fontId="1" fillId="0" borderId="1" xfId="0" applyFont="1" applyBorder="1" applyAlignment="1">
      <alignment horizontal="right"/>
    </xf>
    <xf numFmtId="173" fontId="1" fillId="0" borderId="0" xfId="2" quotePrefix="1" applyNumberFormat="1" applyFont="1"/>
    <xf numFmtId="7" fontId="1" fillId="0" borderId="0" xfId="0" applyNumberFormat="1" applyFont="1"/>
    <xf numFmtId="177" fontId="1" fillId="0" borderId="0" xfId="0" applyNumberFormat="1" applyFont="1"/>
    <xf numFmtId="171" fontId="1" fillId="0" borderId="0" xfId="2" quotePrefix="1" applyNumberFormat="1" applyFont="1" applyAlignment="1">
      <alignment horizontal="left"/>
    </xf>
    <xf numFmtId="171" fontId="1" fillId="0" borderId="0" xfId="0" quotePrefix="1" applyNumberFormat="1" applyFont="1" applyFill="1" applyAlignment="1">
      <alignment horizontal="left"/>
    </xf>
    <xf numFmtId="9" fontId="1" fillId="0" borderId="0" xfId="3" applyFont="1" applyFill="1"/>
    <xf numFmtId="171" fontId="1" fillId="0" borderId="0" xfId="3" applyNumberFormat="1" applyFont="1" applyFill="1"/>
    <xf numFmtId="43" fontId="1" fillId="0" borderId="0" xfId="1" quotePrefix="1" applyFont="1" applyFill="1"/>
    <xf numFmtId="0" fontId="1" fillId="0" borderId="5" xfId="0" applyFont="1" applyBorder="1" applyAlignment="1">
      <alignment horizontal="right"/>
    </xf>
    <xf numFmtId="4" fontId="1" fillId="0" borderId="5" xfId="0" applyNumberFormat="1" applyFont="1" applyFill="1" applyBorder="1"/>
    <xf numFmtId="9" fontId="1" fillId="0" borderId="0" xfId="3" applyNumberFormat="1" applyFont="1" applyFill="1"/>
    <xf numFmtId="175" fontId="1" fillId="0" borderId="0" xfId="0" applyNumberFormat="1" applyFont="1"/>
    <xf numFmtId="43" fontId="1" fillId="0" borderId="0" xfId="2" applyNumberFormat="1" applyFont="1" applyFill="1"/>
    <xf numFmtId="7" fontId="1" fillId="0" borderId="0" xfId="3" applyNumberFormat="1" applyFont="1" applyFill="1"/>
    <xf numFmtId="7" fontId="1" fillId="0" borderId="0" xfId="3" applyNumberFormat="1" applyFont="1"/>
    <xf numFmtId="2" fontId="1" fillId="0" borderId="9" xfId="0" applyNumberFormat="1" applyFont="1" applyBorder="1"/>
    <xf numFmtId="0" fontId="1" fillId="0" borderId="10" xfId="0" applyFont="1" applyBorder="1"/>
    <xf numFmtId="0" fontId="1" fillId="2" borderId="0" xfId="0" applyFont="1" applyFill="1" applyBorder="1"/>
    <xf numFmtId="0" fontId="1" fillId="0" borderId="12" xfId="0" applyFont="1" applyBorder="1"/>
    <xf numFmtId="176" fontId="1" fillId="0" borderId="0" xfId="1" applyNumberFormat="1" applyFont="1"/>
    <xf numFmtId="0" fontId="1" fillId="0" borderId="11" xfId="0" applyFont="1" applyBorder="1"/>
    <xf numFmtId="179" fontId="1" fillId="0" borderId="0" xfId="0" applyNumberFormat="1" applyFont="1" applyBorder="1"/>
    <xf numFmtId="2" fontId="1" fillId="0" borderId="6" xfId="0" applyNumberFormat="1" applyFont="1" applyBorder="1"/>
    <xf numFmtId="0" fontId="1" fillId="0" borderId="14" xfId="0" applyFont="1" applyBorder="1"/>
    <xf numFmtId="2" fontId="1" fillId="0" borderId="0" xfId="0" applyNumberFormat="1" applyFont="1" applyBorder="1"/>
    <xf numFmtId="0" fontId="1" fillId="0" borderId="7" xfId="0" applyFont="1" applyBorder="1"/>
    <xf numFmtId="179" fontId="1" fillId="2" borderId="0" xfId="0" applyNumberFormat="1" applyFont="1" applyFill="1" applyAlignment="1">
      <alignment horizontal="left"/>
    </xf>
    <xf numFmtId="175" fontId="1" fillId="0" borderId="0" xfId="0" applyNumberFormat="1" applyFont="1" applyFill="1"/>
    <xf numFmtId="165" fontId="1" fillId="0" borderId="0" xfId="0" quotePrefix="1" applyNumberFormat="1" applyFont="1" applyFill="1" applyAlignment="1">
      <alignment horizontal="right"/>
    </xf>
    <xf numFmtId="2" fontId="1" fillId="0" borderId="0" xfId="0" quotePrefix="1" applyNumberFormat="1" applyFont="1" applyFill="1" applyAlignment="1">
      <alignment horizontal="right"/>
    </xf>
    <xf numFmtId="179" fontId="1" fillId="0" borderId="0" xfId="0" applyNumberFormat="1" applyFont="1"/>
    <xf numFmtId="181" fontId="1" fillId="0" borderId="0" xfId="1" quotePrefix="1" applyNumberFormat="1" applyFont="1"/>
    <xf numFmtId="178" fontId="1" fillId="0" borderId="0" xfId="1" quotePrefix="1" applyNumberFormat="1" applyFont="1"/>
    <xf numFmtId="167" fontId="9" fillId="0" borderId="0" xfId="0" applyNumberFormat="1" applyFont="1" applyFill="1"/>
    <xf numFmtId="165" fontId="13" fillId="0" borderId="0" xfId="0" applyNumberFormat="1" applyFont="1" applyFill="1" applyBorder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right"/>
    </xf>
    <xf numFmtId="0" fontId="9" fillId="0" borderId="0" xfId="0" quotePrefix="1" applyFont="1" applyFill="1" applyAlignment="1">
      <alignment horizontal="left"/>
    </xf>
    <xf numFmtId="165" fontId="9" fillId="0" borderId="0" xfId="0" applyNumberFormat="1" applyFont="1" applyFill="1"/>
    <xf numFmtId="165" fontId="13" fillId="0" borderId="0" xfId="0" applyNumberFormat="1" applyFont="1" applyFill="1"/>
    <xf numFmtId="9" fontId="9" fillId="0" borderId="0" xfId="3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12" fillId="0" borderId="0" xfId="0" quotePrefix="1" applyFont="1" applyFill="1" applyAlignment="1">
      <alignment horizontal="left"/>
    </xf>
    <xf numFmtId="0" fontId="12" fillId="0" borderId="0" xfId="0" quotePrefix="1" applyFont="1" applyFill="1" applyAlignment="1">
      <alignment horizontal="right"/>
    </xf>
    <xf numFmtId="0" fontId="13" fillId="0" borderId="0" xfId="0" applyFont="1" applyFill="1"/>
    <xf numFmtId="0" fontId="9" fillId="0" borderId="0" xfId="0" applyFont="1" applyFill="1" applyAlignment="1">
      <alignment horizontal="left"/>
    </xf>
    <xf numFmtId="177" fontId="1" fillId="0" borderId="0" xfId="1" quotePrefix="1" applyNumberFormat="1" applyFont="1" applyFill="1" applyBorder="1"/>
    <xf numFmtId="0" fontId="1" fillId="0" borderId="0" xfId="0" applyFont="1" applyFill="1" applyAlignment="1">
      <alignment horizontal="left"/>
    </xf>
    <xf numFmtId="44" fontId="1" fillId="0" borderId="0" xfId="0" quotePrefix="1" applyNumberFormat="1" applyFont="1" applyFill="1"/>
    <xf numFmtId="179" fontId="1" fillId="0" borderId="0" xfId="0" applyNumberFormat="1" applyFont="1" applyAlignment="1">
      <alignment horizontal="left"/>
    </xf>
    <xf numFmtId="165" fontId="1" fillId="0" borderId="0" xfId="0" applyNumberFormat="1" applyFont="1" applyFill="1" applyAlignment="1">
      <alignment horizontal="right"/>
    </xf>
    <xf numFmtId="171" fontId="7" fillId="0" borderId="0" xfId="2" quotePrefix="1" applyNumberFormat="1" applyFont="1" applyFill="1"/>
    <xf numFmtId="0" fontId="1" fillId="0" borderId="0" xfId="0" applyFont="1" applyFill="1" applyAlignment="1">
      <alignment horizontal="center"/>
    </xf>
    <xf numFmtId="39" fontId="1" fillId="0" borderId="0" xfId="0" applyNumberFormat="1" applyFont="1" applyFill="1"/>
    <xf numFmtId="0" fontId="16" fillId="0" borderId="0" xfId="0" applyFont="1"/>
    <xf numFmtId="2" fontId="17" fillId="0" borderId="0" xfId="0" applyNumberFormat="1" applyFont="1" applyFill="1"/>
    <xf numFmtId="0" fontId="17" fillId="0" borderId="0" xfId="0" applyFont="1"/>
    <xf numFmtId="179" fontId="17" fillId="0" borderId="0" xfId="0" applyNumberFormat="1" applyFont="1"/>
    <xf numFmtId="2" fontId="17" fillId="0" borderId="0" xfId="0" applyNumberFormat="1" applyFont="1"/>
  </cellXfs>
  <cellStyles count="8">
    <cellStyle name="Comma" xfId="1" builtinId="3"/>
    <cellStyle name="Comma 2" xfId="6"/>
    <cellStyle name="Currency" xfId="2" builtinId="4"/>
    <cellStyle name="Currency 2" xfId="7"/>
    <cellStyle name="Normal" xfId="0" builtinId="0"/>
    <cellStyle name="Normal 2" xfId="4"/>
    <cellStyle name="Percent" xfId="3" builtinId="5"/>
    <cellStyle name="Percent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7030A0"/>
  </sheetPr>
  <dimension ref="A1:AB608"/>
  <sheetViews>
    <sheetView tabSelected="1" zoomScale="120" zoomScaleNormal="120" zoomScaleSheetLayoutView="70" workbookViewId="0">
      <selection activeCell="B620" sqref="B620"/>
    </sheetView>
  </sheetViews>
  <sheetFormatPr defaultRowHeight="12.75"/>
  <cols>
    <col min="1" max="1" width="10.7109375" style="108" customWidth="1"/>
    <col min="2" max="2" width="27.85546875" style="109" customWidth="1"/>
    <col min="3" max="3" width="13.5703125" style="109" customWidth="1"/>
    <col min="4" max="5" width="12.7109375" style="109" customWidth="1"/>
    <col min="6" max="7" width="13.42578125" style="109" customWidth="1"/>
    <col min="8" max="8" width="12.7109375" style="109" customWidth="1"/>
    <col min="9" max="9" width="14.85546875" style="109" customWidth="1"/>
    <col min="10" max="10" width="12.7109375" style="109" customWidth="1"/>
    <col min="11" max="11" width="17.28515625" style="109" customWidth="1"/>
    <col min="12" max="12" width="15.140625" style="109" bestFit="1" customWidth="1"/>
    <col min="13" max="13" width="14.85546875" style="109" bestFit="1" customWidth="1"/>
    <col min="14" max="14" width="12" style="109" customWidth="1"/>
    <col min="15" max="15" width="11.140625" style="109" customWidth="1"/>
    <col min="16" max="16" width="9.85546875" style="109" bestFit="1" customWidth="1"/>
    <col min="17" max="17" width="10.42578125" style="109" bestFit="1" customWidth="1"/>
    <col min="18" max="18" width="9.85546875" style="109" bestFit="1" customWidth="1"/>
    <col min="19" max="19" width="10.7109375" style="109" customWidth="1"/>
    <col min="20" max="22" width="11.7109375" style="109" customWidth="1"/>
    <col min="23" max="23" width="9.140625" style="109"/>
    <col min="24" max="24" width="11" style="109" bestFit="1" customWidth="1"/>
    <col min="25" max="16384" width="9.140625" style="109"/>
  </cols>
  <sheetData>
    <row r="1" spans="1:28" ht="15.75">
      <c r="B1" s="55" t="str">
        <f>"Development of BGS Cost and Bid Factors for Rates Effective June 1, " &amp;M1</f>
        <v>Development of BGS Cost and Bid Factors for Rates Effective June 1, 2012</v>
      </c>
      <c r="G1" s="110"/>
      <c r="M1" s="111">
        <v>2012</v>
      </c>
      <c r="N1" s="109" t="s">
        <v>351</v>
      </c>
    </row>
    <row r="2" spans="1:28" ht="15">
      <c r="A2" s="8"/>
      <c r="B2" s="1"/>
      <c r="I2" s="54"/>
    </row>
    <row r="3" spans="1:28">
      <c r="E3" s="83" t="str">
        <f>"Based on " &amp;M1-2  &amp;" Load Profile Information"</f>
        <v>Based on 2010 Load Profile Information</v>
      </c>
      <c r="F3" s="112"/>
      <c r="G3" s="112"/>
    </row>
    <row r="4" spans="1:28">
      <c r="A4" s="97" t="s">
        <v>62</v>
      </c>
      <c r="B4" s="98" t="s">
        <v>125</v>
      </c>
      <c r="C4" s="113"/>
      <c r="E4" s="4" t="s">
        <v>55</v>
      </c>
      <c r="L4" s="2"/>
      <c r="M4" s="81" t="s">
        <v>354</v>
      </c>
      <c r="N4" s="114"/>
      <c r="O4" s="114"/>
      <c r="P4" s="114"/>
    </row>
    <row r="5" spans="1:28" ht="38.25">
      <c r="A5" s="10"/>
      <c r="C5" s="6" t="s">
        <v>45</v>
      </c>
      <c r="D5" s="6" t="s">
        <v>45</v>
      </c>
      <c r="E5" s="6" t="s">
        <v>45</v>
      </c>
      <c r="F5" s="6" t="s">
        <v>45</v>
      </c>
      <c r="G5" s="4" t="s">
        <v>91</v>
      </c>
      <c r="H5" s="115"/>
      <c r="I5" s="6" t="s">
        <v>45</v>
      </c>
      <c r="J5" s="6"/>
      <c r="K5" s="6"/>
      <c r="L5" s="4"/>
      <c r="M5" s="6" t="s">
        <v>45</v>
      </c>
      <c r="N5" s="6" t="s">
        <v>45</v>
      </c>
      <c r="O5" s="6" t="s">
        <v>45</v>
      </c>
      <c r="P5" s="6" t="s">
        <v>45</v>
      </c>
      <c r="Q5" s="4" t="s">
        <v>38</v>
      </c>
      <c r="R5" s="115"/>
      <c r="S5" s="6" t="s">
        <v>45</v>
      </c>
      <c r="T5" s="6"/>
    </row>
    <row r="6" spans="1:28">
      <c r="A6" s="10"/>
      <c r="B6" s="5"/>
      <c r="C6" s="105" t="s">
        <v>136</v>
      </c>
      <c r="D6" s="105" t="s">
        <v>137</v>
      </c>
      <c r="E6" s="105" t="s">
        <v>135</v>
      </c>
      <c r="F6" s="105" t="s">
        <v>141</v>
      </c>
      <c r="G6" s="105" t="s">
        <v>138</v>
      </c>
      <c r="H6" s="105" t="s">
        <v>139</v>
      </c>
      <c r="I6" s="105" t="s">
        <v>140</v>
      </c>
      <c r="J6" s="106"/>
      <c r="K6" s="106"/>
      <c r="L6" s="3"/>
      <c r="M6" s="106" t="str">
        <f t="shared" ref="M6:S6" si="0">+C6</f>
        <v>SC1</v>
      </c>
      <c r="N6" s="106" t="str">
        <f t="shared" si="0"/>
        <v>SC5</v>
      </c>
      <c r="O6" s="106" t="str">
        <f t="shared" si="0"/>
        <v>SC3</v>
      </c>
      <c r="P6" s="106" t="str">
        <f t="shared" si="0"/>
        <v>SC2 ND</v>
      </c>
      <c r="Q6" s="106" t="str">
        <f t="shared" si="0"/>
        <v>SC4</v>
      </c>
      <c r="R6" s="106" t="str">
        <f t="shared" si="0"/>
        <v>SC6</v>
      </c>
      <c r="S6" s="106" t="str">
        <f t="shared" si="0"/>
        <v>SC2 Dem</v>
      </c>
      <c r="T6" s="106"/>
    </row>
    <row r="7" spans="1:28">
      <c r="A7" s="10"/>
    </row>
    <row r="8" spans="1:28">
      <c r="A8" s="10"/>
      <c r="B8" s="116" t="s">
        <v>0</v>
      </c>
      <c r="C8" s="117">
        <v>0.4716227171315534</v>
      </c>
      <c r="D8" s="117">
        <v>0.44410153441210454</v>
      </c>
      <c r="E8" s="118">
        <v>0.43148589210896848</v>
      </c>
      <c r="F8" s="118">
        <v>0.46899820938921694</v>
      </c>
      <c r="G8" s="118">
        <v>0.28845331699999999</v>
      </c>
      <c r="H8" s="118">
        <f>G8</f>
        <v>0.28845331699999999</v>
      </c>
      <c r="I8" s="117">
        <v>0.51181252228209151</v>
      </c>
      <c r="J8" s="119"/>
      <c r="K8" s="119"/>
      <c r="L8" s="120"/>
      <c r="M8" s="119">
        <f t="shared" ref="M8:S8" si="1">1-C8</f>
        <v>0.52837728286844654</v>
      </c>
      <c r="N8" s="119">
        <f t="shared" si="1"/>
        <v>0.55589846558789546</v>
      </c>
      <c r="O8" s="119">
        <f t="shared" si="1"/>
        <v>0.56851410789103152</v>
      </c>
      <c r="P8" s="119">
        <f t="shared" si="1"/>
        <v>0.53100179061078312</v>
      </c>
      <c r="Q8" s="119">
        <f t="shared" si="1"/>
        <v>0.71154668300000001</v>
      </c>
      <c r="R8" s="119">
        <f t="shared" si="1"/>
        <v>0.71154668300000001</v>
      </c>
      <c r="S8" s="119">
        <f t="shared" si="1"/>
        <v>0.48818747771790849</v>
      </c>
      <c r="T8" s="120"/>
      <c r="U8" s="121"/>
      <c r="V8" s="121"/>
      <c r="W8" s="121"/>
      <c r="X8" s="121"/>
      <c r="Y8" s="121"/>
      <c r="Z8" s="121"/>
      <c r="AA8" s="121"/>
      <c r="AB8" s="121"/>
    </row>
    <row r="9" spans="1:28">
      <c r="A9" s="10"/>
      <c r="B9" s="116" t="s">
        <v>1</v>
      </c>
      <c r="C9" s="117">
        <v>0.5100986009206443</v>
      </c>
      <c r="D9" s="117">
        <v>0.48164852832238952</v>
      </c>
      <c r="E9" s="118">
        <v>0.48173130382787638</v>
      </c>
      <c r="F9" s="118">
        <v>0.51005395842886236</v>
      </c>
      <c r="G9" s="118">
        <v>0.28851893699999998</v>
      </c>
      <c r="H9" s="118">
        <f t="shared" ref="H9:H19" si="2">G9</f>
        <v>0.28851893699999998</v>
      </c>
      <c r="I9" s="117">
        <v>0.53183619653754588</v>
      </c>
      <c r="J9" s="119"/>
      <c r="K9" s="119"/>
      <c r="L9" s="120"/>
      <c r="M9" s="119">
        <f t="shared" ref="M9:M19" si="3">1-C9</f>
        <v>0.4899013990793557</v>
      </c>
      <c r="N9" s="119">
        <f t="shared" ref="N9:N19" si="4">1-D9</f>
        <v>0.51835147167761053</v>
      </c>
      <c r="O9" s="119">
        <f t="shared" ref="O9:O19" si="5">1-E9</f>
        <v>0.51826869617212368</v>
      </c>
      <c r="P9" s="119">
        <f t="shared" ref="P9:P19" si="6">1-F9</f>
        <v>0.48994604157113764</v>
      </c>
      <c r="Q9" s="119">
        <f t="shared" ref="Q9:Q19" si="7">1-G9</f>
        <v>0.71148106300000002</v>
      </c>
      <c r="R9" s="119">
        <f t="shared" ref="R9:R19" si="8">1-H9</f>
        <v>0.71148106300000002</v>
      </c>
      <c r="S9" s="119">
        <f t="shared" ref="S9:S19" si="9">1-I9</f>
        <v>0.46816380346245412</v>
      </c>
      <c r="T9" s="120"/>
      <c r="U9" s="121"/>
      <c r="V9" s="121"/>
      <c r="W9" s="121"/>
      <c r="X9" s="121"/>
      <c r="Y9" s="121"/>
      <c r="Z9" s="121"/>
      <c r="AA9" s="121"/>
      <c r="AB9" s="121"/>
    </row>
    <row r="10" spans="1:28">
      <c r="A10" s="10"/>
      <c r="B10" s="116" t="s">
        <v>2</v>
      </c>
      <c r="C10" s="117">
        <v>0.52750696061535196</v>
      </c>
      <c r="D10" s="117">
        <v>0.49413727958040288</v>
      </c>
      <c r="E10" s="118">
        <v>0.49379693232814059</v>
      </c>
      <c r="F10" s="118">
        <v>0.55084295063583066</v>
      </c>
      <c r="G10" s="118">
        <v>0.30476145100000007</v>
      </c>
      <c r="H10" s="118">
        <f t="shared" si="2"/>
        <v>0.30476145100000007</v>
      </c>
      <c r="I10" s="117">
        <v>0.56056624850003034</v>
      </c>
      <c r="J10" s="119"/>
      <c r="K10" s="119"/>
      <c r="L10" s="120"/>
      <c r="M10" s="119">
        <f t="shared" si="3"/>
        <v>0.47249303938464804</v>
      </c>
      <c r="N10" s="119">
        <f t="shared" si="4"/>
        <v>0.50586272041959712</v>
      </c>
      <c r="O10" s="119">
        <f t="shared" si="5"/>
        <v>0.50620306767185941</v>
      </c>
      <c r="P10" s="119">
        <f t="shared" si="6"/>
        <v>0.44915704936416934</v>
      </c>
      <c r="Q10" s="119">
        <f t="shared" si="7"/>
        <v>0.69523854899999993</v>
      </c>
      <c r="R10" s="119">
        <f t="shared" si="8"/>
        <v>0.69523854899999993</v>
      </c>
      <c r="S10" s="119">
        <f t="shared" si="9"/>
        <v>0.43943375149996966</v>
      </c>
      <c r="T10" s="120"/>
      <c r="U10" s="121"/>
      <c r="V10" s="121"/>
      <c r="W10" s="121"/>
      <c r="X10" s="121"/>
      <c r="Y10" s="121"/>
      <c r="Z10" s="121"/>
      <c r="AA10" s="121"/>
      <c r="AB10" s="121"/>
    </row>
    <row r="11" spans="1:28">
      <c r="A11" s="10"/>
      <c r="B11" s="116" t="s">
        <v>3</v>
      </c>
      <c r="C11" s="117">
        <v>0.50024748113317274</v>
      </c>
      <c r="D11" s="117">
        <v>0.47998855848546224</v>
      </c>
      <c r="E11" s="118">
        <v>0.4748257724389458</v>
      </c>
      <c r="F11" s="118">
        <v>0.57343290387350787</v>
      </c>
      <c r="G11" s="118">
        <v>0.2780229480000001</v>
      </c>
      <c r="H11" s="118">
        <f t="shared" si="2"/>
        <v>0.2780229480000001</v>
      </c>
      <c r="I11" s="117">
        <v>0.54512136924966481</v>
      </c>
      <c r="J11" s="119"/>
      <c r="K11" s="119"/>
      <c r="L11" s="120"/>
      <c r="M11" s="119">
        <f t="shared" si="3"/>
        <v>0.49975251886682726</v>
      </c>
      <c r="N11" s="119">
        <f t="shared" si="4"/>
        <v>0.52001144151453782</v>
      </c>
      <c r="O11" s="119">
        <f t="shared" si="5"/>
        <v>0.52517422756105425</v>
      </c>
      <c r="P11" s="119">
        <f t="shared" si="6"/>
        <v>0.42656709612649213</v>
      </c>
      <c r="Q11" s="119">
        <f t="shared" si="7"/>
        <v>0.72197705199999995</v>
      </c>
      <c r="R11" s="119">
        <f t="shared" si="8"/>
        <v>0.72197705199999995</v>
      </c>
      <c r="S11" s="119">
        <f t="shared" si="9"/>
        <v>0.45487863075033519</v>
      </c>
      <c r="T11" s="120"/>
      <c r="U11" s="121"/>
      <c r="V11" s="121"/>
      <c r="W11" s="121"/>
      <c r="X11" s="121"/>
      <c r="Y11" s="121"/>
      <c r="Z11" s="121"/>
      <c r="AA11" s="121"/>
      <c r="AB11" s="121"/>
    </row>
    <row r="12" spans="1:28">
      <c r="A12" s="10"/>
      <c r="B12" s="116" t="s">
        <v>4</v>
      </c>
      <c r="C12" s="117">
        <v>0.48930751673832401</v>
      </c>
      <c r="D12" s="117">
        <v>0.47360449989279246</v>
      </c>
      <c r="E12" s="118">
        <v>0.4884757985398846</v>
      </c>
      <c r="F12" s="118">
        <v>0.56107085564600134</v>
      </c>
      <c r="G12" s="118">
        <v>0.22268466899999995</v>
      </c>
      <c r="H12" s="118">
        <f t="shared" si="2"/>
        <v>0.22268466899999995</v>
      </c>
      <c r="I12" s="117">
        <v>0.52629857441429895</v>
      </c>
      <c r="J12" s="119"/>
      <c r="K12" s="119"/>
      <c r="L12" s="120"/>
      <c r="M12" s="119">
        <f t="shared" si="3"/>
        <v>0.51069248326167593</v>
      </c>
      <c r="N12" s="119">
        <f t="shared" si="4"/>
        <v>0.52639550010720759</v>
      </c>
      <c r="O12" s="119">
        <f t="shared" si="5"/>
        <v>0.51152420146011535</v>
      </c>
      <c r="P12" s="119">
        <f t="shared" si="6"/>
        <v>0.43892914435399866</v>
      </c>
      <c r="Q12" s="119">
        <f t="shared" si="7"/>
        <v>0.77731533100000005</v>
      </c>
      <c r="R12" s="119">
        <f t="shared" si="8"/>
        <v>0.77731533100000005</v>
      </c>
      <c r="S12" s="119">
        <f t="shared" si="9"/>
        <v>0.47370142558570105</v>
      </c>
      <c r="T12" s="120"/>
      <c r="U12" s="121"/>
      <c r="V12" s="121"/>
      <c r="W12" s="121"/>
      <c r="X12" s="121"/>
      <c r="Y12" s="121"/>
      <c r="Z12" s="121"/>
      <c r="AA12" s="121"/>
      <c r="AB12" s="121"/>
    </row>
    <row r="13" spans="1:28">
      <c r="A13" s="10"/>
      <c r="B13" s="116" t="s">
        <v>5</v>
      </c>
      <c r="C13" s="117">
        <v>0.5463047595842605</v>
      </c>
      <c r="D13" s="117">
        <v>0.52456135517135571</v>
      </c>
      <c r="E13" s="118">
        <v>0.53692280354377719</v>
      </c>
      <c r="F13" s="118">
        <v>0.59130328350886596</v>
      </c>
      <c r="G13" s="118">
        <v>0.21970706999999995</v>
      </c>
      <c r="H13" s="118">
        <f t="shared" si="2"/>
        <v>0.21970706999999995</v>
      </c>
      <c r="I13" s="117">
        <v>0.55650757014157648</v>
      </c>
      <c r="J13" s="119"/>
      <c r="K13" s="119"/>
      <c r="L13" s="120"/>
      <c r="M13" s="119">
        <f t="shared" si="3"/>
        <v>0.4536952404157395</v>
      </c>
      <c r="N13" s="119">
        <f t="shared" si="4"/>
        <v>0.47543864482864429</v>
      </c>
      <c r="O13" s="119">
        <f t="shared" si="5"/>
        <v>0.46307719645622281</v>
      </c>
      <c r="P13" s="119">
        <f t="shared" si="6"/>
        <v>0.40869671649113404</v>
      </c>
      <c r="Q13" s="119">
        <f t="shared" si="7"/>
        <v>0.78029293000000011</v>
      </c>
      <c r="R13" s="119">
        <f t="shared" si="8"/>
        <v>0.78029293000000011</v>
      </c>
      <c r="S13" s="119">
        <f t="shared" si="9"/>
        <v>0.44349242985842352</v>
      </c>
      <c r="T13" s="120"/>
      <c r="U13" s="121"/>
      <c r="V13" s="121"/>
      <c r="W13" s="121"/>
      <c r="X13" s="121"/>
      <c r="Y13" s="121"/>
      <c r="Z13" s="121"/>
      <c r="AA13" s="121"/>
      <c r="AB13" s="121"/>
    </row>
    <row r="14" spans="1:28">
      <c r="A14" s="10"/>
      <c r="B14" s="116" t="s">
        <v>6</v>
      </c>
      <c r="C14" s="117">
        <v>0.48448922810383488</v>
      </c>
      <c r="D14" s="117">
        <v>0.46861576583637737</v>
      </c>
      <c r="E14" s="118">
        <v>0.47822579811162735</v>
      </c>
      <c r="F14" s="118">
        <v>0.50576605468342994</v>
      </c>
      <c r="G14" s="118">
        <v>0.18455254100000001</v>
      </c>
      <c r="H14" s="118">
        <f t="shared" si="2"/>
        <v>0.18455254100000001</v>
      </c>
      <c r="I14" s="117">
        <v>0.49532818118020056</v>
      </c>
      <c r="J14" s="119"/>
      <c r="K14" s="119"/>
      <c r="L14" s="120"/>
      <c r="M14" s="119">
        <f t="shared" si="3"/>
        <v>0.51551077189616512</v>
      </c>
      <c r="N14" s="119">
        <f t="shared" si="4"/>
        <v>0.53138423416362257</v>
      </c>
      <c r="O14" s="119">
        <f t="shared" si="5"/>
        <v>0.52177420188837265</v>
      </c>
      <c r="P14" s="119">
        <f t="shared" si="6"/>
        <v>0.49423394531657006</v>
      </c>
      <c r="Q14" s="119">
        <f t="shared" si="7"/>
        <v>0.81544745900000004</v>
      </c>
      <c r="R14" s="119">
        <f t="shared" si="8"/>
        <v>0.81544745900000004</v>
      </c>
      <c r="S14" s="119">
        <f t="shared" si="9"/>
        <v>0.50467181881979939</v>
      </c>
      <c r="T14" s="120"/>
      <c r="U14" s="121"/>
      <c r="V14" s="121"/>
      <c r="W14" s="121"/>
      <c r="X14" s="121"/>
      <c r="Y14" s="121"/>
      <c r="Z14" s="121"/>
      <c r="AA14" s="121"/>
      <c r="AB14" s="121"/>
    </row>
    <row r="15" spans="1:28">
      <c r="A15" s="10"/>
      <c r="B15" s="116" t="s">
        <v>7</v>
      </c>
      <c r="C15" s="117">
        <v>0.59149412468506268</v>
      </c>
      <c r="D15" s="117">
        <v>0.56551261436404654</v>
      </c>
      <c r="E15" s="118">
        <v>0.57373696538768004</v>
      </c>
      <c r="F15" s="118">
        <v>0.60862697911037178</v>
      </c>
      <c r="G15" s="118">
        <v>0.23815223799999993</v>
      </c>
      <c r="H15" s="118">
        <f t="shared" si="2"/>
        <v>0.23815223799999993</v>
      </c>
      <c r="I15" s="117">
        <v>0.5634399506122697</v>
      </c>
      <c r="J15" s="119"/>
      <c r="K15" s="119"/>
      <c r="L15" s="120"/>
      <c r="M15" s="119">
        <f t="shared" si="3"/>
        <v>0.40850587531493732</v>
      </c>
      <c r="N15" s="119">
        <f t="shared" si="4"/>
        <v>0.43448738563595346</v>
      </c>
      <c r="O15" s="119">
        <f t="shared" si="5"/>
        <v>0.42626303461231996</v>
      </c>
      <c r="P15" s="119">
        <f t="shared" si="6"/>
        <v>0.39137302088962822</v>
      </c>
      <c r="Q15" s="119">
        <f t="shared" si="7"/>
        <v>0.76184776200000004</v>
      </c>
      <c r="R15" s="119">
        <f t="shared" si="8"/>
        <v>0.76184776200000004</v>
      </c>
      <c r="S15" s="119">
        <f t="shared" si="9"/>
        <v>0.4365600493877303</v>
      </c>
      <c r="T15" s="120"/>
      <c r="U15" s="121"/>
      <c r="V15" s="121"/>
      <c r="W15" s="121"/>
      <c r="X15" s="121"/>
      <c r="Y15" s="121"/>
      <c r="Z15" s="121"/>
      <c r="AA15" s="121"/>
      <c r="AB15" s="121"/>
    </row>
    <row r="16" spans="1:28">
      <c r="A16" s="10"/>
      <c r="B16" s="116" t="s">
        <v>8</v>
      </c>
      <c r="C16" s="117">
        <v>0.54295196149405878</v>
      </c>
      <c r="D16" s="117">
        <v>0.51420554655003681</v>
      </c>
      <c r="E16" s="118">
        <v>0.53159622192601452</v>
      </c>
      <c r="F16" s="118">
        <v>0.58983548190320068</v>
      </c>
      <c r="G16" s="118">
        <v>0.28032413400000011</v>
      </c>
      <c r="H16" s="118">
        <f t="shared" si="2"/>
        <v>0.28032413400000011</v>
      </c>
      <c r="I16" s="117">
        <v>0.54345174753361258</v>
      </c>
      <c r="J16" s="119"/>
      <c r="K16" s="119"/>
      <c r="L16" s="120"/>
      <c r="M16" s="119">
        <f t="shared" si="3"/>
        <v>0.45704803850594122</v>
      </c>
      <c r="N16" s="119">
        <f t="shared" si="4"/>
        <v>0.48579445344996319</v>
      </c>
      <c r="O16" s="119">
        <f t="shared" si="5"/>
        <v>0.46840377807398548</v>
      </c>
      <c r="P16" s="119">
        <f t="shared" si="6"/>
        <v>0.41016451809679932</v>
      </c>
      <c r="Q16" s="119">
        <f t="shared" si="7"/>
        <v>0.71967586599999989</v>
      </c>
      <c r="R16" s="119">
        <f t="shared" si="8"/>
        <v>0.71967586599999989</v>
      </c>
      <c r="S16" s="119">
        <f t="shared" si="9"/>
        <v>0.45654825246638742</v>
      </c>
      <c r="T16" s="120"/>
      <c r="U16" s="121"/>
      <c r="V16" s="121"/>
      <c r="W16" s="121"/>
      <c r="X16" s="121"/>
      <c r="Y16" s="121"/>
      <c r="Z16" s="121"/>
      <c r="AA16" s="121"/>
      <c r="AB16" s="121"/>
    </row>
    <row r="17" spans="1:28">
      <c r="A17" s="10"/>
      <c r="B17" s="116" t="s">
        <v>9</v>
      </c>
      <c r="C17" s="117">
        <v>0.49916288283376825</v>
      </c>
      <c r="D17" s="117">
        <v>0.47517517300893458</v>
      </c>
      <c r="E17" s="118">
        <v>0.47926175596282999</v>
      </c>
      <c r="F17" s="118">
        <v>0.56859562949890696</v>
      </c>
      <c r="G17" s="122">
        <v>0.27797719500000001</v>
      </c>
      <c r="H17" s="118">
        <f t="shared" si="2"/>
        <v>0.27797719500000001</v>
      </c>
      <c r="I17" s="117">
        <v>0.51836268258580298</v>
      </c>
      <c r="J17" s="119"/>
      <c r="K17" s="119"/>
      <c r="L17" s="120"/>
      <c r="M17" s="119">
        <f t="shared" si="3"/>
        <v>0.5008371171662318</v>
      </c>
      <c r="N17" s="119">
        <f t="shared" si="4"/>
        <v>0.52482482699106536</v>
      </c>
      <c r="O17" s="119">
        <f t="shared" si="5"/>
        <v>0.52073824403716995</v>
      </c>
      <c r="P17" s="119">
        <f t="shared" si="6"/>
        <v>0.43140437050109304</v>
      </c>
      <c r="Q17" s="119">
        <f t="shared" si="7"/>
        <v>0.72202280499999993</v>
      </c>
      <c r="R17" s="119">
        <f t="shared" si="8"/>
        <v>0.72202280499999993</v>
      </c>
      <c r="S17" s="119">
        <f t="shared" si="9"/>
        <v>0.48163731741419702</v>
      </c>
      <c r="T17" s="120"/>
      <c r="U17" s="121"/>
      <c r="V17" s="121"/>
      <c r="W17" s="121"/>
      <c r="X17" s="121"/>
      <c r="Y17" s="121"/>
      <c r="Z17" s="121"/>
      <c r="AA17" s="121"/>
      <c r="AB17" s="121"/>
    </row>
    <row r="18" spans="1:28">
      <c r="A18" s="10"/>
      <c r="B18" s="116" t="s">
        <v>10</v>
      </c>
      <c r="C18" s="117">
        <v>0.5095679184612163</v>
      </c>
      <c r="D18" s="117">
        <v>0.48845667455229941</v>
      </c>
      <c r="E18" s="118">
        <v>0.48524648356036743</v>
      </c>
      <c r="F18" s="118">
        <v>0.52639835415600045</v>
      </c>
      <c r="G18" s="118">
        <v>0.29751791900000002</v>
      </c>
      <c r="H18" s="118">
        <f t="shared" si="2"/>
        <v>0.29751791900000002</v>
      </c>
      <c r="I18" s="117">
        <v>0.53970412990798977</v>
      </c>
      <c r="J18" s="119"/>
      <c r="K18" s="119"/>
      <c r="L18" s="120"/>
      <c r="M18" s="119">
        <f t="shared" si="3"/>
        <v>0.4904320815387837</v>
      </c>
      <c r="N18" s="119">
        <f t="shared" si="4"/>
        <v>0.51154332544770065</v>
      </c>
      <c r="O18" s="119">
        <f t="shared" si="5"/>
        <v>0.51475351643963263</v>
      </c>
      <c r="P18" s="119">
        <f t="shared" si="6"/>
        <v>0.47360164584399955</v>
      </c>
      <c r="Q18" s="119">
        <f t="shared" si="7"/>
        <v>0.70248208099999998</v>
      </c>
      <c r="R18" s="119">
        <f t="shared" si="8"/>
        <v>0.70248208099999998</v>
      </c>
      <c r="S18" s="119">
        <f t="shared" si="9"/>
        <v>0.46029587009201023</v>
      </c>
      <c r="T18" s="120"/>
      <c r="U18" s="121"/>
      <c r="V18" s="121"/>
      <c r="W18" s="121"/>
      <c r="X18" s="121"/>
      <c r="Y18" s="121"/>
      <c r="Z18" s="121"/>
      <c r="AA18" s="121"/>
      <c r="AB18" s="121"/>
    </row>
    <row r="19" spans="1:28">
      <c r="A19" s="10"/>
      <c r="B19" s="116" t="s">
        <v>11</v>
      </c>
      <c r="C19" s="117">
        <v>0.49204693017553791</v>
      </c>
      <c r="D19" s="117">
        <v>0.47851796048073303</v>
      </c>
      <c r="E19" s="118">
        <v>0.44902086474481057</v>
      </c>
      <c r="F19" s="118">
        <v>0.45117447374467684</v>
      </c>
      <c r="G19" s="118">
        <v>0.29440211500000013</v>
      </c>
      <c r="H19" s="118">
        <f t="shared" si="2"/>
        <v>0.29440211500000013</v>
      </c>
      <c r="I19" s="117">
        <v>0.50014255206780811</v>
      </c>
      <c r="J19" s="119"/>
      <c r="K19" s="119"/>
      <c r="L19" s="120"/>
      <c r="M19" s="119">
        <f t="shared" si="3"/>
        <v>0.50795306982446209</v>
      </c>
      <c r="N19" s="119">
        <f t="shared" si="4"/>
        <v>0.52148203951926697</v>
      </c>
      <c r="O19" s="119">
        <f t="shared" si="5"/>
        <v>0.55097913525518938</v>
      </c>
      <c r="P19" s="119">
        <f t="shared" si="6"/>
        <v>0.54882552625532321</v>
      </c>
      <c r="Q19" s="119">
        <f t="shared" si="7"/>
        <v>0.70559788499999987</v>
      </c>
      <c r="R19" s="119">
        <f t="shared" si="8"/>
        <v>0.70559788499999987</v>
      </c>
      <c r="S19" s="119">
        <f t="shared" si="9"/>
        <v>0.49985744793219189</v>
      </c>
      <c r="T19" s="120"/>
      <c r="U19" s="121"/>
      <c r="V19" s="121"/>
      <c r="W19" s="121"/>
      <c r="X19" s="121"/>
      <c r="Y19" s="121"/>
      <c r="Z19" s="121"/>
      <c r="AA19" s="121"/>
      <c r="AB19" s="121"/>
    </row>
    <row r="20" spans="1:28">
      <c r="A20" s="10"/>
      <c r="B20" s="116"/>
      <c r="C20" s="120"/>
      <c r="D20" s="120"/>
      <c r="E20" s="120"/>
      <c r="F20" s="120"/>
      <c r="G20" s="123"/>
      <c r="H20" s="123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</row>
    <row r="21" spans="1:28">
      <c r="A21" s="10"/>
      <c r="B21" s="116"/>
      <c r="C21" s="120"/>
      <c r="D21" s="120"/>
      <c r="E21" s="120"/>
      <c r="F21" s="120"/>
      <c r="G21" s="123"/>
      <c r="H21" s="123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</row>
    <row r="22" spans="1:28">
      <c r="A22" s="97" t="s">
        <v>63</v>
      </c>
      <c r="B22" s="99" t="s">
        <v>142</v>
      </c>
      <c r="C22" s="124"/>
      <c r="D22" s="120"/>
      <c r="E22" s="120"/>
      <c r="F22" s="11" t="s">
        <v>88</v>
      </c>
      <c r="G22" s="123"/>
      <c r="H22" s="123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</row>
    <row r="23" spans="1:28" ht="38.25">
      <c r="A23" s="10"/>
      <c r="C23" s="6" t="s">
        <v>76</v>
      </c>
      <c r="D23" s="6" t="s">
        <v>76</v>
      </c>
      <c r="E23" s="6"/>
      <c r="F23" s="6" t="s">
        <v>76</v>
      </c>
      <c r="G23" s="6" t="s">
        <v>76</v>
      </c>
      <c r="H23" s="6" t="s">
        <v>76</v>
      </c>
      <c r="I23" s="6" t="s">
        <v>76</v>
      </c>
      <c r="J23" s="6"/>
      <c r="K23" s="6"/>
      <c r="L23" s="4"/>
      <c r="M23" s="6" t="s">
        <v>76</v>
      </c>
      <c r="N23" s="6" t="s">
        <v>76</v>
      </c>
      <c r="O23" s="56" t="s">
        <v>357</v>
      </c>
      <c r="P23" s="6" t="s">
        <v>76</v>
      </c>
      <c r="Q23" s="6" t="s">
        <v>76</v>
      </c>
      <c r="R23" s="6" t="s">
        <v>76</v>
      </c>
      <c r="S23" s="6" t="s">
        <v>76</v>
      </c>
      <c r="T23" s="6"/>
    </row>
    <row r="24" spans="1:28">
      <c r="A24" s="10"/>
      <c r="B24" s="5" t="s">
        <v>54</v>
      </c>
      <c r="C24" s="105" t="str">
        <f>+C6</f>
        <v>SC1</v>
      </c>
      <c r="D24" s="105" t="str">
        <f t="shared" ref="D24:I24" si="10">+D6</f>
        <v>SC5</v>
      </c>
      <c r="E24" s="105" t="str">
        <f t="shared" si="10"/>
        <v>SC3</v>
      </c>
      <c r="F24" s="105" t="str">
        <f t="shared" si="10"/>
        <v>SC2 ND</v>
      </c>
      <c r="G24" s="105" t="str">
        <f t="shared" si="10"/>
        <v>SC4</v>
      </c>
      <c r="H24" s="105" t="str">
        <f t="shared" si="10"/>
        <v>SC6</v>
      </c>
      <c r="I24" s="105" t="str">
        <f t="shared" si="10"/>
        <v>SC2 Dem</v>
      </c>
      <c r="J24" s="106"/>
      <c r="K24" s="106"/>
      <c r="L24" s="3"/>
      <c r="M24" s="106" t="str">
        <f t="shared" ref="M24:S24" si="11">+C6</f>
        <v>SC1</v>
      </c>
      <c r="N24" s="106" t="str">
        <f t="shared" si="11"/>
        <v>SC5</v>
      </c>
      <c r="O24" s="106" t="str">
        <f t="shared" si="11"/>
        <v>SC3</v>
      </c>
      <c r="P24" s="106" t="str">
        <f t="shared" si="11"/>
        <v>SC2 ND</v>
      </c>
      <c r="Q24" s="106" t="str">
        <f t="shared" si="11"/>
        <v>SC4</v>
      </c>
      <c r="R24" s="106" t="str">
        <f t="shared" si="11"/>
        <v>SC6</v>
      </c>
      <c r="S24" s="106" t="str">
        <f t="shared" si="11"/>
        <v>SC2 Dem</v>
      </c>
      <c r="T24" s="106"/>
    </row>
    <row r="25" spans="1:28">
      <c r="A25" s="10"/>
    </row>
    <row r="26" spans="1:28">
      <c r="A26" s="10"/>
      <c r="B26" s="116" t="s">
        <v>0</v>
      </c>
      <c r="C26" s="125" t="s">
        <v>77</v>
      </c>
      <c r="D26" s="125" t="s">
        <v>77</v>
      </c>
      <c r="E26" s="126">
        <v>0.33801134667064797</v>
      </c>
      <c r="F26" s="125" t="s">
        <v>77</v>
      </c>
      <c r="G26" s="125" t="s">
        <v>77</v>
      </c>
      <c r="H26" s="125" t="s">
        <v>77</v>
      </c>
      <c r="I26" s="125" t="s">
        <v>77</v>
      </c>
      <c r="J26" s="119"/>
      <c r="K26" s="119"/>
      <c r="L26" s="120"/>
      <c r="M26" s="120"/>
      <c r="N26" s="120"/>
      <c r="O26" s="120">
        <f t="shared" ref="O26:O37" si="12">1-E26</f>
        <v>0.66198865332935197</v>
      </c>
      <c r="P26" s="120"/>
      <c r="Q26" s="120"/>
      <c r="R26" s="120"/>
      <c r="S26" s="120"/>
      <c r="T26" s="120"/>
    </row>
    <row r="27" spans="1:28">
      <c r="A27" s="10"/>
      <c r="B27" s="116" t="s">
        <v>1</v>
      </c>
      <c r="C27" s="125" t="s">
        <v>77</v>
      </c>
      <c r="D27" s="125" t="s">
        <v>77</v>
      </c>
      <c r="E27" s="126">
        <v>0.35800309493372806</v>
      </c>
      <c r="F27" s="125" t="s">
        <v>77</v>
      </c>
      <c r="G27" s="125" t="s">
        <v>77</v>
      </c>
      <c r="H27" s="125" t="s">
        <v>77</v>
      </c>
      <c r="I27" s="125" t="s">
        <v>77</v>
      </c>
      <c r="J27" s="119"/>
      <c r="K27" s="119"/>
      <c r="L27" s="120"/>
      <c r="M27" s="120"/>
      <c r="N27" s="120"/>
      <c r="O27" s="120">
        <f t="shared" si="12"/>
        <v>0.64199690506627194</v>
      </c>
      <c r="P27" s="120"/>
      <c r="Q27" s="120"/>
      <c r="R27" s="120"/>
      <c r="S27" s="120"/>
      <c r="T27" s="120"/>
    </row>
    <row r="28" spans="1:28">
      <c r="A28" s="10"/>
      <c r="B28" s="116" t="s">
        <v>2</v>
      </c>
      <c r="C28" s="125" t="s">
        <v>77</v>
      </c>
      <c r="D28" s="125" t="s">
        <v>77</v>
      </c>
      <c r="E28" s="126">
        <v>0.34393856280855734</v>
      </c>
      <c r="F28" s="125" t="s">
        <v>77</v>
      </c>
      <c r="G28" s="125" t="s">
        <v>77</v>
      </c>
      <c r="H28" s="125" t="s">
        <v>77</v>
      </c>
      <c r="I28" s="125" t="s">
        <v>77</v>
      </c>
      <c r="J28" s="119"/>
      <c r="K28" s="119"/>
      <c r="L28" s="120"/>
      <c r="M28" s="120"/>
      <c r="N28" s="120"/>
      <c r="O28" s="120">
        <f t="shared" si="12"/>
        <v>0.65606143719144261</v>
      </c>
      <c r="P28" s="120"/>
      <c r="Q28" s="120"/>
      <c r="R28" s="120"/>
      <c r="S28" s="120"/>
      <c r="T28" s="120"/>
    </row>
    <row r="29" spans="1:28">
      <c r="A29" s="10"/>
      <c r="B29" s="116" t="s">
        <v>3</v>
      </c>
      <c r="C29" s="125" t="s">
        <v>77</v>
      </c>
      <c r="D29" s="125" t="s">
        <v>77</v>
      </c>
      <c r="E29" s="126">
        <v>0.33221677832216778</v>
      </c>
      <c r="F29" s="125" t="s">
        <v>77</v>
      </c>
      <c r="G29" s="125" t="s">
        <v>77</v>
      </c>
      <c r="H29" s="125" t="s">
        <v>77</v>
      </c>
      <c r="I29" s="125" t="s">
        <v>77</v>
      </c>
      <c r="J29" s="119"/>
      <c r="K29" s="119"/>
      <c r="L29" s="120"/>
      <c r="M29" s="120"/>
      <c r="N29" s="120"/>
      <c r="O29" s="120">
        <f t="shared" si="12"/>
        <v>0.66778322167783222</v>
      </c>
      <c r="P29" s="120"/>
      <c r="Q29" s="120"/>
      <c r="R29" s="120"/>
      <c r="S29" s="120"/>
      <c r="T29" s="120"/>
    </row>
    <row r="30" spans="1:28">
      <c r="A30" s="10"/>
      <c r="B30" s="116" t="s">
        <v>4</v>
      </c>
      <c r="C30" s="125" t="s">
        <v>77</v>
      </c>
      <c r="D30" s="125" t="s">
        <v>77</v>
      </c>
      <c r="E30" s="126">
        <v>0.34037172097400303</v>
      </c>
      <c r="F30" s="125" t="s">
        <v>77</v>
      </c>
      <c r="G30" s="125" t="s">
        <v>77</v>
      </c>
      <c r="H30" s="125" t="s">
        <v>77</v>
      </c>
      <c r="I30" s="125" t="s">
        <v>77</v>
      </c>
      <c r="J30" s="119"/>
      <c r="K30" s="119"/>
      <c r="L30" s="120"/>
      <c r="M30" s="120"/>
      <c r="N30" s="120"/>
      <c r="O30" s="120">
        <f t="shared" si="12"/>
        <v>0.65962827902599697</v>
      </c>
      <c r="P30" s="120"/>
      <c r="Q30" s="120"/>
      <c r="R30" s="120"/>
      <c r="S30" s="120"/>
      <c r="T30" s="120"/>
    </row>
    <row r="31" spans="1:28">
      <c r="A31" s="10"/>
      <c r="B31" s="116" t="s">
        <v>5</v>
      </c>
      <c r="C31" s="125" t="s">
        <v>77</v>
      </c>
      <c r="D31" s="125" t="s">
        <v>77</v>
      </c>
      <c r="E31" s="126">
        <v>0.35307613072385052</v>
      </c>
      <c r="F31" s="125" t="s">
        <v>77</v>
      </c>
      <c r="G31" s="125" t="s">
        <v>77</v>
      </c>
      <c r="H31" s="125" t="s">
        <v>77</v>
      </c>
      <c r="I31" s="125" t="s">
        <v>77</v>
      </c>
      <c r="J31" s="119"/>
      <c r="K31" s="119"/>
      <c r="L31" s="120"/>
      <c r="M31" s="120"/>
      <c r="N31" s="120"/>
      <c r="O31" s="120">
        <f t="shared" si="12"/>
        <v>0.64692386927614942</v>
      </c>
      <c r="P31" s="120"/>
      <c r="Q31" s="120"/>
      <c r="R31" s="120"/>
      <c r="S31" s="120"/>
      <c r="T31" s="120"/>
    </row>
    <row r="32" spans="1:28">
      <c r="A32" s="10"/>
      <c r="B32" s="116" t="s">
        <v>6</v>
      </c>
      <c r="C32" s="125" t="s">
        <v>77</v>
      </c>
      <c r="D32" s="125" t="s">
        <v>77</v>
      </c>
      <c r="E32" s="126">
        <v>0.36599999999999999</v>
      </c>
      <c r="F32" s="125" t="s">
        <v>77</v>
      </c>
      <c r="G32" s="125" t="s">
        <v>77</v>
      </c>
      <c r="H32" s="125" t="s">
        <v>77</v>
      </c>
      <c r="I32" s="125" t="s">
        <v>77</v>
      </c>
      <c r="J32" s="119"/>
      <c r="K32" s="119"/>
      <c r="L32" s="120"/>
      <c r="M32" s="120"/>
      <c r="N32" s="120"/>
      <c r="O32" s="120">
        <f t="shared" si="12"/>
        <v>0.63400000000000001</v>
      </c>
      <c r="P32" s="120"/>
      <c r="Q32" s="120"/>
      <c r="R32" s="120"/>
      <c r="S32" s="120"/>
      <c r="T32" s="120"/>
    </row>
    <row r="33" spans="1:20">
      <c r="A33" s="10"/>
      <c r="B33" s="116" t="s">
        <v>7</v>
      </c>
      <c r="C33" s="125" t="s">
        <v>77</v>
      </c>
      <c r="D33" s="125" t="s">
        <v>77</v>
      </c>
      <c r="E33" s="126">
        <v>0.41871018776801699</v>
      </c>
      <c r="F33" s="125" t="s">
        <v>77</v>
      </c>
      <c r="G33" s="125" t="s">
        <v>77</v>
      </c>
      <c r="H33" s="125" t="s">
        <v>77</v>
      </c>
      <c r="I33" s="125" t="s">
        <v>77</v>
      </c>
      <c r="J33" s="119"/>
      <c r="K33" s="119"/>
      <c r="L33" s="120"/>
      <c r="M33" s="120"/>
      <c r="N33" s="120"/>
      <c r="O33" s="120">
        <f t="shared" si="12"/>
        <v>0.58128981223198295</v>
      </c>
      <c r="P33" s="120"/>
      <c r="Q33" s="120"/>
      <c r="R33" s="120"/>
      <c r="S33" s="120"/>
      <c r="T33" s="120"/>
    </row>
    <row r="34" spans="1:20">
      <c r="A34" s="10"/>
      <c r="B34" s="116" t="s">
        <v>8</v>
      </c>
      <c r="C34" s="125" t="s">
        <v>77</v>
      </c>
      <c r="D34" s="125" t="s">
        <v>77</v>
      </c>
      <c r="E34" s="126">
        <v>0.39804862777835753</v>
      </c>
      <c r="F34" s="125" t="s">
        <v>77</v>
      </c>
      <c r="G34" s="125" t="s">
        <v>77</v>
      </c>
      <c r="H34" s="125" t="s">
        <v>77</v>
      </c>
      <c r="I34" s="125" t="s">
        <v>77</v>
      </c>
      <c r="J34" s="119"/>
      <c r="K34" s="119"/>
      <c r="L34" s="120"/>
      <c r="M34" s="120"/>
      <c r="N34" s="120"/>
      <c r="O34" s="120">
        <f t="shared" si="12"/>
        <v>0.60195137222164252</v>
      </c>
      <c r="P34" s="120"/>
      <c r="Q34" s="120"/>
      <c r="R34" s="120"/>
      <c r="S34" s="120"/>
      <c r="T34" s="120"/>
    </row>
    <row r="35" spans="1:20">
      <c r="A35" s="10"/>
      <c r="B35" s="116" t="s">
        <v>9</v>
      </c>
      <c r="C35" s="125" t="s">
        <v>77</v>
      </c>
      <c r="D35" s="125" t="s">
        <v>77</v>
      </c>
      <c r="E35" s="126">
        <v>0.35368838901753225</v>
      </c>
      <c r="F35" s="125" t="s">
        <v>77</v>
      </c>
      <c r="G35" s="125" t="s">
        <v>77</v>
      </c>
      <c r="H35" s="125" t="s">
        <v>77</v>
      </c>
      <c r="I35" s="125" t="s">
        <v>77</v>
      </c>
      <c r="J35" s="119"/>
      <c r="K35" s="119"/>
      <c r="L35" s="120"/>
      <c r="M35" s="120"/>
      <c r="N35" s="120"/>
      <c r="O35" s="120">
        <f t="shared" si="12"/>
        <v>0.64631161098246781</v>
      </c>
      <c r="P35" s="120"/>
      <c r="Q35" s="120"/>
      <c r="R35" s="120"/>
      <c r="S35" s="120"/>
      <c r="T35" s="120"/>
    </row>
    <row r="36" spans="1:20">
      <c r="A36" s="10"/>
      <c r="B36" s="116" t="s">
        <v>10</v>
      </c>
      <c r="C36" s="125" t="s">
        <v>77</v>
      </c>
      <c r="D36" s="125" t="s">
        <v>77</v>
      </c>
      <c r="E36" s="126">
        <v>0.34927880226401314</v>
      </c>
      <c r="F36" s="125" t="s">
        <v>77</v>
      </c>
      <c r="G36" s="125" t="s">
        <v>77</v>
      </c>
      <c r="H36" s="125" t="s">
        <v>77</v>
      </c>
      <c r="I36" s="125" t="s">
        <v>77</v>
      </c>
      <c r="J36" s="119"/>
      <c r="K36" s="119"/>
      <c r="L36" s="120"/>
      <c r="M36" s="120"/>
      <c r="N36" s="120"/>
      <c r="O36" s="120">
        <f t="shared" si="12"/>
        <v>0.6507211977359868</v>
      </c>
      <c r="P36" s="120"/>
      <c r="Q36" s="120"/>
      <c r="R36" s="120"/>
      <c r="S36" s="120"/>
      <c r="T36" s="120"/>
    </row>
    <row r="37" spans="1:20">
      <c r="A37" s="10"/>
      <c r="B37" s="116" t="s">
        <v>11</v>
      </c>
      <c r="C37" s="125" t="s">
        <v>77</v>
      </c>
      <c r="D37" s="125" t="s">
        <v>77</v>
      </c>
      <c r="E37" s="126">
        <v>0.34126312224856081</v>
      </c>
      <c r="F37" s="125" t="s">
        <v>77</v>
      </c>
      <c r="G37" s="125" t="s">
        <v>77</v>
      </c>
      <c r="H37" s="125" t="s">
        <v>77</v>
      </c>
      <c r="I37" s="125" t="s">
        <v>77</v>
      </c>
      <c r="J37" s="119"/>
      <c r="K37" s="119"/>
      <c r="L37" s="120"/>
      <c r="M37" s="120"/>
      <c r="N37" s="120"/>
      <c r="O37" s="120">
        <f t="shared" si="12"/>
        <v>0.65873687775143919</v>
      </c>
      <c r="P37" s="120"/>
      <c r="Q37" s="120"/>
      <c r="R37" s="120"/>
      <c r="S37" s="120"/>
      <c r="T37" s="120"/>
    </row>
    <row r="38" spans="1:20">
      <c r="A38" s="10"/>
      <c r="B38" s="116"/>
      <c r="C38" s="120"/>
      <c r="D38" s="120"/>
      <c r="E38" s="120"/>
      <c r="F38" s="120"/>
      <c r="G38" s="123"/>
      <c r="H38" s="123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</row>
    <row r="39" spans="1:20">
      <c r="A39" s="10"/>
      <c r="B39" s="116"/>
      <c r="C39" s="120"/>
      <c r="D39" s="120"/>
      <c r="E39" s="120"/>
      <c r="F39" s="120"/>
      <c r="G39" s="123"/>
      <c r="H39" s="123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</row>
    <row r="40" spans="1:20">
      <c r="A40" s="97" t="s">
        <v>72</v>
      </c>
      <c r="B40" s="100" t="s">
        <v>126</v>
      </c>
      <c r="M40" s="1" t="s">
        <v>56</v>
      </c>
    </row>
    <row r="41" spans="1:20">
      <c r="A41" s="10"/>
      <c r="B41" s="57" t="str">
        <f>"Calendar month billed sales forecasted for " &amp;M1-1</f>
        <v>Calendar month billed sales forecasted for 2011</v>
      </c>
    </row>
    <row r="42" spans="1:20">
      <c r="A42" s="10"/>
      <c r="B42" s="4" t="s">
        <v>75</v>
      </c>
      <c r="C42" s="73" t="str">
        <f>+C6</f>
        <v>SC1</v>
      </c>
      <c r="D42" s="73" t="str">
        <f t="shared" ref="D42:I42" si="13">+D6</f>
        <v>SC5</v>
      </c>
      <c r="E42" s="73" t="str">
        <f t="shared" si="13"/>
        <v>SC3</v>
      </c>
      <c r="F42" s="73" t="str">
        <f t="shared" si="13"/>
        <v>SC2 ND</v>
      </c>
      <c r="G42" s="73" t="str">
        <f t="shared" si="13"/>
        <v>SC4</v>
      </c>
      <c r="H42" s="73" t="str">
        <f t="shared" si="13"/>
        <v>SC6</v>
      </c>
      <c r="I42" s="73" t="str">
        <f t="shared" si="13"/>
        <v>SC2 Dem</v>
      </c>
      <c r="J42" s="73" t="s">
        <v>227</v>
      </c>
      <c r="K42" s="106"/>
      <c r="L42" s="106"/>
      <c r="M42" s="106" t="str">
        <f t="shared" ref="M42:S42" si="14">+C6</f>
        <v>SC1</v>
      </c>
      <c r="N42" s="106" t="str">
        <f t="shared" si="14"/>
        <v>SC5</v>
      </c>
      <c r="O42" s="106" t="str">
        <f t="shared" si="14"/>
        <v>SC3</v>
      </c>
      <c r="P42" s="106" t="str">
        <f t="shared" si="14"/>
        <v>SC2 ND</v>
      </c>
      <c r="Q42" s="106" t="str">
        <f t="shared" si="14"/>
        <v>SC4</v>
      </c>
      <c r="R42" s="106" t="str">
        <f t="shared" si="14"/>
        <v>SC6</v>
      </c>
      <c r="S42" s="106" t="str">
        <f t="shared" si="14"/>
        <v>SC2 Dem</v>
      </c>
      <c r="T42" s="106"/>
    </row>
    <row r="43" spans="1:20">
      <c r="A43" s="10"/>
    </row>
    <row r="44" spans="1:20">
      <c r="A44" s="10"/>
      <c r="B44" s="116" t="s">
        <v>0</v>
      </c>
      <c r="C44" s="127">
        <v>62596</v>
      </c>
      <c r="D44" s="127">
        <v>1937</v>
      </c>
      <c r="E44" s="127">
        <v>31</v>
      </c>
      <c r="F44" s="127">
        <v>4505</v>
      </c>
      <c r="G44" s="127">
        <v>730</v>
      </c>
      <c r="H44" s="127">
        <v>525</v>
      </c>
      <c r="I44" s="127">
        <v>46976</v>
      </c>
      <c r="J44" s="127">
        <f>SUM(C44:I44)</f>
        <v>117300</v>
      </c>
      <c r="K44" s="127"/>
      <c r="L44" s="128" t="s">
        <v>57</v>
      </c>
      <c r="M44" s="129">
        <f t="shared" ref="M44:S44" si="15">SUM(C44:C48,C53:C55)</f>
        <v>423388</v>
      </c>
      <c r="N44" s="127">
        <f t="shared" si="15"/>
        <v>11068</v>
      </c>
      <c r="O44" s="127">
        <f t="shared" si="15"/>
        <v>179</v>
      </c>
      <c r="P44" s="127">
        <f t="shared" si="15"/>
        <v>27572</v>
      </c>
      <c r="Q44" s="127">
        <f t="shared" si="15"/>
        <v>4930</v>
      </c>
      <c r="R44" s="127">
        <f t="shared" si="15"/>
        <v>4044</v>
      </c>
      <c r="S44" s="127">
        <f t="shared" si="15"/>
        <v>373352</v>
      </c>
      <c r="T44" s="127"/>
    </row>
    <row r="45" spans="1:20">
      <c r="A45" s="10"/>
      <c r="B45" s="116" t="s">
        <v>1</v>
      </c>
      <c r="C45" s="127">
        <v>54559</v>
      </c>
      <c r="D45" s="127">
        <v>1804</v>
      </c>
      <c r="E45" s="127">
        <v>28</v>
      </c>
      <c r="F45" s="127">
        <v>4615</v>
      </c>
      <c r="G45" s="127">
        <v>608</v>
      </c>
      <c r="H45" s="127">
        <v>468</v>
      </c>
      <c r="I45" s="127">
        <v>45878</v>
      </c>
      <c r="J45" s="127">
        <f t="shared" ref="J45:J55" si="16">SUM(C45:I45)</f>
        <v>107960</v>
      </c>
      <c r="K45" s="127"/>
      <c r="L45" s="128" t="s">
        <v>115</v>
      </c>
      <c r="M45" s="129"/>
      <c r="O45" s="127">
        <f>SUMPRODUCT(E26:E30,E44:E48)+SUMPRODUCT(E35:E37,E53:E55)</f>
        <v>61.731278423658644</v>
      </c>
      <c r="T45" s="127"/>
    </row>
    <row r="46" spans="1:20">
      <c r="A46" s="10"/>
      <c r="B46" s="116" t="s">
        <v>2</v>
      </c>
      <c r="C46" s="127">
        <v>51298</v>
      </c>
      <c r="D46" s="127">
        <v>1491</v>
      </c>
      <c r="E46" s="127">
        <v>22</v>
      </c>
      <c r="F46" s="127">
        <v>4167</v>
      </c>
      <c r="G46" s="127">
        <v>648</v>
      </c>
      <c r="H46" s="127">
        <v>419</v>
      </c>
      <c r="I46" s="127">
        <v>45379</v>
      </c>
      <c r="J46" s="127">
        <f t="shared" si="16"/>
        <v>103424</v>
      </c>
      <c r="K46" s="127"/>
      <c r="L46" s="128" t="s">
        <v>116</v>
      </c>
      <c r="M46" s="129"/>
      <c r="O46" s="127">
        <f>+O44-O45</f>
        <v>117.26872157634136</v>
      </c>
      <c r="T46" s="127"/>
    </row>
    <row r="47" spans="1:20">
      <c r="A47" s="10"/>
      <c r="B47" s="116" t="s">
        <v>3</v>
      </c>
      <c r="C47" s="127">
        <v>44819</v>
      </c>
      <c r="D47" s="127">
        <v>1043</v>
      </c>
      <c r="E47" s="127">
        <v>18</v>
      </c>
      <c r="F47" s="127">
        <v>3576</v>
      </c>
      <c r="G47" s="127">
        <v>497</v>
      </c>
      <c r="H47" s="127">
        <v>442</v>
      </c>
      <c r="I47" s="127">
        <v>44876</v>
      </c>
      <c r="J47" s="127">
        <f t="shared" si="16"/>
        <v>95271</v>
      </c>
      <c r="K47" s="127"/>
    </row>
    <row r="48" spans="1:20">
      <c r="A48" s="10"/>
      <c r="B48" s="116" t="s">
        <v>4</v>
      </c>
      <c r="C48" s="127">
        <v>45041</v>
      </c>
      <c r="D48" s="127">
        <v>949</v>
      </c>
      <c r="E48" s="127">
        <v>17</v>
      </c>
      <c r="F48" s="127">
        <v>2634</v>
      </c>
      <c r="G48" s="127">
        <v>453</v>
      </c>
      <c r="H48" s="127">
        <v>443</v>
      </c>
      <c r="I48" s="127">
        <v>45523</v>
      </c>
      <c r="J48" s="127">
        <f t="shared" si="16"/>
        <v>95060</v>
      </c>
      <c r="K48" s="127"/>
      <c r="L48" s="128" t="s">
        <v>58</v>
      </c>
      <c r="M48" s="129">
        <f>SUM(C49:C52)</f>
        <v>308061</v>
      </c>
      <c r="N48" s="127">
        <f t="shared" ref="N48:S48" si="17">+SUM(D49:D52)</f>
        <v>5510</v>
      </c>
      <c r="O48" s="127">
        <f t="shared" si="17"/>
        <v>91</v>
      </c>
      <c r="P48" s="127">
        <f t="shared" si="17"/>
        <v>11511</v>
      </c>
      <c r="Q48" s="127">
        <f t="shared" si="17"/>
        <v>1899</v>
      </c>
      <c r="R48" s="127">
        <f t="shared" si="17"/>
        <v>1718</v>
      </c>
      <c r="S48" s="127">
        <f t="shared" si="17"/>
        <v>217851</v>
      </c>
      <c r="T48" s="127"/>
    </row>
    <row r="49" spans="1:24">
      <c r="A49" s="10"/>
      <c r="B49" s="116" t="s">
        <v>5</v>
      </c>
      <c r="C49" s="127">
        <v>64403</v>
      </c>
      <c r="D49" s="127">
        <v>1144</v>
      </c>
      <c r="E49" s="127">
        <v>20</v>
      </c>
      <c r="F49" s="127">
        <v>2641</v>
      </c>
      <c r="G49" s="127">
        <v>418</v>
      </c>
      <c r="H49" s="127">
        <v>406</v>
      </c>
      <c r="I49" s="127">
        <v>53302</v>
      </c>
      <c r="J49" s="127">
        <f t="shared" si="16"/>
        <v>122334</v>
      </c>
      <c r="K49" s="127"/>
      <c r="L49" s="128" t="s">
        <v>115</v>
      </c>
      <c r="M49" s="129"/>
      <c r="O49" s="127">
        <f>+SUMPRODUCT(E31:E34,E49:E52)</f>
        <v>35.006249864244587</v>
      </c>
      <c r="T49" s="127"/>
    </row>
    <row r="50" spans="1:24">
      <c r="A50" s="10"/>
      <c r="B50" s="116" t="s">
        <v>6</v>
      </c>
      <c r="C50" s="127">
        <v>84373</v>
      </c>
      <c r="D50" s="127">
        <v>1438</v>
      </c>
      <c r="E50" s="127">
        <v>26</v>
      </c>
      <c r="F50" s="127">
        <v>3027</v>
      </c>
      <c r="G50" s="127">
        <v>442</v>
      </c>
      <c r="H50" s="127">
        <v>421</v>
      </c>
      <c r="I50" s="127">
        <v>54856</v>
      </c>
      <c r="J50" s="127">
        <f t="shared" si="16"/>
        <v>144583</v>
      </c>
      <c r="K50" s="127"/>
      <c r="L50" s="128" t="s">
        <v>116</v>
      </c>
      <c r="M50" s="129"/>
      <c r="O50" s="127">
        <f>+O48-O49</f>
        <v>55.993750135755413</v>
      </c>
      <c r="T50" s="127"/>
    </row>
    <row r="51" spans="1:24">
      <c r="A51" s="10"/>
      <c r="B51" s="116" t="s">
        <v>7</v>
      </c>
      <c r="C51" s="127">
        <v>86766</v>
      </c>
      <c r="D51" s="127">
        <v>1579</v>
      </c>
      <c r="E51" s="127">
        <v>25</v>
      </c>
      <c r="F51" s="127">
        <v>3069</v>
      </c>
      <c r="G51" s="127">
        <v>490</v>
      </c>
      <c r="H51" s="127">
        <v>423</v>
      </c>
      <c r="I51" s="127">
        <v>56878</v>
      </c>
      <c r="J51" s="127">
        <f t="shared" si="16"/>
        <v>149230</v>
      </c>
      <c r="K51" s="127"/>
    </row>
    <row r="52" spans="1:24">
      <c r="A52" s="10"/>
      <c r="B52" s="116" t="s">
        <v>8</v>
      </c>
      <c r="C52" s="127">
        <v>72519</v>
      </c>
      <c r="D52" s="127">
        <v>1349</v>
      </c>
      <c r="E52" s="127">
        <v>20</v>
      </c>
      <c r="F52" s="127">
        <v>2774</v>
      </c>
      <c r="G52" s="127">
        <v>549</v>
      </c>
      <c r="H52" s="127">
        <v>468</v>
      </c>
      <c r="I52" s="127">
        <v>52815</v>
      </c>
      <c r="J52" s="127">
        <f t="shared" si="16"/>
        <v>130494</v>
      </c>
      <c r="K52" s="127"/>
      <c r="L52" s="130" t="s">
        <v>215</v>
      </c>
      <c r="M52" s="131">
        <f>ROUND(M48*E156,0)</f>
        <v>62413</v>
      </c>
      <c r="N52" s="131">
        <f>ROUND(N48*J156,0)</f>
        <v>1710</v>
      </c>
    </row>
    <row r="53" spans="1:24">
      <c r="A53" s="10"/>
      <c r="B53" s="116" t="s">
        <v>9</v>
      </c>
      <c r="C53" s="127">
        <v>58846</v>
      </c>
      <c r="D53" s="127">
        <v>1215</v>
      </c>
      <c r="E53" s="127">
        <v>19</v>
      </c>
      <c r="F53" s="127">
        <v>2781</v>
      </c>
      <c r="G53" s="127">
        <v>636</v>
      </c>
      <c r="H53" s="127">
        <v>542</v>
      </c>
      <c r="I53" s="127">
        <v>51433</v>
      </c>
      <c r="J53" s="127">
        <f t="shared" si="16"/>
        <v>115472</v>
      </c>
      <c r="K53" s="127"/>
      <c r="L53" s="132" t="s">
        <v>216</v>
      </c>
      <c r="M53" s="131">
        <f>M48-M52</f>
        <v>245648</v>
      </c>
      <c r="N53" s="131">
        <f>ROUND(N48*J157,0)</f>
        <v>1963</v>
      </c>
    </row>
    <row r="54" spans="1:24">
      <c r="A54" s="10"/>
      <c r="B54" s="116" t="s">
        <v>10</v>
      </c>
      <c r="C54" s="127">
        <v>49004</v>
      </c>
      <c r="D54" s="127">
        <v>1125</v>
      </c>
      <c r="E54" s="127">
        <v>20</v>
      </c>
      <c r="F54" s="127">
        <v>2394</v>
      </c>
      <c r="G54" s="127">
        <v>639</v>
      </c>
      <c r="H54" s="127">
        <v>619</v>
      </c>
      <c r="I54" s="127">
        <v>45495</v>
      </c>
      <c r="J54" s="127">
        <f t="shared" si="16"/>
        <v>99296</v>
      </c>
      <c r="K54" s="127"/>
      <c r="L54" s="132" t="s">
        <v>217</v>
      </c>
      <c r="M54" s="131"/>
      <c r="N54" s="131">
        <f>N48-N52-N53</f>
        <v>1837</v>
      </c>
    </row>
    <row r="55" spans="1:24">
      <c r="A55" s="10"/>
      <c r="B55" s="116" t="s">
        <v>11</v>
      </c>
      <c r="C55" s="45">
        <v>57225</v>
      </c>
      <c r="D55" s="45">
        <v>1504</v>
      </c>
      <c r="E55" s="45">
        <v>24</v>
      </c>
      <c r="F55" s="45">
        <v>2900</v>
      </c>
      <c r="G55" s="45">
        <v>719</v>
      </c>
      <c r="H55" s="45">
        <v>586</v>
      </c>
      <c r="I55" s="45">
        <v>47792</v>
      </c>
      <c r="J55" s="45">
        <f t="shared" si="16"/>
        <v>110750</v>
      </c>
      <c r="K55" s="127"/>
      <c r="N55" s="133"/>
    </row>
    <row r="56" spans="1:24">
      <c r="A56" s="10"/>
      <c r="B56" s="134" t="s">
        <v>12</v>
      </c>
      <c r="C56" s="127">
        <f>SUM(C44:C55)</f>
        <v>731449</v>
      </c>
      <c r="D56" s="127">
        <f t="shared" ref="D56:I56" si="18">SUM(D44:D55)</f>
        <v>16578</v>
      </c>
      <c r="E56" s="127">
        <f t="shared" si="18"/>
        <v>270</v>
      </c>
      <c r="F56" s="127">
        <f t="shared" si="18"/>
        <v>39083</v>
      </c>
      <c r="G56" s="127">
        <f>SUM(G44:G55)</f>
        <v>6829</v>
      </c>
      <c r="H56" s="127">
        <f>SUM(H44:H55)</f>
        <v>5762</v>
      </c>
      <c r="I56" s="127">
        <f t="shared" si="18"/>
        <v>591203</v>
      </c>
      <c r="J56" s="127">
        <f>SUM(J44:J55)</f>
        <v>1391174</v>
      </c>
      <c r="K56" s="127"/>
      <c r="N56" s="133"/>
    </row>
    <row r="57" spans="1:24">
      <c r="A57" s="10"/>
      <c r="B57" s="116"/>
      <c r="F57" s="127"/>
      <c r="G57" s="135"/>
      <c r="H57" s="135"/>
      <c r="N57" s="133"/>
      <c r="O57" s="1" t="s">
        <v>234</v>
      </c>
    </row>
    <row r="58" spans="1:24">
      <c r="A58" s="10"/>
      <c r="N58" s="136"/>
      <c r="O58" s="137"/>
      <c r="P58" s="138"/>
      <c r="Q58" s="138"/>
      <c r="R58" s="138"/>
      <c r="S58" s="138"/>
      <c r="T58" s="138"/>
      <c r="U58" s="138"/>
      <c r="V58" s="138"/>
      <c r="W58" s="139"/>
    </row>
    <row r="59" spans="1:24">
      <c r="A59" s="9" t="s">
        <v>73</v>
      </c>
      <c r="B59" s="1" t="s">
        <v>30</v>
      </c>
      <c r="G59" s="7"/>
      <c r="H59" s="1"/>
      <c r="N59" s="133"/>
      <c r="O59" s="28"/>
      <c r="P59" s="136" t="s">
        <v>166</v>
      </c>
      <c r="Q59" s="136"/>
      <c r="R59" s="136"/>
      <c r="S59" s="136"/>
      <c r="T59" s="136"/>
      <c r="U59" s="136"/>
      <c r="V59" s="136"/>
      <c r="W59" s="140"/>
    </row>
    <row r="60" spans="1:24" s="141" customFormat="1">
      <c r="A60" s="10"/>
      <c r="B60" s="18" t="s">
        <v>237</v>
      </c>
      <c r="G60" s="109"/>
      <c r="N60" s="133"/>
      <c r="O60" s="142"/>
      <c r="P60" s="27"/>
      <c r="Q60" s="27"/>
      <c r="R60" s="27"/>
      <c r="S60" s="30" t="str">
        <f>E6</f>
        <v>SC3</v>
      </c>
      <c r="T60" s="30"/>
      <c r="U60" s="30"/>
      <c r="V60" s="136"/>
      <c r="W60" s="29"/>
      <c r="X60" s="109"/>
    </row>
    <row r="61" spans="1:24">
      <c r="A61" s="10"/>
      <c r="C61" s="73" t="s">
        <v>13</v>
      </c>
      <c r="D61" s="73" t="s">
        <v>14</v>
      </c>
      <c r="G61" s="106"/>
      <c r="H61" s="106"/>
      <c r="I61" s="106"/>
      <c r="N61" s="133"/>
      <c r="O61" s="143"/>
      <c r="P61" s="136"/>
      <c r="Q61" s="136"/>
      <c r="R61" s="136"/>
      <c r="S61" s="136"/>
      <c r="T61" s="136"/>
      <c r="U61" s="136"/>
      <c r="V61" s="136"/>
      <c r="W61" s="140"/>
    </row>
    <row r="62" spans="1:24">
      <c r="A62" s="10"/>
      <c r="B62" s="116" t="s">
        <v>0</v>
      </c>
      <c r="C62" s="144">
        <f t="shared" ref="C62:C73" si="19">G428</f>
        <v>64.36</v>
      </c>
      <c r="D62" s="144">
        <f t="shared" ref="D62:D73" si="20">H428</f>
        <v>50.08</v>
      </c>
      <c r="H62" s="106"/>
      <c r="I62" s="106"/>
      <c r="M62" s="136"/>
      <c r="N62" s="136"/>
      <c r="O62" s="142"/>
      <c r="P62" s="145"/>
      <c r="Q62" s="146" t="s">
        <v>57</v>
      </c>
      <c r="R62" s="145"/>
      <c r="S62" s="147">
        <f>SUM(E44:E48,E53:E55)</f>
        <v>179</v>
      </c>
      <c r="T62" s="145"/>
      <c r="U62" s="147"/>
      <c r="V62" s="145"/>
      <c r="W62" s="140"/>
    </row>
    <row r="63" spans="1:24">
      <c r="A63" s="10"/>
      <c r="B63" s="116" t="s">
        <v>1</v>
      </c>
      <c r="C63" s="144">
        <f t="shared" si="19"/>
        <v>64.36</v>
      </c>
      <c r="D63" s="144">
        <f t="shared" si="20"/>
        <v>50.08</v>
      </c>
      <c r="H63" s="106"/>
      <c r="I63" s="106"/>
      <c r="N63" s="136"/>
      <c r="O63" s="142"/>
      <c r="P63" s="145"/>
      <c r="Q63" s="146" t="s">
        <v>115</v>
      </c>
      <c r="R63" s="136"/>
      <c r="S63" s="147">
        <f>SUMPRODUCT(E26:E30,E44:E48)+SUMPRODUCT(E35:E37,E53:E55)</f>
        <v>61.731278423658644</v>
      </c>
      <c r="T63" s="136">
        <f>S63/S62</f>
        <v>0.34486747722714328</v>
      </c>
      <c r="U63" s="147"/>
      <c r="V63" s="136"/>
      <c r="W63" s="140"/>
    </row>
    <row r="64" spans="1:24">
      <c r="A64" s="10"/>
      <c r="B64" s="116" t="s">
        <v>2</v>
      </c>
      <c r="C64" s="144">
        <f t="shared" si="19"/>
        <v>56.01</v>
      </c>
      <c r="D64" s="144">
        <f t="shared" si="20"/>
        <v>43.42</v>
      </c>
      <c r="H64" s="106"/>
      <c r="I64" s="106"/>
      <c r="M64" s="27"/>
      <c r="N64" s="27"/>
      <c r="O64" s="142"/>
      <c r="P64" s="145"/>
      <c r="Q64" s="146" t="s">
        <v>116</v>
      </c>
      <c r="R64" s="136"/>
      <c r="S64" s="147">
        <f>SUMPRODUCT(O26:O30,E44:E48)+SUMPRODUCT(O35:O37,E53:E55)</f>
        <v>117.26872157634135</v>
      </c>
      <c r="T64" s="136"/>
      <c r="U64" s="147"/>
      <c r="V64" s="136"/>
      <c r="W64" s="140"/>
    </row>
    <row r="65" spans="1:24">
      <c r="A65" s="10"/>
      <c r="B65" s="116" t="s">
        <v>3</v>
      </c>
      <c r="C65" s="144">
        <f t="shared" si="19"/>
        <v>56.01</v>
      </c>
      <c r="D65" s="144">
        <f t="shared" si="20"/>
        <v>43.42</v>
      </c>
      <c r="H65" s="106"/>
      <c r="I65" s="106"/>
      <c r="M65" s="136"/>
      <c r="N65" s="136"/>
      <c r="O65" s="143"/>
      <c r="P65" s="136"/>
      <c r="Q65" s="136"/>
      <c r="R65" s="136"/>
      <c r="S65" s="136"/>
      <c r="T65" s="136"/>
      <c r="U65" s="136"/>
      <c r="V65" s="136"/>
      <c r="W65" s="140"/>
      <c r="X65" s="141"/>
    </row>
    <row r="66" spans="1:24">
      <c r="A66" s="10"/>
      <c r="B66" s="116" t="s">
        <v>4</v>
      </c>
      <c r="C66" s="144">
        <f t="shared" si="19"/>
        <v>54.88</v>
      </c>
      <c r="D66" s="144">
        <f t="shared" si="20"/>
        <v>42.58</v>
      </c>
      <c r="H66" s="106"/>
      <c r="I66" s="106"/>
      <c r="N66" s="133"/>
      <c r="O66" s="142"/>
      <c r="P66" s="145"/>
      <c r="Q66" s="146" t="s">
        <v>58</v>
      </c>
      <c r="R66" s="145"/>
      <c r="S66" s="147">
        <f>+SUM(E49:E52)</f>
        <v>91</v>
      </c>
      <c r="T66" s="145"/>
      <c r="U66" s="147"/>
      <c r="V66" s="145"/>
      <c r="W66" s="140"/>
    </row>
    <row r="67" spans="1:24">
      <c r="A67" s="10"/>
      <c r="B67" s="116" t="s">
        <v>5</v>
      </c>
      <c r="C67" s="144">
        <f t="shared" si="19"/>
        <v>59.6</v>
      </c>
      <c r="D67" s="144">
        <f t="shared" si="20"/>
        <v>38.99</v>
      </c>
      <c r="H67" s="106"/>
      <c r="I67" s="106"/>
      <c r="N67" s="133"/>
      <c r="O67" s="142"/>
      <c r="P67" s="145"/>
      <c r="Q67" s="146" t="s">
        <v>115</v>
      </c>
      <c r="R67" s="136"/>
      <c r="S67" s="147">
        <f>+SUMPRODUCT(E31:E34,E49:E52)</f>
        <v>35.006249864244587</v>
      </c>
      <c r="T67" s="148">
        <f>S67/S66</f>
        <v>0.38468406444224823</v>
      </c>
      <c r="U67" s="147"/>
      <c r="V67" s="148"/>
      <c r="W67" s="149"/>
    </row>
    <row r="68" spans="1:24">
      <c r="A68" s="10"/>
      <c r="B68" s="116" t="s">
        <v>6</v>
      </c>
      <c r="C68" s="144">
        <f t="shared" si="19"/>
        <v>69.08</v>
      </c>
      <c r="D68" s="144">
        <f t="shared" si="20"/>
        <v>44.73</v>
      </c>
      <c r="H68" s="106"/>
      <c r="I68" s="106"/>
      <c r="N68" s="133"/>
      <c r="O68" s="142"/>
      <c r="P68" s="145"/>
      <c r="Q68" s="146" t="s">
        <v>116</v>
      </c>
      <c r="R68" s="136"/>
      <c r="S68" s="147">
        <f>SUMPRODUCT(O31:O34,E49:E52)</f>
        <v>55.993750135755405</v>
      </c>
      <c r="T68" s="136"/>
      <c r="U68" s="147"/>
      <c r="V68" s="136"/>
      <c r="W68" s="140"/>
    </row>
    <row r="69" spans="1:24">
      <c r="A69" s="10"/>
      <c r="B69" s="116" t="s">
        <v>7</v>
      </c>
      <c r="C69" s="144">
        <f t="shared" si="19"/>
        <v>69.08</v>
      </c>
      <c r="D69" s="144">
        <f t="shared" si="20"/>
        <v>44.73</v>
      </c>
      <c r="H69" s="106"/>
      <c r="I69" s="106"/>
      <c r="N69" s="136"/>
      <c r="O69" s="142"/>
      <c r="P69" s="136"/>
      <c r="Q69" s="136"/>
      <c r="R69" s="136"/>
      <c r="S69" s="136"/>
      <c r="T69" s="136"/>
      <c r="U69" s="136"/>
      <c r="V69" s="136"/>
      <c r="W69" s="140"/>
    </row>
    <row r="70" spans="1:24">
      <c r="A70" s="10"/>
      <c r="B70" s="116" t="s">
        <v>8</v>
      </c>
      <c r="C70" s="144">
        <f t="shared" si="19"/>
        <v>56.71</v>
      </c>
      <c r="D70" s="144">
        <f t="shared" si="20"/>
        <v>37.270000000000003</v>
      </c>
      <c r="H70" s="106"/>
      <c r="I70" s="106"/>
      <c r="N70" s="133"/>
      <c r="O70" s="28"/>
      <c r="P70" s="136" t="s">
        <v>167</v>
      </c>
      <c r="Q70" s="136"/>
      <c r="R70" s="136"/>
      <c r="S70" s="136"/>
      <c r="T70" s="136"/>
      <c r="U70" s="136"/>
      <c r="V70" s="136"/>
      <c r="W70" s="140"/>
    </row>
    <row r="71" spans="1:24">
      <c r="A71" s="10"/>
      <c r="B71" s="116" t="s">
        <v>9</v>
      </c>
      <c r="C71" s="144">
        <f t="shared" si="19"/>
        <v>54.05</v>
      </c>
      <c r="D71" s="144">
        <f t="shared" si="20"/>
        <v>41.82</v>
      </c>
      <c r="H71" s="106"/>
      <c r="I71" s="106"/>
      <c r="N71" s="133"/>
      <c r="O71" s="142"/>
      <c r="P71" s="27"/>
      <c r="Q71" s="27"/>
      <c r="R71" s="27"/>
      <c r="S71" s="27" t="str">
        <f>S60</f>
        <v>SC3</v>
      </c>
      <c r="T71" s="27"/>
      <c r="U71" s="27"/>
      <c r="V71" s="27"/>
      <c r="W71" s="140"/>
    </row>
    <row r="72" spans="1:24">
      <c r="A72" s="10"/>
      <c r="B72" s="116" t="s">
        <v>10</v>
      </c>
      <c r="C72" s="144">
        <f t="shared" si="19"/>
        <v>54.05</v>
      </c>
      <c r="D72" s="144">
        <f t="shared" si="20"/>
        <v>41.82</v>
      </c>
      <c r="H72" s="106"/>
      <c r="I72" s="106"/>
      <c r="N72" s="133"/>
      <c r="O72" s="143"/>
      <c r="P72" s="136"/>
      <c r="Q72" s="136"/>
      <c r="R72" s="136"/>
      <c r="S72" s="136"/>
      <c r="T72" s="136"/>
      <c r="U72" s="136"/>
      <c r="V72" s="136"/>
      <c r="W72" s="140"/>
    </row>
    <row r="73" spans="1:24">
      <c r="A73" s="10"/>
      <c r="B73" s="116" t="s">
        <v>11</v>
      </c>
      <c r="C73" s="144">
        <f t="shared" si="19"/>
        <v>54.05</v>
      </c>
      <c r="D73" s="144">
        <f t="shared" si="20"/>
        <v>41.82</v>
      </c>
      <c r="H73" s="106"/>
      <c r="I73" s="106"/>
      <c r="N73" s="136"/>
      <c r="O73" s="142"/>
      <c r="P73" s="145"/>
      <c r="Q73" s="146" t="s">
        <v>57</v>
      </c>
      <c r="R73" s="145"/>
      <c r="S73" s="147">
        <f>SUM(E44:E48,E53:E55)</f>
        <v>179</v>
      </c>
      <c r="T73" s="145"/>
      <c r="U73" s="147"/>
      <c r="V73" s="145"/>
      <c r="W73" s="140"/>
    </row>
    <row r="74" spans="1:24">
      <c r="A74" s="10"/>
      <c r="B74" s="116"/>
      <c r="C74" s="150"/>
      <c r="D74" s="150"/>
      <c r="G74" s="151"/>
      <c r="M74" s="27"/>
      <c r="N74" s="27"/>
      <c r="O74" s="142"/>
      <c r="P74" s="145"/>
      <c r="Q74" s="146" t="s">
        <v>115</v>
      </c>
      <c r="R74" s="136"/>
      <c r="S74" s="147">
        <f>SUMPRODUCT(E8:E12,E44:E48)+SUMPRODUCT(E17:E19,E53:E55)</f>
        <v>84.166427941233295</v>
      </c>
      <c r="T74" s="136">
        <f>S74/S73</f>
        <v>0.47020350805158267</v>
      </c>
      <c r="U74" s="147"/>
      <c r="V74" s="136"/>
      <c r="W74" s="140"/>
    </row>
    <row r="75" spans="1:24">
      <c r="A75" s="10"/>
      <c r="B75" s="116"/>
      <c r="C75" s="150"/>
      <c r="D75" s="150"/>
      <c r="I75" s="151"/>
      <c r="M75" s="136"/>
      <c r="N75" s="136"/>
      <c r="O75" s="142"/>
      <c r="P75" s="145"/>
      <c r="Q75" s="146" t="s">
        <v>116</v>
      </c>
      <c r="R75" s="136"/>
      <c r="S75" s="147">
        <f>SUMPRODUCT(O8:O12,E44:E48)+SUMPRODUCT(O17:O19,E53:E55)</f>
        <v>94.83357205876672</v>
      </c>
      <c r="T75" s="136"/>
      <c r="U75" s="147"/>
      <c r="V75" s="136"/>
      <c r="W75" s="140"/>
    </row>
    <row r="76" spans="1:24">
      <c r="A76" s="102" t="s">
        <v>165</v>
      </c>
      <c r="B76" s="104" t="s">
        <v>37</v>
      </c>
      <c r="C76" s="73" t="str">
        <f>+C6</f>
        <v>SC1</v>
      </c>
      <c r="D76" s="73" t="str">
        <f t="shared" ref="D76:I76" si="21">+D6</f>
        <v>SC5</v>
      </c>
      <c r="E76" s="73" t="str">
        <f t="shared" si="21"/>
        <v>SC3</v>
      </c>
      <c r="F76" s="73" t="str">
        <f t="shared" si="21"/>
        <v>SC2 ND</v>
      </c>
      <c r="G76" s="73" t="str">
        <f t="shared" si="21"/>
        <v>SC4</v>
      </c>
      <c r="H76" s="73" t="str">
        <f t="shared" si="21"/>
        <v>SC6</v>
      </c>
      <c r="I76" s="73" t="str">
        <f t="shared" si="21"/>
        <v>SC2 Dem</v>
      </c>
      <c r="J76" s="106"/>
      <c r="K76" s="106"/>
      <c r="N76" s="133"/>
      <c r="O76" s="143"/>
      <c r="P76" s="136"/>
      <c r="Q76" s="136"/>
      <c r="R76" s="136"/>
      <c r="S76" s="136"/>
      <c r="T76" s="136"/>
      <c r="U76" s="136"/>
      <c r="V76" s="136"/>
      <c r="W76" s="140"/>
    </row>
    <row r="77" spans="1:24">
      <c r="A77" s="10"/>
      <c r="B77" s="116"/>
      <c r="C77" s="152"/>
      <c r="D77" s="152"/>
      <c r="E77" s="152"/>
      <c r="F77" s="152"/>
      <c r="N77" s="133"/>
      <c r="O77" s="142"/>
      <c r="P77" s="27"/>
      <c r="Q77" s="146" t="s">
        <v>58</v>
      </c>
      <c r="R77" s="27"/>
      <c r="S77" s="147">
        <f>+SUM(E49:E52)</f>
        <v>91</v>
      </c>
      <c r="T77" s="27"/>
      <c r="U77" s="147"/>
      <c r="V77" s="27"/>
      <c r="W77" s="140"/>
    </row>
    <row r="78" spans="1:24">
      <c r="A78" s="10"/>
      <c r="B78" s="109" t="s">
        <v>31</v>
      </c>
      <c r="C78" s="153">
        <v>1.0842187541012427</v>
      </c>
      <c r="D78" s="153">
        <v>1.0842187541012427</v>
      </c>
      <c r="E78" s="153">
        <v>1.0842187541012427</v>
      </c>
      <c r="F78" s="153">
        <v>1.0842187541012427</v>
      </c>
      <c r="G78" s="153">
        <v>1.0842187541012427</v>
      </c>
      <c r="H78" s="153">
        <v>1.0842187541012427</v>
      </c>
      <c r="I78" s="153">
        <v>1.0842187541012427</v>
      </c>
      <c r="J78" s="153"/>
      <c r="K78" s="153"/>
      <c r="N78" s="133"/>
      <c r="O78" s="142"/>
      <c r="P78" s="145"/>
      <c r="Q78" s="146" t="s">
        <v>115</v>
      </c>
      <c r="R78" s="136"/>
      <c r="S78" s="147">
        <f>+SUMPRODUCT(E13:E16,E49:E52)</f>
        <v>48.147675394990145</v>
      </c>
      <c r="T78" s="136">
        <f>S78/S77</f>
        <v>0.52909533401088071</v>
      </c>
      <c r="U78" s="147"/>
      <c r="V78" s="136"/>
      <c r="W78" s="140"/>
    </row>
    <row r="79" spans="1:24">
      <c r="A79" s="10"/>
      <c r="J79" s="153"/>
      <c r="K79" s="153"/>
      <c r="N79" s="136"/>
      <c r="O79" s="142"/>
      <c r="P79" s="145"/>
      <c r="Q79" s="146" t="s">
        <v>116</v>
      </c>
      <c r="R79" s="136"/>
      <c r="S79" s="147">
        <f>SUMPRODUCT(O13:O16,E49:E52)</f>
        <v>42.852324605009855</v>
      </c>
      <c r="T79" s="136"/>
      <c r="U79" s="147"/>
      <c r="V79" s="136"/>
      <c r="W79" s="140"/>
    </row>
    <row r="80" spans="1:24">
      <c r="A80" s="10"/>
      <c r="B80" s="112" t="s">
        <v>346</v>
      </c>
      <c r="C80" s="154"/>
      <c r="D80" s="112"/>
      <c r="E80" s="112"/>
      <c r="F80" s="112"/>
      <c r="G80" s="112"/>
      <c r="H80" s="112"/>
      <c r="I80" s="112"/>
      <c r="J80" s="153"/>
      <c r="K80" s="153"/>
      <c r="N80" s="136"/>
      <c r="O80" s="142"/>
      <c r="P80" s="145"/>
      <c r="Q80" s="146"/>
      <c r="R80" s="136"/>
      <c r="S80" s="147"/>
      <c r="T80" s="136"/>
      <c r="U80" s="147"/>
      <c r="V80" s="136"/>
      <c r="W80" s="140"/>
    </row>
    <row r="81" spans="1:23">
      <c r="A81" s="10"/>
      <c r="B81" s="112" t="s">
        <v>334</v>
      </c>
      <c r="C81" s="154">
        <v>1.0696225312830692</v>
      </c>
      <c r="D81" s="154">
        <v>1.0696225312830692</v>
      </c>
      <c r="E81" s="154">
        <v>1.0696225312830692</v>
      </c>
      <c r="F81" s="154">
        <v>1.0696225312830692</v>
      </c>
      <c r="G81" s="154">
        <v>1.0696225312830692</v>
      </c>
      <c r="H81" s="154">
        <v>1.0696225312830692</v>
      </c>
      <c r="I81" s="154">
        <v>1.0696225312830692</v>
      </c>
      <c r="J81" s="153"/>
      <c r="K81" s="153"/>
      <c r="N81" s="136"/>
      <c r="O81" s="142"/>
      <c r="P81" s="145"/>
      <c r="Q81" s="146"/>
      <c r="R81" s="136"/>
      <c r="S81" s="147"/>
      <c r="T81" s="136"/>
      <c r="U81" s="147"/>
      <c r="V81" s="136"/>
      <c r="W81" s="140"/>
    </row>
    <row r="82" spans="1:23">
      <c r="A82" s="10"/>
      <c r="N82" s="133"/>
      <c r="O82" s="28"/>
      <c r="P82" s="136"/>
      <c r="Q82" s="136"/>
      <c r="R82" s="136"/>
      <c r="S82" s="136"/>
      <c r="T82" s="136"/>
      <c r="U82" s="136"/>
      <c r="V82" s="136"/>
      <c r="W82" s="140"/>
    </row>
    <row r="83" spans="1:23">
      <c r="A83" s="19" t="s">
        <v>64</v>
      </c>
      <c r="B83" s="1" t="s">
        <v>131</v>
      </c>
      <c r="N83" s="133"/>
      <c r="O83" s="142"/>
      <c r="P83" s="136" t="s">
        <v>168</v>
      </c>
      <c r="Q83" s="136"/>
      <c r="R83" s="136"/>
      <c r="S83" s="136"/>
      <c r="T83" s="136"/>
      <c r="U83" s="136"/>
      <c r="V83" s="136"/>
      <c r="W83" s="140"/>
    </row>
    <row r="84" spans="1:23">
      <c r="A84" s="10"/>
      <c r="B84" s="18" t="s">
        <v>228</v>
      </c>
      <c r="N84" s="133"/>
      <c r="O84" s="143"/>
      <c r="P84" s="27"/>
      <c r="Q84" s="27"/>
      <c r="R84" s="27"/>
      <c r="S84" s="27" t="str">
        <f>S60</f>
        <v>SC3</v>
      </c>
      <c r="T84" s="27"/>
      <c r="U84" s="27"/>
      <c r="V84" s="27"/>
      <c r="W84" s="140"/>
    </row>
    <row r="85" spans="1:23">
      <c r="A85" s="10"/>
      <c r="B85" s="4" t="s">
        <v>32</v>
      </c>
      <c r="N85" s="136"/>
      <c r="O85" s="142"/>
      <c r="P85" s="136"/>
      <c r="Q85" s="136"/>
      <c r="R85" s="136"/>
      <c r="S85" s="136"/>
      <c r="T85" s="136"/>
      <c r="U85" s="136"/>
      <c r="V85" s="136"/>
      <c r="W85" s="140"/>
    </row>
    <row r="86" spans="1:23">
      <c r="A86" s="10"/>
      <c r="B86" s="1"/>
      <c r="C86" s="73" t="str">
        <f>+C6</f>
        <v>SC1</v>
      </c>
      <c r="D86" s="73" t="str">
        <f t="shared" ref="D86:I86" si="22">+D6</f>
        <v>SC5</v>
      </c>
      <c r="E86" s="73" t="str">
        <f t="shared" si="22"/>
        <v>SC3</v>
      </c>
      <c r="F86" s="73" t="str">
        <f t="shared" si="22"/>
        <v>SC2 ND</v>
      </c>
      <c r="G86" s="73" t="str">
        <f t="shared" si="22"/>
        <v>SC4</v>
      </c>
      <c r="H86" s="73" t="str">
        <f t="shared" si="22"/>
        <v>SC6</v>
      </c>
      <c r="I86" s="73" t="str">
        <f t="shared" si="22"/>
        <v>SC2 Dem</v>
      </c>
      <c r="J86" s="106"/>
      <c r="K86" s="106"/>
      <c r="M86" s="136"/>
      <c r="N86" s="136"/>
      <c r="O86" s="142"/>
      <c r="P86" s="145"/>
      <c r="Q86" s="146" t="s">
        <v>48</v>
      </c>
      <c r="R86" s="145"/>
      <c r="S86" s="145"/>
      <c r="T86" s="145"/>
      <c r="U86" s="145"/>
      <c r="V86" s="145"/>
      <c r="W86" s="140"/>
    </row>
    <row r="87" spans="1:23">
      <c r="A87" s="10"/>
      <c r="M87" s="136"/>
      <c r="N87" s="136"/>
      <c r="O87" s="142"/>
      <c r="P87" s="145"/>
      <c r="Q87" s="155" t="s">
        <v>170</v>
      </c>
      <c r="R87" s="136"/>
      <c r="S87" s="145">
        <f>S74-S63</f>
        <v>22.435149517574651</v>
      </c>
      <c r="T87" s="136"/>
      <c r="U87" s="145"/>
      <c r="V87" s="136"/>
      <c r="W87" s="140"/>
    </row>
    <row r="88" spans="1:23">
      <c r="A88" s="10"/>
      <c r="B88" s="116" t="s">
        <v>16</v>
      </c>
      <c r="C88" s="156">
        <f>(SUMPRODUCT(C13:C16,C49:C52,$C67:$C70)*C78+SUMPRODUCT(M13:M16,C49:C52,$D67:$D70)*C78)/SUM(C49:C52)</f>
        <v>58.439542792025513</v>
      </c>
      <c r="D88" s="156">
        <f t="shared" ref="D88:I88" si="23">(SUMPRODUCT(D13:D16,D49:D52,$C67:$C70)*D78+SUMPRODUCT(N13:N16,D49:D52,$D67:$D70)*D78)/SUM(D49:D52)</f>
        <v>57.819153987113964</v>
      </c>
      <c r="E88" s="156">
        <f t="shared" si="23"/>
        <v>58.219703358270706</v>
      </c>
      <c r="F88" s="156">
        <f t="shared" si="23"/>
        <v>58.942863104268454</v>
      </c>
      <c r="G88" s="156">
        <f t="shared" si="23"/>
        <v>50.334102138072083</v>
      </c>
      <c r="H88" s="156">
        <f t="shared" si="23"/>
        <v>50.334832470721189</v>
      </c>
      <c r="I88" s="156">
        <f t="shared" si="23"/>
        <v>58.009714415791187</v>
      </c>
      <c r="J88" s="156"/>
      <c r="K88" s="156"/>
      <c r="M88" s="136"/>
      <c r="N88" s="136"/>
      <c r="O88" s="143"/>
      <c r="P88" s="145"/>
      <c r="Q88" s="146" t="s">
        <v>169</v>
      </c>
      <c r="R88" s="136"/>
      <c r="S88" s="157">
        <f>S87*(E93-E94)</f>
        <v>312.29439024777577</v>
      </c>
      <c r="T88" s="136"/>
      <c r="U88" s="157"/>
      <c r="V88" s="136"/>
      <c r="W88" s="140"/>
    </row>
    <row r="89" spans="1:23">
      <c r="A89" s="10"/>
      <c r="B89" s="158" t="s">
        <v>78</v>
      </c>
      <c r="C89" s="156">
        <f>(SUMPRODUCT(C13:C16,C49:C52,$C67:$C70)*C78)/SUMPRODUCT(C13:C16,C49:C52)</f>
        <v>69.562465510393935</v>
      </c>
      <c r="D89" s="156">
        <f t="shared" ref="D89:I89" si="24">(SUMPRODUCT(D13:D16,D49:D52,$C67:$C70)*D78)/SUMPRODUCT(D13:D16,D49:D52)</f>
        <v>69.489370981000221</v>
      </c>
      <c r="E89" s="156">
        <f t="shared" si="24"/>
        <v>69.643846303118096</v>
      </c>
      <c r="F89" s="156">
        <f t="shared" si="24"/>
        <v>69.138030555112564</v>
      </c>
      <c r="G89" s="156">
        <f t="shared" si="24"/>
        <v>68.12311717995108</v>
      </c>
      <c r="H89" s="156">
        <f t="shared" si="24"/>
        <v>68.187269268664764</v>
      </c>
      <c r="I89" s="156">
        <f t="shared" si="24"/>
        <v>69.031084153736941</v>
      </c>
      <c r="J89" s="156"/>
      <c r="K89" s="156"/>
      <c r="O89" s="142"/>
      <c r="P89" s="136"/>
      <c r="Q89" s="146" t="s">
        <v>171</v>
      </c>
      <c r="R89" s="136"/>
      <c r="S89" s="159">
        <f>ROUND(S88/S73,2)</f>
        <v>1.74</v>
      </c>
      <c r="T89" s="136"/>
      <c r="U89" s="159"/>
      <c r="V89" s="136"/>
      <c r="W89" s="140"/>
    </row>
    <row r="90" spans="1:23">
      <c r="A90" s="10"/>
      <c r="B90" s="158" t="s">
        <v>79</v>
      </c>
      <c r="C90" s="156">
        <f>(SUMPRODUCT(M13:M16,C49:C52,$D67:$D70)*C78)/SUMPRODUCT(M13:M16,C49:C52)</f>
        <v>45.312988535542722</v>
      </c>
      <c r="D90" s="156">
        <f t="shared" ref="D90:I90" si="25">(SUMPRODUCT(N13:N16,D49:D52,$D67:$D70)*D78)/SUMPRODUCT(N13:N16,D49:D52)</f>
        <v>45.218857786098134</v>
      </c>
      <c r="E90" s="156">
        <f t="shared" si="25"/>
        <v>45.383855332649858</v>
      </c>
      <c r="F90" s="156">
        <f t="shared" si="25"/>
        <v>45.257569021929029</v>
      </c>
      <c r="G90" s="156">
        <f t="shared" si="25"/>
        <v>44.905664578524572</v>
      </c>
      <c r="H90" s="156">
        <f t="shared" si="25"/>
        <v>44.937472168404803</v>
      </c>
      <c r="I90" s="156">
        <f t="shared" si="25"/>
        <v>45.084753515737567</v>
      </c>
      <c r="J90" s="156"/>
      <c r="K90" s="156"/>
      <c r="O90" s="142"/>
      <c r="P90" s="27"/>
      <c r="V90" s="27"/>
      <c r="W90" s="140"/>
    </row>
    <row r="91" spans="1:23">
      <c r="A91" s="10"/>
      <c r="C91" s="160"/>
      <c r="D91" s="160"/>
      <c r="E91" s="160"/>
      <c r="F91" s="160"/>
      <c r="G91" s="160"/>
      <c r="H91" s="160"/>
      <c r="I91" s="160"/>
      <c r="J91" s="160"/>
      <c r="K91" s="160"/>
      <c r="O91" s="142"/>
      <c r="P91" s="145"/>
      <c r="Q91" s="146" t="s">
        <v>47</v>
      </c>
      <c r="R91" s="27"/>
      <c r="S91" s="161"/>
      <c r="T91" s="27"/>
      <c r="U91" s="161"/>
      <c r="V91" s="136"/>
      <c r="W91" s="140"/>
    </row>
    <row r="92" spans="1:23">
      <c r="A92" s="10"/>
      <c r="B92" s="116" t="s">
        <v>17</v>
      </c>
      <c r="C92" s="156">
        <f t="shared" ref="C92:I92" si="26">(SUMPRODUCT(C8:C12,C44:C48,$C62:$C66)*C78+SUMPRODUCT(M8:M12,C44:C48,$D62:$D66)*C78+SUMPRODUCT(C17:C19,C53:C55,$C71:$C73)*C78+SUMPRODUCT(M17:M19,C53:C55,$D71:$D73)*C78)/SUM(C44:C48,C53:C55)</f>
        <v>55.272223998968073</v>
      </c>
      <c r="D92" s="156">
        <f t="shared" si="26"/>
        <v>55.535552909725759</v>
      </c>
      <c r="E92" s="156">
        <f t="shared" si="26"/>
        <v>55.374121188666749</v>
      </c>
      <c r="F92" s="156">
        <f t="shared" si="26"/>
        <v>56.240566784612277</v>
      </c>
      <c r="G92" s="156">
        <f t="shared" si="26"/>
        <v>52.221855904613804</v>
      </c>
      <c r="H92" s="156">
        <f t="shared" si="26"/>
        <v>51.932124913502783</v>
      </c>
      <c r="I92" s="156">
        <f t="shared" si="26"/>
        <v>55.446159571637381</v>
      </c>
      <c r="J92" s="156"/>
      <c r="K92" s="156"/>
      <c r="O92" s="142"/>
      <c r="P92" s="145"/>
      <c r="Q92" s="155" t="s">
        <v>170</v>
      </c>
      <c r="R92" s="136"/>
      <c r="S92" s="145">
        <f>S78-S67</f>
        <v>13.141425530745558</v>
      </c>
      <c r="T92" s="136"/>
      <c r="U92" s="145"/>
      <c r="V92" s="136"/>
      <c r="W92" s="140"/>
    </row>
    <row r="93" spans="1:23">
      <c r="A93" s="10"/>
      <c r="B93" s="158" t="s">
        <v>78</v>
      </c>
      <c r="C93" s="156">
        <f t="shared" ref="C93:I93" si="27">(SUMPRODUCT(C8:C12,C44:C48,$C62:$C66)*C78+SUMPRODUCT(C17:C19,C53:C55,$C71:$C73)*C78)/(SUMPRODUCT(C8:C12,C44:C48)+SUMPRODUCT(C17:C19,C53:C55))</f>
        <v>62.226325325853701</v>
      </c>
      <c r="D93" s="156">
        <f t="shared" si="27"/>
        <v>62.851448391417115</v>
      </c>
      <c r="E93" s="156">
        <f t="shared" si="27"/>
        <v>62.748820085985606</v>
      </c>
      <c r="F93" s="156">
        <f t="shared" si="27"/>
        <v>62.791366484532865</v>
      </c>
      <c r="G93" s="156">
        <f t="shared" si="27"/>
        <v>62.255407789079143</v>
      </c>
      <c r="H93" s="156">
        <f t="shared" si="27"/>
        <v>61.947014414932632</v>
      </c>
      <c r="I93" s="156">
        <f t="shared" si="27"/>
        <v>61.991289915191388</v>
      </c>
      <c r="J93" s="156"/>
      <c r="K93" s="156"/>
      <c r="O93" s="136"/>
      <c r="P93" s="136"/>
      <c r="Q93" s="146" t="s">
        <v>169</v>
      </c>
      <c r="R93" s="136"/>
      <c r="S93" s="157">
        <f>S92*(E89-E90)</f>
        <v>318.81086471496798</v>
      </c>
      <c r="T93" s="136"/>
      <c r="U93" s="157"/>
      <c r="V93" s="136"/>
      <c r="W93" s="136"/>
    </row>
    <row r="94" spans="1:23">
      <c r="A94" s="10"/>
      <c r="B94" s="158" t="s">
        <v>79</v>
      </c>
      <c r="C94" s="156">
        <f t="shared" ref="C94:I94" si="28">(SUMPRODUCT(M8:M12,C44:C48,$D62:$D66)*C78+SUMPRODUCT(M17:M19,C53:C55,$D71:$D73)*C78)/(SUMPRODUCT(M8:M12,C44:C48)+SUMPRODUCT(M17:M19,C53:C55))</f>
        <v>48.339134461953577</v>
      </c>
      <c r="D94" s="156">
        <f t="shared" si="28"/>
        <v>48.903930987662925</v>
      </c>
      <c r="E94" s="156">
        <f t="shared" si="28"/>
        <v>48.828948947924374</v>
      </c>
      <c r="F94" s="156">
        <f t="shared" si="28"/>
        <v>49.03683772464511</v>
      </c>
      <c r="G94" s="156">
        <f t="shared" si="28"/>
        <v>48.238127970254077</v>
      </c>
      <c r="H94" s="156">
        <f t="shared" si="28"/>
        <v>47.9860345336973</v>
      </c>
      <c r="I94" s="156">
        <f t="shared" si="28"/>
        <v>48.101652726541516</v>
      </c>
      <c r="J94" s="156"/>
      <c r="K94" s="156"/>
      <c r="O94" s="136"/>
      <c r="P94" s="136"/>
      <c r="Q94" s="146" t="s">
        <v>171</v>
      </c>
      <c r="R94" s="136"/>
      <c r="S94" s="159">
        <f>ROUND(S93/S77,2)</f>
        <v>3.5</v>
      </c>
      <c r="T94" s="136"/>
      <c r="U94" s="159"/>
      <c r="V94" s="136"/>
      <c r="W94" s="136"/>
    </row>
    <row r="95" spans="1:23">
      <c r="A95" s="10"/>
      <c r="C95" s="160"/>
      <c r="D95" s="160"/>
      <c r="E95" s="160"/>
      <c r="F95" s="160"/>
      <c r="G95" s="160"/>
      <c r="H95" s="160"/>
      <c r="I95" s="160"/>
      <c r="J95" s="160"/>
      <c r="K95" s="160"/>
      <c r="P95" s="136"/>
      <c r="Q95" s="136"/>
      <c r="R95" s="136"/>
      <c r="S95" s="136"/>
      <c r="T95" s="136"/>
      <c r="U95" s="136"/>
      <c r="V95" s="136"/>
      <c r="W95" s="136"/>
    </row>
    <row r="96" spans="1:23">
      <c r="A96" s="42"/>
      <c r="B96" s="109" t="s">
        <v>15</v>
      </c>
      <c r="C96" s="156">
        <f t="shared" ref="C96:I96" si="29">(C88*SUM(C49:C52)+C92*SUM(C44:C48,C53:C55))/C56</f>
        <v>56.606189039193808</v>
      </c>
      <c r="D96" s="160">
        <f t="shared" si="29"/>
        <v>56.294549286635458</v>
      </c>
      <c r="E96" s="160">
        <f t="shared" si="29"/>
        <v>56.33318777175549</v>
      </c>
      <c r="F96" s="160">
        <f t="shared" si="29"/>
        <v>57.036466099802063</v>
      </c>
      <c r="G96" s="160">
        <f t="shared" si="29"/>
        <v>51.696911637127684</v>
      </c>
      <c r="H96" s="160">
        <f t="shared" si="29"/>
        <v>51.455875622163177</v>
      </c>
      <c r="I96" s="160">
        <f t="shared" si="29"/>
        <v>56.390797853841207</v>
      </c>
      <c r="J96" s="160"/>
      <c r="K96" s="160"/>
    </row>
    <row r="97" spans="1:11">
      <c r="A97" s="10"/>
      <c r="C97" s="156"/>
      <c r="D97" s="160"/>
      <c r="E97" s="160"/>
      <c r="F97" s="160"/>
      <c r="G97" s="160"/>
      <c r="H97" s="160"/>
      <c r="I97" s="160"/>
      <c r="J97" s="160"/>
      <c r="K97" s="160"/>
    </row>
    <row r="98" spans="1:11">
      <c r="A98" s="10"/>
      <c r="B98" s="109" t="s">
        <v>81</v>
      </c>
      <c r="C98" s="162">
        <f>SUMPRODUCT(C96:I96,C56:I56)/SUM(C56:I56)</f>
        <v>56.47754587015671</v>
      </c>
      <c r="D98" s="160"/>
      <c r="E98" s="160"/>
      <c r="F98" s="160"/>
      <c r="G98" s="160"/>
      <c r="H98" s="160"/>
      <c r="I98" s="160"/>
      <c r="J98" s="160"/>
      <c r="K98" s="160"/>
    </row>
    <row r="99" spans="1:11">
      <c r="A99" s="10"/>
      <c r="C99" s="156"/>
      <c r="D99" s="160"/>
      <c r="E99" s="160"/>
      <c r="F99" s="160"/>
      <c r="G99" s="160"/>
      <c r="H99" s="160"/>
      <c r="I99" s="160"/>
      <c r="J99" s="160"/>
      <c r="K99" s="160"/>
    </row>
    <row r="100" spans="1:11">
      <c r="A100" s="10"/>
      <c r="C100" s="160"/>
      <c r="D100" s="160"/>
      <c r="E100" s="160"/>
      <c r="F100" s="160"/>
      <c r="G100" s="160"/>
      <c r="H100" s="160"/>
      <c r="I100" s="160"/>
      <c r="J100" s="160"/>
      <c r="K100" s="160"/>
    </row>
    <row r="101" spans="1:11">
      <c r="A101" s="19" t="s">
        <v>65</v>
      </c>
      <c r="B101" s="1" t="s">
        <v>127</v>
      </c>
      <c r="C101" s="160"/>
      <c r="D101" s="160"/>
      <c r="E101" s="160"/>
      <c r="F101" s="160"/>
      <c r="G101" s="160"/>
      <c r="H101" s="160"/>
      <c r="I101" s="160"/>
      <c r="J101" s="160"/>
      <c r="K101" s="160"/>
    </row>
    <row r="102" spans="1:11">
      <c r="A102" s="10"/>
      <c r="B102" s="4" t="s">
        <v>228</v>
      </c>
      <c r="C102" s="160"/>
      <c r="D102" s="160"/>
      <c r="E102" s="160"/>
      <c r="F102" s="160"/>
      <c r="G102" s="160"/>
      <c r="H102" s="160"/>
      <c r="I102" s="160"/>
      <c r="J102" s="160"/>
      <c r="K102" s="160"/>
    </row>
    <row r="103" spans="1:11">
      <c r="A103" s="10"/>
      <c r="B103" s="4" t="s">
        <v>80</v>
      </c>
      <c r="C103" s="160"/>
      <c r="D103" s="160"/>
      <c r="E103" s="160"/>
      <c r="F103" s="160"/>
      <c r="G103" s="160"/>
      <c r="H103" s="160"/>
      <c r="I103" s="160"/>
      <c r="J103" s="160"/>
      <c r="K103" s="160"/>
    </row>
    <row r="104" spans="1:11">
      <c r="A104" s="10"/>
      <c r="B104" s="1"/>
      <c r="C104" s="73" t="str">
        <f>+C6</f>
        <v>SC1</v>
      </c>
      <c r="D104" s="73" t="str">
        <f t="shared" ref="D104:I104" si="30">+D6</f>
        <v>SC5</v>
      </c>
      <c r="E104" s="73" t="str">
        <f t="shared" si="30"/>
        <v>SC3</v>
      </c>
      <c r="F104" s="73" t="str">
        <f t="shared" si="30"/>
        <v>SC2 ND</v>
      </c>
      <c r="G104" s="73" t="str">
        <f t="shared" si="30"/>
        <v>SC4</v>
      </c>
      <c r="H104" s="73" t="str">
        <f t="shared" si="30"/>
        <v>SC6</v>
      </c>
      <c r="I104" s="73" t="str">
        <f t="shared" si="30"/>
        <v>SC2 Dem</v>
      </c>
      <c r="J104" s="106"/>
      <c r="K104" s="106"/>
    </row>
    <row r="105" spans="1:11">
      <c r="A105" s="10"/>
      <c r="C105" s="163"/>
    </row>
    <row r="106" spans="1:11">
      <c r="A106" s="10"/>
      <c r="B106" s="116" t="s">
        <v>16</v>
      </c>
      <c r="C106" s="164">
        <f t="shared" ref="C106:I106" si="31">SUM(C49:C52)*C88/1000</f>
        <v>18002.943992054174</v>
      </c>
      <c r="D106" s="164">
        <f t="shared" si="31"/>
        <v>318.58353846899792</v>
      </c>
      <c r="E106" s="164">
        <f t="shared" si="31"/>
        <v>5.2979930056026339</v>
      </c>
      <c r="F106" s="164">
        <f t="shared" si="31"/>
        <v>678.49129719323423</v>
      </c>
      <c r="G106" s="164">
        <f t="shared" si="31"/>
        <v>95.584459960198885</v>
      </c>
      <c r="H106" s="164">
        <f t="shared" si="31"/>
        <v>86.475242184698999</v>
      </c>
      <c r="I106" s="164">
        <f t="shared" si="31"/>
        <v>12637.474295194525</v>
      </c>
      <c r="J106" s="164"/>
      <c r="K106" s="164"/>
    </row>
    <row r="107" spans="1:11">
      <c r="A107" s="10"/>
      <c r="B107" s="158" t="s">
        <v>78</v>
      </c>
      <c r="C107" s="164">
        <f t="shared" ref="C107:I107" si="32">SUMPRODUCT(C49:C52,C13:C16)*C89/1000</f>
        <v>11600.055022994278</v>
      </c>
      <c r="D107" s="164">
        <f t="shared" si="32"/>
        <v>198.77958254673453</v>
      </c>
      <c r="E107" s="164">
        <f t="shared" si="32"/>
        <v>3.3531893050611146</v>
      </c>
      <c r="F107" s="164">
        <f t="shared" si="32"/>
        <v>456.08047092330412</v>
      </c>
      <c r="G107" s="164">
        <f t="shared" si="32"/>
        <v>30.246822384716538</v>
      </c>
      <c r="H107" s="164">
        <f t="shared" si="32"/>
        <v>27.194977333533242</v>
      </c>
      <c r="I107" s="164">
        <f t="shared" si="32"/>
        <v>8116.9807354750128</v>
      </c>
      <c r="J107" s="164"/>
      <c r="K107" s="164"/>
    </row>
    <row r="108" spans="1:11">
      <c r="A108" s="10"/>
      <c r="B108" s="158" t="s">
        <v>79</v>
      </c>
      <c r="C108" s="164">
        <f t="shared" ref="C108:I108" si="33">SUMPRODUCT(C49:C52,M13:M16)*C90/1000</f>
        <v>6402.8889690598944</v>
      </c>
      <c r="D108" s="164">
        <f t="shared" si="33"/>
        <v>119.80395592226338</v>
      </c>
      <c r="E108" s="164">
        <f t="shared" si="33"/>
        <v>1.9448037005415193</v>
      </c>
      <c r="F108" s="164">
        <f t="shared" si="33"/>
        <v>222.41082626993008</v>
      </c>
      <c r="G108" s="164">
        <f t="shared" si="33"/>
        <v>65.337637575482361</v>
      </c>
      <c r="H108" s="164">
        <f t="shared" si="33"/>
        <v>59.280264851165761</v>
      </c>
      <c r="I108" s="164">
        <f t="shared" si="33"/>
        <v>4520.4935597195135</v>
      </c>
      <c r="J108" s="164"/>
      <c r="K108" s="164"/>
    </row>
    <row r="109" spans="1:11">
      <c r="A109" s="10"/>
      <c r="C109" s="165"/>
      <c r="D109" s="165"/>
      <c r="E109" s="165"/>
      <c r="F109" s="165"/>
      <c r="G109" s="165"/>
      <c r="H109" s="165"/>
      <c r="I109" s="165"/>
      <c r="J109" s="165"/>
      <c r="K109" s="165"/>
    </row>
    <row r="110" spans="1:11">
      <c r="A110" s="10"/>
      <c r="B110" s="116" t="s">
        <v>17</v>
      </c>
      <c r="C110" s="165">
        <f t="shared" ref="C110:I110" si="34">SUM(C44:C48,C53:C55)*C92/1000</f>
        <v>23401.596374475095</v>
      </c>
      <c r="D110" s="165">
        <f t="shared" si="34"/>
        <v>614.66749960484469</v>
      </c>
      <c r="E110" s="165">
        <f t="shared" si="34"/>
        <v>9.9119676927713485</v>
      </c>
      <c r="F110" s="165">
        <f t="shared" si="34"/>
        <v>1550.6649073853298</v>
      </c>
      <c r="G110" s="165">
        <f t="shared" si="34"/>
        <v>257.45374960974607</v>
      </c>
      <c r="H110" s="165">
        <f t="shared" si="34"/>
        <v>210.01351315020526</v>
      </c>
      <c r="I110" s="165">
        <f t="shared" si="34"/>
        <v>20700.934568389959</v>
      </c>
      <c r="J110" s="165"/>
      <c r="K110" s="165"/>
    </row>
    <row r="111" spans="1:11">
      <c r="A111" s="10"/>
      <c r="B111" s="158" t="s">
        <v>78</v>
      </c>
      <c r="C111" s="164">
        <f t="shared" ref="C111:I111" si="35">(SUMPRODUCT(C44:C48,C8:C12)+SUMPRODUCT(C53:C55,C17:C19))*C93/1000</f>
        <v>13153.008609828707</v>
      </c>
      <c r="D111" s="164">
        <f t="shared" si="35"/>
        <v>330.75566197368386</v>
      </c>
      <c r="E111" s="164">
        <f t="shared" si="35"/>
        <v>5.2813440441645199</v>
      </c>
      <c r="F111" s="164">
        <f t="shared" si="35"/>
        <v>906.7339118805271</v>
      </c>
      <c r="G111" s="164">
        <f t="shared" si="35"/>
        <v>87.226797829511952</v>
      </c>
      <c r="H111" s="164">
        <f t="shared" si="35"/>
        <v>70.808053141500267</v>
      </c>
      <c r="I111" s="164">
        <f t="shared" si="35"/>
        <v>12238.294327196978</v>
      </c>
      <c r="J111" s="164"/>
      <c r="K111" s="164"/>
    </row>
    <row r="112" spans="1:11">
      <c r="A112" s="10"/>
      <c r="B112" s="158" t="s">
        <v>79</v>
      </c>
      <c r="C112" s="164">
        <f t="shared" ref="C112:I112" si="36">+(SUMPRODUCT(C44:C48,M8:M12)+SUMPRODUCT(C53:C55,M17:M19))*C94/1000</f>
        <v>10248.587764646389</v>
      </c>
      <c r="D112" s="164">
        <f t="shared" si="36"/>
        <v>283.91183763116084</v>
      </c>
      <c r="E112" s="164">
        <f t="shared" si="36"/>
        <v>4.6306236486068277</v>
      </c>
      <c r="F112" s="164">
        <f t="shared" si="36"/>
        <v>643.93099550480258</v>
      </c>
      <c r="G112" s="164">
        <f t="shared" si="36"/>
        <v>170.22695178023412</v>
      </c>
      <c r="H112" s="164">
        <f t="shared" si="36"/>
        <v>139.20546000870499</v>
      </c>
      <c r="I112" s="164">
        <f t="shared" si="36"/>
        <v>8462.640241192983</v>
      </c>
      <c r="J112" s="164"/>
      <c r="K112" s="164"/>
    </row>
    <row r="113" spans="1:11">
      <c r="A113" s="10"/>
      <c r="C113" s="160"/>
      <c r="D113" s="160"/>
      <c r="E113" s="160"/>
      <c r="F113" s="160"/>
      <c r="G113" s="160"/>
      <c r="H113" s="160"/>
      <c r="I113" s="160"/>
      <c r="J113" s="160"/>
      <c r="K113" s="160"/>
    </row>
    <row r="114" spans="1:11">
      <c r="A114" s="10"/>
      <c r="B114" s="109" t="s">
        <v>15</v>
      </c>
      <c r="C114" s="165">
        <f>+C106+C110</f>
        <v>41404.540366529269</v>
      </c>
      <c r="D114" s="165">
        <f t="shared" ref="D114:I114" si="37">+D106+D110</f>
        <v>933.25103807384266</v>
      </c>
      <c r="E114" s="165">
        <f t="shared" si="37"/>
        <v>15.209960698373983</v>
      </c>
      <c r="F114" s="165">
        <f t="shared" si="37"/>
        <v>2229.156204578564</v>
      </c>
      <c r="G114" s="165">
        <f t="shared" si="37"/>
        <v>353.03820956994497</v>
      </c>
      <c r="H114" s="165">
        <f t="shared" si="37"/>
        <v>296.48875533490423</v>
      </c>
      <c r="I114" s="165">
        <f t="shared" si="37"/>
        <v>33338.408863584482</v>
      </c>
      <c r="J114" s="165"/>
      <c r="K114" s="165"/>
    </row>
    <row r="115" spans="1:11">
      <c r="A115" s="10"/>
    </row>
    <row r="116" spans="1:11">
      <c r="A116" s="10"/>
      <c r="B116" s="109" t="s">
        <v>81</v>
      </c>
      <c r="C116" s="166">
        <f>SUM(C114:I114)</f>
        <v>78570.093398369383</v>
      </c>
      <c r="D116" s="26"/>
      <c r="E116" s="167"/>
      <c r="F116" s="156"/>
    </row>
    <row r="117" spans="1:11">
      <c r="A117" s="10"/>
    </row>
    <row r="118" spans="1:11">
      <c r="A118" s="10"/>
    </row>
    <row r="119" spans="1:11">
      <c r="A119" s="19" t="s">
        <v>66</v>
      </c>
      <c r="B119" s="20" t="s">
        <v>153</v>
      </c>
      <c r="C119" s="160"/>
    </row>
    <row r="120" spans="1:11">
      <c r="A120" s="10"/>
      <c r="B120" s="18" t="s">
        <v>229</v>
      </c>
      <c r="C120" s="160"/>
    </row>
    <row r="121" spans="1:11">
      <c r="A121" s="10"/>
      <c r="B121" s="4"/>
      <c r="C121" s="160"/>
    </row>
    <row r="122" spans="1:11">
      <c r="A122" s="10"/>
      <c r="B122" s="1"/>
      <c r="C122" s="73" t="str">
        <f>+C6</f>
        <v>SC1</v>
      </c>
      <c r="D122" s="73" t="str">
        <f t="shared" ref="D122:I122" si="38">+D6</f>
        <v>SC5</v>
      </c>
      <c r="E122" s="73" t="str">
        <f t="shared" si="38"/>
        <v>SC3</v>
      </c>
      <c r="F122" s="73" t="str">
        <f t="shared" si="38"/>
        <v>SC2 ND</v>
      </c>
      <c r="G122" s="73" t="str">
        <f t="shared" si="38"/>
        <v>SC4</v>
      </c>
      <c r="H122" s="73" t="str">
        <f t="shared" si="38"/>
        <v>SC6</v>
      </c>
      <c r="I122" s="73" t="str">
        <f t="shared" si="38"/>
        <v>SC2 Dem</v>
      </c>
      <c r="J122" s="106"/>
      <c r="K122" s="106"/>
    </row>
    <row r="123" spans="1:11">
      <c r="A123" s="10"/>
      <c r="C123" s="163"/>
    </row>
    <row r="124" spans="1:11">
      <c r="A124" s="10"/>
      <c r="B124" s="116" t="s">
        <v>16</v>
      </c>
      <c r="C124" s="168">
        <f t="shared" ref="C124:I124" si="39">+C106/SUM(C49:C52)*1000</f>
        <v>58.43954279202552</v>
      </c>
      <c r="D124" s="168">
        <f t="shared" si="39"/>
        <v>57.819153987113957</v>
      </c>
      <c r="E124" s="168">
        <f t="shared" si="39"/>
        <v>58.219703358270699</v>
      </c>
      <c r="F124" s="168">
        <f t="shared" si="39"/>
        <v>58.942863104268461</v>
      </c>
      <c r="G124" s="168">
        <f t="shared" si="39"/>
        <v>50.334102138072083</v>
      </c>
      <c r="H124" s="168">
        <f t="shared" si="39"/>
        <v>50.334832470721189</v>
      </c>
      <c r="I124" s="168">
        <f t="shared" si="39"/>
        <v>58.00971441579118</v>
      </c>
      <c r="J124" s="168"/>
      <c r="K124" s="168"/>
    </row>
    <row r="125" spans="1:11">
      <c r="A125" s="10"/>
      <c r="B125" s="158" t="s">
        <v>154</v>
      </c>
      <c r="C125" s="164"/>
      <c r="D125" s="164"/>
      <c r="E125" s="168">
        <f>E89+S94</f>
        <v>73.143846303118096</v>
      </c>
      <c r="F125" s="164"/>
      <c r="G125" s="164"/>
      <c r="H125" s="164"/>
      <c r="I125" s="164"/>
      <c r="J125" s="168"/>
      <c r="K125" s="168"/>
    </row>
    <row r="126" spans="1:11">
      <c r="A126" s="10"/>
      <c r="B126" s="158" t="s">
        <v>155</v>
      </c>
      <c r="C126" s="164"/>
      <c r="D126" s="164"/>
      <c r="E126" s="168">
        <f>E90+S94</f>
        <v>48.883855332649858</v>
      </c>
      <c r="F126" s="164"/>
      <c r="G126" s="164"/>
      <c r="H126" s="164"/>
      <c r="I126" s="164"/>
      <c r="J126" s="168"/>
      <c r="K126" s="168"/>
    </row>
    <row r="127" spans="1:11">
      <c r="A127" s="10"/>
      <c r="C127" s="165"/>
      <c r="D127" s="165"/>
      <c r="E127" s="165"/>
      <c r="F127" s="165"/>
      <c r="G127" s="165"/>
      <c r="H127" s="165"/>
      <c r="I127" s="165"/>
      <c r="J127" s="165"/>
      <c r="K127" s="165"/>
    </row>
    <row r="128" spans="1:11">
      <c r="A128" s="10"/>
      <c r="B128" s="116" t="s">
        <v>17</v>
      </c>
      <c r="C128" s="160">
        <f t="shared" ref="C128:I128" si="40">+C110/SUM(C44:C48,C53:C55)*1000</f>
        <v>55.27222399896808</v>
      </c>
      <c r="D128" s="160">
        <f t="shared" si="40"/>
        <v>55.535552909725752</v>
      </c>
      <c r="E128" s="160">
        <f t="shared" si="40"/>
        <v>55.374121188666756</v>
      </c>
      <c r="F128" s="160">
        <f t="shared" si="40"/>
        <v>56.240566784612284</v>
      </c>
      <c r="G128" s="160">
        <f t="shared" si="40"/>
        <v>52.221855904613804</v>
      </c>
      <c r="H128" s="160">
        <f t="shared" si="40"/>
        <v>51.932124913502783</v>
      </c>
      <c r="I128" s="160">
        <f t="shared" si="40"/>
        <v>55.446159571637381</v>
      </c>
      <c r="J128" s="160"/>
      <c r="K128" s="160"/>
    </row>
    <row r="129" spans="1:22">
      <c r="A129" s="10"/>
      <c r="B129" s="158" t="s">
        <v>154</v>
      </c>
      <c r="C129" s="164"/>
      <c r="D129" s="164"/>
      <c r="E129" s="168">
        <f>E93+S89</f>
        <v>64.488820085985608</v>
      </c>
      <c r="F129" s="164"/>
      <c r="G129" s="164"/>
      <c r="H129" s="164"/>
      <c r="I129" s="164"/>
      <c r="J129" s="168"/>
      <c r="K129" s="168"/>
    </row>
    <row r="130" spans="1:22">
      <c r="A130" s="10"/>
      <c r="B130" s="158" t="s">
        <v>155</v>
      </c>
      <c r="C130" s="164"/>
      <c r="D130" s="164"/>
      <c r="E130" s="168">
        <f>E94+S89</f>
        <v>50.568948947924376</v>
      </c>
      <c r="F130" s="164"/>
      <c r="G130" s="164"/>
      <c r="H130" s="164"/>
      <c r="I130" s="164"/>
      <c r="J130" s="168"/>
      <c r="K130" s="168"/>
    </row>
    <row r="131" spans="1:22">
      <c r="A131" s="10"/>
      <c r="C131" s="160"/>
      <c r="D131" s="160"/>
      <c r="E131" s="160"/>
      <c r="F131" s="160"/>
      <c r="G131" s="160"/>
      <c r="H131" s="160"/>
      <c r="I131" s="160"/>
      <c r="J131" s="160"/>
      <c r="K131" s="160"/>
    </row>
    <row r="132" spans="1:22">
      <c r="A132" s="10"/>
      <c r="B132" s="109" t="s">
        <v>82</v>
      </c>
      <c r="C132" s="156">
        <f t="shared" ref="C132:I132" si="41">(C124*SUM(C49:C52)+C128*SUM(C44:C48,C53:C55))/C56</f>
        <v>56.606189039193808</v>
      </c>
      <c r="D132" s="156">
        <f t="shared" si="41"/>
        <v>56.294549286635451</v>
      </c>
      <c r="E132" s="156">
        <f t="shared" si="41"/>
        <v>56.33318777175549</v>
      </c>
      <c r="F132" s="156">
        <f t="shared" si="41"/>
        <v>57.036466099802063</v>
      </c>
      <c r="G132" s="156">
        <f t="shared" si="41"/>
        <v>51.696911637127684</v>
      </c>
      <c r="H132" s="156">
        <f t="shared" si="41"/>
        <v>51.455875622163177</v>
      </c>
      <c r="I132" s="156">
        <f t="shared" si="41"/>
        <v>56.390797853841207</v>
      </c>
      <c r="J132" s="156"/>
      <c r="K132" s="156"/>
    </row>
    <row r="133" spans="1:22">
      <c r="A133" s="10"/>
      <c r="B133" s="109" t="s">
        <v>83</v>
      </c>
      <c r="C133" s="162">
        <f>+C116/SUM(C56:I56)*1000</f>
        <v>56.47754587015671</v>
      </c>
    </row>
    <row r="134" spans="1:22">
      <c r="A134" s="10"/>
    </row>
    <row r="135" spans="1:22">
      <c r="A135" s="102" t="s">
        <v>67</v>
      </c>
      <c r="B135" s="103" t="s">
        <v>202</v>
      </c>
      <c r="C135" s="169"/>
      <c r="D135" s="169"/>
      <c r="E135" s="169"/>
    </row>
    <row r="136" spans="1:22">
      <c r="A136" s="10"/>
      <c r="B136" s="18" t="str">
        <f>"Obligations - annual average forecasted for " &amp;M1-1 &amp;"; costs are market estimates"</f>
        <v>Obligations - annual average forecasted for 2011; costs are market estimates</v>
      </c>
    </row>
    <row r="137" spans="1:22">
      <c r="A137" s="10"/>
      <c r="B137" s="4" t="s">
        <v>74</v>
      </c>
      <c r="C137" s="73" t="str">
        <f>+C6</f>
        <v>SC1</v>
      </c>
      <c r="D137" s="73" t="str">
        <f t="shared" ref="D137:I137" si="42">+D6</f>
        <v>SC5</v>
      </c>
      <c r="E137" s="73" t="str">
        <f t="shared" si="42"/>
        <v>SC3</v>
      </c>
      <c r="F137" s="73" t="str">
        <f t="shared" si="42"/>
        <v>SC2 ND</v>
      </c>
      <c r="G137" s="73" t="str">
        <f t="shared" si="42"/>
        <v>SC4</v>
      </c>
      <c r="H137" s="73" t="str">
        <f t="shared" si="42"/>
        <v>SC6</v>
      </c>
      <c r="I137" s="73" t="str">
        <f t="shared" si="42"/>
        <v>SC2 Dem</v>
      </c>
      <c r="J137" s="73" t="s">
        <v>227</v>
      </c>
      <c r="K137" s="106"/>
    </row>
    <row r="138" spans="1:22">
      <c r="A138" s="10"/>
    </row>
    <row r="139" spans="1:22">
      <c r="A139" s="10"/>
      <c r="B139" s="109" t="s">
        <v>18</v>
      </c>
      <c r="C139" s="170">
        <v>325.99799999999999</v>
      </c>
      <c r="D139" s="170">
        <v>4.6239999999999997</v>
      </c>
      <c r="E139" s="170">
        <v>5.6000000000000001E-2</v>
      </c>
      <c r="F139" s="170">
        <v>8.8170000000000002</v>
      </c>
      <c r="G139" s="170">
        <v>0</v>
      </c>
      <c r="H139" s="171">
        <v>0</v>
      </c>
      <c r="I139" s="170">
        <v>145.22200000000001</v>
      </c>
      <c r="J139" s="171">
        <f>SUM(C139:I139)</f>
        <v>484.71699999999998</v>
      </c>
      <c r="K139" s="172"/>
      <c r="L139" s="171"/>
      <c r="M139" s="171"/>
      <c r="N139" s="171"/>
      <c r="O139" s="171"/>
      <c r="P139" s="171"/>
      <c r="Q139" s="171"/>
      <c r="R139" s="171"/>
      <c r="S139" s="150"/>
      <c r="T139" s="150"/>
      <c r="U139" s="150"/>
      <c r="V139" s="150"/>
    </row>
    <row r="140" spans="1:22">
      <c r="A140" s="10"/>
      <c r="C140" s="171"/>
      <c r="D140" s="171"/>
      <c r="E140" s="171"/>
      <c r="F140" s="171"/>
      <c r="G140" s="171"/>
      <c r="H140" s="171"/>
      <c r="I140" s="171"/>
      <c r="J140" s="171"/>
    </row>
    <row r="141" spans="1:22">
      <c r="A141" s="10"/>
      <c r="B141" s="109" t="s">
        <v>19</v>
      </c>
      <c r="C141" s="171">
        <v>285.72000000000003</v>
      </c>
      <c r="D141" s="171">
        <v>3.7130000000000001</v>
      </c>
      <c r="E141" s="171">
        <v>6.0999999999999999E-2</v>
      </c>
      <c r="F141" s="171">
        <v>9.0719999999999992</v>
      </c>
      <c r="G141" s="171">
        <v>0</v>
      </c>
      <c r="H141" s="171">
        <v>0</v>
      </c>
      <c r="I141" s="171">
        <v>137.196</v>
      </c>
      <c r="J141" s="171">
        <f>SUM(C141:I141)</f>
        <v>435.76200000000006</v>
      </c>
      <c r="K141" s="172"/>
      <c r="L141" s="171"/>
      <c r="M141" s="171"/>
      <c r="N141" s="173" t="s">
        <v>47</v>
      </c>
      <c r="O141" s="173" t="s">
        <v>48</v>
      </c>
      <c r="P141" s="171"/>
      <c r="Q141" s="171"/>
      <c r="R141" s="171"/>
      <c r="S141" s="150"/>
      <c r="T141" s="150"/>
      <c r="U141" s="150"/>
      <c r="V141" s="150"/>
    </row>
    <row r="142" spans="1:22">
      <c r="A142" s="10"/>
      <c r="C142" s="172"/>
      <c r="D142" s="172"/>
      <c r="E142" s="172"/>
      <c r="F142" s="172"/>
      <c r="G142" s="172"/>
      <c r="H142" s="172"/>
      <c r="I142" s="172"/>
      <c r="J142" s="172"/>
      <c r="K142" s="172"/>
      <c r="N142" s="174">
        <f>DATE($M$1,10,1)</f>
        <v>41183</v>
      </c>
      <c r="O142" s="174">
        <f>+DATE($M$1,6,1)</f>
        <v>41061</v>
      </c>
    </row>
    <row r="143" spans="1:22">
      <c r="A143" s="10"/>
      <c r="B143" s="109" t="s">
        <v>105</v>
      </c>
      <c r="G143" s="172"/>
      <c r="H143" s="172"/>
      <c r="I143" s="172"/>
      <c r="J143" s="172"/>
      <c r="K143" s="172"/>
      <c r="N143" s="174">
        <f>+DATE($M$1,6,1)</f>
        <v>41061</v>
      </c>
      <c r="O143" s="174">
        <f>+DATE($M$1-1,10,1)</f>
        <v>40817</v>
      </c>
    </row>
    <row r="144" spans="1:22">
      <c r="A144" s="10"/>
      <c r="D144" s="128" t="s">
        <v>97</v>
      </c>
      <c r="E144" s="175">
        <f>N144</f>
        <v>122</v>
      </c>
      <c r="G144" s="128" t="s">
        <v>99</v>
      </c>
      <c r="H144" s="112">
        <v>4</v>
      </c>
      <c r="I144" s="172"/>
      <c r="J144" s="172"/>
      <c r="K144" s="176"/>
      <c r="L144" s="177"/>
      <c r="N144" s="177">
        <f>N142-N143</f>
        <v>122</v>
      </c>
      <c r="O144" s="177">
        <f>O142-O143</f>
        <v>244</v>
      </c>
    </row>
    <row r="145" spans="1:12">
      <c r="A145" s="10"/>
      <c r="D145" s="178" t="s">
        <v>98</v>
      </c>
      <c r="E145" s="175">
        <f>O144</f>
        <v>244</v>
      </c>
      <c r="G145" s="178" t="s">
        <v>100</v>
      </c>
      <c r="H145" s="112">
        <v>8</v>
      </c>
      <c r="I145" s="172"/>
      <c r="J145" s="172"/>
      <c r="K145" s="176"/>
      <c r="L145" s="177"/>
    </row>
    <row r="146" spans="1:12">
      <c r="A146" s="10"/>
      <c r="G146" s="128" t="s">
        <v>106</v>
      </c>
      <c r="H146" s="109">
        <f>+H144+H145</f>
        <v>12</v>
      </c>
      <c r="I146" s="172"/>
      <c r="J146" s="172"/>
      <c r="K146" s="172"/>
    </row>
    <row r="147" spans="1:12">
      <c r="A147" s="10"/>
      <c r="B147" s="109" t="s">
        <v>95</v>
      </c>
      <c r="C147" s="179">
        <v>32114</v>
      </c>
      <c r="D147" s="180" t="s">
        <v>22</v>
      </c>
      <c r="E147" s="36"/>
      <c r="F147" s="181"/>
    </row>
    <row r="148" spans="1:12">
      <c r="A148" s="10"/>
    </row>
    <row r="149" spans="1:12">
      <c r="A149" s="10"/>
      <c r="B149" s="109" t="s">
        <v>96</v>
      </c>
      <c r="C149" s="109" t="s">
        <v>42</v>
      </c>
      <c r="D149" s="182">
        <f>E449</f>
        <v>155.52000000000001</v>
      </c>
      <c r="E149" s="180" t="s">
        <v>93</v>
      </c>
      <c r="G149" s="178" t="s">
        <v>172</v>
      </c>
      <c r="H149" s="128" t="s">
        <v>101</v>
      </c>
      <c r="I149" s="160">
        <f>+D149*365/1000</f>
        <v>56.764800000000001</v>
      </c>
      <c r="J149" s="109" t="s">
        <v>94</v>
      </c>
    </row>
    <row r="150" spans="1:12">
      <c r="A150" s="10"/>
      <c r="B150" s="183" t="s">
        <v>238</v>
      </c>
      <c r="C150" s="109" t="s">
        <v>43</v>
      </c>
      <c r="D150" s="182">
        <f>E451</f>
        <v>155.49</v>
      </c>
      <c r="E150" s="180" t="s">
        <v>93</v>
      </c>
      <c r="H150" s="128" t="s">
        <v>102</v>
      </c>
      <c r="I150" s="160">
        <f>+D150*365/1000</f>
        <v>56.753850000000007</v>
      </c>
      <c r="J150" s="109" t="s">
        <v>94</v>
      </c>
      <c r="L150" s="184"/>
    </row>
    <row r="151" spans="1:12">
      <c r="A151" s="10"/>
      <c r="D151" s="182"/>
      <c r="E151" s="180"/>
      <c r="H151" s="128"/>
      <c r="I151" s="160"/>
      <c r="L151" s="184"/>
    </row>
    <row r="152" spans="1:12">
      <c r="A152" s="10"/>
      <c r="B152" s="185" t="s">
        <v>207</v>
      </c>
      <c r="C152" s="112"/>
      <c r="D152" s="112"/>
      <c r="E152" s="112"/>
      <c r="F152" s="112"/>
      <c r="G152" s="112"/>
      <c r="H152" s="112"/>
      <c r="I152" s="112"/>
      <c r="L152" s="177"/>
    </row>
    <row r="153" spans="1:12">
      <c r="A153" s="10"/>
      <c r="B153" s="83" t="s">
        <v>208</v>
      </c>
      <c r="C153" s="112"/>
      <c r="D153" s="112"/>
      <c r="E153" s="112"/>
      <c r="F153" s="112"/>
      <c r="G153" s="112"/>
      <c r="H153" s="112"/>
      <c r="I153" s="112"/>
    </row>
    <row r="154" spans="1:12">
      <c r="A154" s="10"/>
      <c r="B154" s="50"/>
      <c r="C154" s="51" t="str">
        <f>" ---------- "&amp;C6&amp;" ----------"</f>
        <v xml:space="preserve"> ---------- SC1 ----------</v>
      </c>
      <c r="D154" s="186"/>
      <c r="E154" s="187"/>
      <c r="F154" s="188"/>
      <c r="G154" s="112"/>
      <c r="H154" s="51" t="str">
        <f>" ---------- "&amp;D6&amp;" ----------"</f>
        <v xml:space="preserve"> ---------- SC5 ----------</v>
      </c>
      <c r="I154" s="186"/>
      <c r="J154" s="186"/>
    </row>
    <row r="155" spans="1:12">
      <c r="A155" s="10"/>
      <c r="B155" s="112"/>
      <c r="C155" s="130" t="s">
        <v>203</v>
      </c>
      <c r="D155" s="130"/>
      <c r="E155" s="189" t="s">
        <v>204</v>
      </c>
      <c r="F155" s="188"/>
      <c r="G155" s="112"/>
      <c r="H155" s="132" t="s">
        <v>214</v>
      </c>
      <c r="I155" s="130" t="s">
        <v>213</v>
      </c>
      <c r="J155" s="130" t="s">
        <v>204</v>
      </c>
    </row>
    <row r="156" spans="1:12">
      <c r="A156" s="10"/>
      <c r="B156" s="132" t="s">
        <v>209</v>
      </c>
      <c r="C156" s="190">
        <v>10.696</v>
      </c>
      <c r="D156" s="112" t="s">
        <v>205</v>
      </c>
      <c r="E156" s="191">
        <v>0.2026</v>
      </c>
      <c r="F156" s="188"/>
      <c r="G156" s="130" t="s">
        <v>209</v>
      </c>
      <c r="H156" s="109">
        <v>9.7129999999999992</v>
      </c>
      <c r="I156" s="112"/>
      <c r="J156" s="192">
        <v>0.31040000000000001</v>
      </c>
    </row>
    <row r="157" spans="1:12">
      <c r="A157" s="10"/>
      <c r="B157" s="132" t="s">
        <v>210</v>
      </c>
      <c r="C157" s="109">
        <v>11.814</v>
      </c>
      <c r="D157" s="112" t="s">
        <v>205</v>
      </c>
      <c r="E157" s="191">
        <v>0.7974</v>
      </c>
      <c r="F157" s="188"/>
      <c r="G157" s="132" t="s">
        <v>211</v>
      </c>
      <c r="H157" s="109">
        <v>10.839</v>
      </c>
      <c r="I157" s="94">
        <f>H157-H156</f>
        <v>1.1260000000000012</v>
      </c>
      <c r="J157" s="192">
        <v>0.35620000000000002</v>
      </c>
    </row>
    <row r="158" spans="1:12">
      <c r="A158" s="10"/>
      <c r="B158" s="130" t="s">
        <v>206</v>
      </c>
      <c r="C158" s="94">
        <f>+C157-C156</f>
        <v>1.1180000000000003</v>
      </c>
      <c r="D158" s="112" t="s">
        <v>205</v>
      </c>
      <c r="E158" s="188"/>
      <c r="F158" s="188"/>
      <c r="G158" s="132" t="s">
        <v>212</v>
      </c>
      <c r="H158" s="109">
        <v>11.598000000000001</v>
      </c>
      <c r="I158" s="94">
        <f>H158-H156</f>
        <v>1.8850000000000016</v>
      </c>
      <c r="J158" s="192">
        <v>0.33350000000000002</v>
      </c>
    </row>
    <row r="159" spans="1:12">
      <c r="A159" s="109"/>
      <c r="E159" s="136"/>
      <c r="F159" s="136"/>
    </row>
    <row r="160" spans="1:12">
      <c r="A160" s="19" t="s">
        <v>68</v>
      </c>
      <c r="B160" s="1" t="s">
        <v>23</v>
      </c>
    </row>
    <row r="161" spans="1:11">
      <c r="A161" s="10"/>
      <c r="B161" s="4" t="s">
        <v>59</v>
      </c>
      <c r="D161" s="193">
        <f>E461</f>
        <v>2.91</v>
      </c>
      <c r="E161" s="183" t="s">
        <v>179</v>
      </c>
      <c r="F161" s="180"/>
    </row>
    <row r="162" spans="1:11">
      <c r="A162" s="10"/>
      <c r="B162" s="4"/>
      <c r="F162" s="180"/>
    </row>
    <row r="163" spans="1:11">
      <c r="A163" s="19" t="s">
        <v>69</v>
      </c>
      <c r="B163" s="1" t="s">
        <v>132</v>
      </c>
    </row>
    <row r="164" spans="1:11">
      <c r="A164" s="9"/>
      <c r="B164" s="1"/>
    </row>
    <row r="165" spans="1:11">
      <c r="A165" s="9"/>
      <c r="B165" s="1"/>
      <c r="C165" s="73" t="str">
        <f t="shared" ref="C165:H165" si="43">+C6</f>
        <v>SC1</v>
      </c>
      <c r="D165" s="73" t="str">
        <f t="shared" si="43"/>
        <v>SC5</v>
      </c>
      <c r="E165" s="73" t="str">
        <f t="shared" si="43"/>
        <v>SC3</v>
      </c>
      <c r="F165" s="73" t="str">
        <f t="shared" si="43"/>
        <v>SC2 ND</v>
      </c>
      <c r="G165" s="73" t="str">
        <f t="shared" si="43"/>
        <v>SC4</v>
      </c>
      <c r="H165" s="73" t="str">
        <f t="shared" si="43"/>
        <v>SC6</v>
      </c>
    </row>
    <row r="166" spans="1:11">
      <c r="A166" s="9"/>
      <c r="B166" s="1"/>
    </row>
    <row r="167" spans="1:11">
      <c r="A167" s="10"/>
      <c r="B167" s="128" t="s">
        <v>113</v>
      </c>
      <c r="C167" s="156">
        <f t="shared" ref="C167:H167" si="44">(+$C$147*C141*$H$146/12)/C56</f>
        <v>12.54443177856556</v>
      </c>
      <c r="D167" s="156">
        <f t="shared" si="44"/>
        <v>7.1926216672698757</v>
      </c>
      <c r="E167" s="156">
        <f>(+$C$147*E141*$H$146/12)/E56</f>
        <v>7.2553851851851849</v>
      </c>
      <c r="F167" s="156">
        <f t="shared" si="44"/>
        <v>7.4543460839751292</v>
      </c>
      <c r="G167" s="156">
        <f t="shared" si="44"/>
        <v>0</v>
      </c>
      <c r="H167" s="156">
        <f t="shared" si="44"/>
        <v>0</v>
      </c>
      <c r="I167" s="156"/>
      <c r="J167" s="156"/>
      <c r="K167" s="156"/>
    </row>
    <row r="168" spans="1:11">
      <c r="A168" s="10"/>
      <c r="B168" s="128"/>
      <c r="C168" s="156"/>
      <c r="D168" s="156"/>
      <c r="E168" s="156"/>
      <c r="F168" s="156"/>
      <c r="G168" s="156"/>
      <c r="H168" s="156"/>
      <c r="I168" s="156"/>
      <c r="J168" s="156"/>
      <c r="K168" s="156"/>
    </row>
    <row r="169" spans="1:11">
      <c r="A169" s="10"/>
      <c r="B169" s="128" t="s">
        <v>60</v>
      </c>
      <c r="C169" s="156"/>
      <c r="D169" s="156"/>
      <c r="E169" s="156"/>
      <c r="F169" s="156"/>
      <c r="G169" s="156"/>
      <c r="H169" s="156"/>
      <c r="I169" s="156"/>
      <c r="J169" s="156"/>
      <c r="K169" s="156"/>
    </row>
    <row r="170" spans="1:11">
      <c r="A170" s="10"/>
      <c r="B170" s="128" t="s">
        <v>33</v>
      </c>
      <c r="C170" s="156">
        <f t="shared" ref="C170:H170" si="45">((+$D$149*$E$144*C139)+($D$150*$E$145*C139))/C56</f>
        <v>25.36543788288726</v>
      </c>
      <c r="D170" s="156">
        <f t="shared" si="45"/>
        <v>15.874394498733261</v>
      </c>
      <c r="E170" s="156">
        <f t="shared" si="45"/>
        <v>11.804177777777779</v>
      </c>
      <c r="F170" s="156">
        <f t="shared" si="45"/>
        <v>12.839391065169002</v>
      </c>
      <c r="G170" s="156">
        <f t="shared" si="45"/>
        <v>0</v>
      </c>
      <c r="H170" s="156">
        <f t="shared" si="45"/>
        <v>0</v>
      </c>
      <c r="I170" s="156"/>
      <c r="J170" s="156"/>
      <c r="K170" s="156"/>
    </row>
    <row r="171" spans="1:11">
      <c r="A171" s="10"/>
      <c r="B171" s="128" t="s">
        <v>34</v>
      </c>
      <c r="C171" s="194">
        <f t="shared" ref="C171:H171" si="46">C$139*$D149*$E144/SUM(C$49:C$52)</f>
        <v>20.078177676239449</v>
      </c>
      <c r="D171" s="194">
        <f t="shared" si="46"/>
        <v>15.922538395644281</v>
      </c>
      <c r="E171" s="194">
        <f t="shared" si="46"/>
        <v>11.675963076923079</v>
      </c>
      <c r="F171" s="194">
        <f t="shared" si="46"/>
        <v>14.532952869429243</v>
      </c>
      <c r="G171" s="194">
        <f t="shared" si="46"/>
        <v>0</v>
      </c>
      <c r="H171" s="194">
        <f t="shared" si="46"/>
        <v>0</v>
      </c>
      <c r="I171" s="156"/>
      <c r="J171" s="156"/>
      <c r="K171" s="156"/>
    </row>
    <row r="172" spans="1:11">
      <c r="A172" s="10"/>
      <c r="B172" s="128" t="s">
        <v>35</v>
      </c>
      <c r="C172" s="194">
        <f t="shared" ref="C172:H172" si="47">C$139*$D150*$E145/(SUM(C$44:C$48)+SUM(C$53:C$55))</f>
        <v>29.212497002465824</v>
      </c>
      <c r="D172" s="194">
        <f t="shared" si="47"/>
        <v>15.850426946151066</v>
      </c>
      <c r="E172" s="194">
        <f t="shared" si="47"/>
        <v>11.869359553072627</v>
      </c>
      <c r="F172" s="194">
        <f t="shared" si="47"/>
        <v>12.132348053097344</v>
      </c>
      <c r="G172" s="194">
        <f t="shared" si="47"/>
        <v>0</v>
      </c>
      <c r="H172" s="194">
        <f t="shared" si="47"/>
        <v>0</v>
      </c>
      <c r="I172" s="156"/>
      <c r="J172" s="156"/>
      <c r="K172" s="156"/>
    </row>
    <row r="173" spans="1:11">
      <c r="A173" s="10"/>
      <c r="C173" s="195"/>
      <c r="D173" s="195"/>
      <c r="E173" s="195"/>
      <c r="F173" s="195"/>
      <c r="G173" s="195"/>
      <c r="H173" s="195"/>
      <c r="I173" s="195"/>
      <c r="J173" s="156"/>
      <c r="K173" s="156"/>
    </row>
    <row r="174" spans="1:11">
      <c r="A174" s="10"/>
      <c r="C174" s="196"/>
      <c r="D174" s="196"/>
      <c r="E174" s="196"/>
      <c r="F174" s="196"/>
      <c r="G174" s="196"/>
      <c r="H174" s="196"/>
      <c r="I174" s="112"/>
    </row>
    <row r="175" spans="1:11">
      <c r="A175" s="19" t="s">
        <v>71</v>
      </c>
      <c r="B175" s="1" t="s">
        <v>128</v>
      </c>
    </row>
    <row r="176" spans="1:11">
      <c r="A176" s="10"/>
      <c r="B176" s="1"/>
      <c r="C176" s="195"/>
      <c r="D176" s="195"/>
      <c r="E176" s="195"/>
      <c r="F176" s="195"/>
      <c r="G176" s="195"/>
      <c r="H176" s="195"/>
    </row>
    <row r="177" spans="1:9">
      <c r="A177" s="10"/>
      <c r="B177" s="20" t="s">
        <v>225</v>
      </c>
      <c r="C177" s="196"/>
      <c r="D177" s="196"/>
      <c r="E177" s="196"/>
      <c r="F177" s="196"/>
      <c r="G177" s="196"/>
      <c r="H177" s="196"/>
    </row>
    <row r="178" spans="1:9">
      <c r="A178" s="10"/>
      <c r="B178" s="4"/>
    </row>
    <row r="179" spans="1:9">
      <c r="A179" s="10"/>
      <c r="C179" s="73" t="str">
        <f t="shared" ref="C179:H179" si="48">+C6</f>
        <v>SC1</v>
      </c>
      <c r="D179" s="73" t="str">
        <f t="shared" si="48"/>
        <v>SC5</v>
      </c>
      <c r="E179" s="73" t="str">
        <f t="shared" si="48"/>
        <v>SC3</v>
      </c>
      <c r="F179" s="73" t="str">
        <f t="shared" si="48"/>
        <v>SC2 ND</v>
      </c>
      <c r="G179" s="73" t="str">
        <f t="shared" si="48"/>
        <v>SC4</v>
      </c>
      <c r="H179" s="73" t="str">
        <f t="shared" si="48"/>
        <v>SC6</v>
      </c>
    </row>
    <row r="180" spans="1:9">
      <c r="A180" s="10"/>
      <c r="C180" s="106"/>
      <c r="D180" s="106"/>
      <c r="E180" s="156"/>
      <c r="F180" s="106"/>
    </row>
    <row r="181" spans="1:9">
      <c r="A181" s="10"/>
      <c r="B181" s="116" t="s">
        <v>16</v>
      </c>
      <c r="C181" s="197">
        <f t="shared" ref="C181:H181" si="49">+C124+$D$161+C$167+C171</f>
        <v>93.972152246830518</v>
      </c>
      <c r="D181" s="194">
        <f t="shared" si="49"/>
        <v>83.844314050028117</v>
      </c>
      <c r="E181" s="194">
        <f t="shared" si="49"/>
        <v>80.061051620378976</v>
      </c>
      <c r="F181" s="194">
        <f t="shared" si="49"/>
        <v>83.840162057672828</v>
      </c>
      <c r="G181" s="194">
        <f t="shared" si="49"/>
        <v>53.24410213807208</v>
      </c>
      <c r="H181" s="194">
        <f t="shared" si="49"/>
        <v>53.244832470721192</v>
      </c>
      <c r="I181" s="156"/>
    </row>
    <row r="182" spans="1:9">
      <c r="A182" s="10"/>
      <c r="B182" s="158" t="s">
        <v>154</v>
      </c>
      <c r="C182" s="194"/>
      <c r="D182" s="194"/>
      <c r="E182" s="197">
        <f>+E125+$D$161+E$167+(E171*O48/O49)</f>
        <v>113.66131559101237</v>
      </c>
      <c r="F182" s="194"/>
      <c r="G182" s="194"/>
      <c r="H182" s="194"/>
    </row>
    <row r="183" spans="1:9">
      <c r="A183" s="10"/>
      <c r="B183" s="158" t="s">
        <v>155</v>
      </c>
      <c r="C183" s="194"/>
      <c r="D183" s="194"/>
      <c r="E183" s="197">
        <f>+E126+$D$161+E$167</f>
        <v>59.049240517835038</v>
      </c>
      <c r="F183" s="194"/>
      <c r="G183" s="194"/>
      <c r="H183" s="194"/>
    </row>
    <row r="184" spans="1:9">
      <c r="A184" s="10"/>
      <c r="B184" s="130" t="s">
        <v>218</v>
      </c>
      <c r="C184" s="194">
        <f>(C181*SUM(C49:C52)-C158*10*E157*SUM(C49:C52))/SUM(C49:C52)</f>
        <v>85.057220246830525</v>
      </c>
      <c r="D184" s="194">
        <f>(D181*SUM(D49:D52)-I157*10*J157*SUM(D49:D52)-I158*10*J158*SUM(D49:D52))/SUM(D49:D52)</f>
        <v>73.547027050028106</v>
      </c>
      <c r="E184" s="194"/>
      <c r="F184" s="194"/>
      <c r="G184" s="194"/>
      <c r="H184" s="194"/>
    </row>
    <row r="185" spans="1:9">
      <c r="A185" s="10"/>
      <c r="B185" s="130" t="s">
        <v>219</v>
      </c>
      <c r="C185" s="194">
        <f>C184+C158*10</f>
        <v>96.237220246830532</v>
      </c>
      <c r="D185" s="194">
        <f>D184+I157*10</f>
        <v>84.807027050028125</v>
      </c>
      <c r="E185" s="194"/>
      <c r="F185" s="194"/>
      <c r="G185" s="194"/>
      <c r="H185" s="194"/>
    </row>
    <row r="186" spans="1:9">
      <c r="A186" s="10"/>
      <c r="B186" s="132" t="s">
        <v>220</v>
      </c>
      <c r="C186" s="194"/>
      <c r="D186" s="194">
        <f>D184+I158*10</f>
        <v>92.397027050028129</v>
      </c>
      <c r="E186" s="194"/>
      <c r="F186" s="194"/>
      <c r="G186" s="194"/>
      <c r="H186" s="194"/>
    </row>
    <row r="187" spans="1:9">
      <c r="A187" s="10"/>
      <c r="B187" s="112"/>
      <c r="C187" s="194"/>
      <c r="D187" s="194"/>
      <c r="E187" s="194"/>
      <c r="F187" s="194"/>
      <c r="G187" s="194"/>
      <c r="H187" s="194"/>
    </row>
    <row r="188" spans="1:9">
      <c r="A188" s="10"/>
      <c r="B188" s="198" t="s">
        <v>17</v>
      </c>
      <c r="C188" s="197">
        <f t="shared" ref="C188:H188" si="50">+C128+$D$161+C$167+C172</f>
        <v>99.939152779999461</v>
      </c>
      <c r="D188" s="194">
        <f t="shared" si="50"/>
        <v>81.488601523146684</v>
      </c>
      <c r="E188" s="194">
        <f t="shared" si="50"/>
        <v>77.408865926924577</v>
      </c>
      <c r="F188" s="194">
        <f t="shared" si="50"/>
        <v>78.737260921684751</v>
      </c>
      <c r="G188" s="194">
        <f t="shared" si="50"/>
        <v>55.131855904613801</v>
      </c>
      <c r="H188" s="194">
        <f t="shared" si="50"/>
        <v>54.842124913502786</v>
      </c>
      <c r="I188" s="156"/>
    </row>
    <row r="189" spans="1:9">
      <c r="A189" s="10"/>
      <c r="B189" s="199" t="s">
        <v>154</v>
      </c>
      <c r="C189" s="194"/>
      <c r="D189" s="194"/>
      <c r="E189" s="197">
        <f>+E129+$D$161+E$167+(E172*O44/O45)</f>
        <v>109.07136646162715</v>
      </c>
      <c r="F189" s="194"/>
      <c r="G189" s="194"/>
      <c r="H189" s="194"/>
    </row>
    <row r="190" spans="1:9">
      <c r="A190" s="10"/>
      <c r="B190" s="199" t="s">
        <v>155</v>
      </c>
      <c r="C190" s="194"/>
      <c r="D190" s="194"/>
      <c r="E190" s="197">
        <f>+E130+$D$161+E$167</f>
        <v>60.734334133109563</v>
      </c>
      <c r="F190" s="194"/>
      <c r="G190" s="194"/>
      <c r="H190" s="194"/>
    </row>
    <row r="191" spans="1:9">
      <c r="A191" s="10"/>
      <c r="C191" s="194"/>
      <c r="D191" s="194"/>
      <c r="E191" s="194"/>
      <c r="F191" s="194"/>
      <c r="G191" s="194"/>
      <c r="H191" s="194"/>
    </row>
    <row r="192" spans="1:9">
      <c r="A192" s="10"/>
      <c r="B192" s="109" t="s">
        <v>107</v>
      </c>
      <c r="C192" s="197">
        <f t="shared" ref="C192:H192" si="51">+C132+$D$161+C$167+C170</f>
        <v>97.426058700646635</v>
      </c>
      <c r="D192" s="194">
        <f t="shared" si="51"/>
        <v>82.271565452638598</v>
      </c>
      <c r="E192" s="194">
        <f t="shared" si="51"/>
        <v>78.302750734718458</v>
      </c>
      <c r="F192" s="194">
        <f t="shared" si="51"/>
        <v>80.240203248946187</v>
      </c>
      <c r="G192" s="194">
        <f t="shared" si="51"/>
        <v>54.606911637127681</v>
      </c>
      <c r="H192" s="194">
        <f t="shared" si="51"/>
        <v>54.365875622163173</v>
      </c>
      <c r="I192" s="156"/>
    </row>
    <row r="193" spans="1:9">
      <c r="A193" s="10"/>
      <c r="C193" s="156"/>
      <c r="D193" s="156"/>
      <c r="E193" s="156"/>
      <c r="F193" s="156"/>
      <c r="G193" s="156"/>
      <c r="H193" s="156"/>
      <c r="I193" s="156"/>
    </row>
    <row r="194" spans="1:9">
      <c r="A194" s="10"/>
      <c r="B194" s="20" t="s">
        <v>226</v>
      </c>
    </row>
    <row r="195" spans="1:9">
      <c r="A195" s="10"/>
      <c r="B195" s="4"/>
    </row>
    <row r="196" spans="1:9">
      <c r="A196" s="10"/>
      <c r="C196" s="73" t="str">
        <f>+I6</f>
        <v>SC2 Dem</v>
      </c>
      <c r="D196" s="106"/>
      <c r="E196" s="106"/>
      <c r="G196" s="1" t="s">
        <v>24</v>
      </c>
    </row>
    <row r="197" spans="1:9">
      <c r="A197" s="10"/>
      <c r="C197" s="106"/>
      <c r="D197" s="106"/>
      <c r="F197" s="1"/>
    </row>
    <row r="198" spans="1:9">
      <c r="A198" s="10"/>
      <c r="B198" s="116" t="s">
        <v>16</v>
      </c>
      <c r="C198" s="194">
        <f>+I124+$D$161</f>
        <v>60.919714415791177</v>
      </c>
      <c r="D198" s="194"/>
      <c r="G198" s="31" t="s">
        <v>173</v>
      </c>
    </row>
    <row r="199" spans="1:9">
      <c r="A199" s="10"/>
      <c r="B199" s="158"/>
      <c r="C199" s="194"/>
      <c r="D199" s="194"/>
    </row>
    <row r="200" spans="1:9">
      <c r="A200" s="10"/>
      <c r="B200" s="158"/>
      <c r="C200" s="194"/>
      <c r="D200" s="194"/>
      <c r="H200" s="73" t="str">
        <f>I6</f>
        <v>SC2 Dem</v>
      </c>
      <c r="I200" s="32"/>
    </row>
    <row r="201" spans="1:9">
      <c r="A201" s="10"/>
      <c r="C201" s="194"/>
      <c r="D201" s="194"/>
    </row>
    <row r="202" spans="1:9">
      <c r="A202" s="10"/>
      <c r="B202" s="116" t="s">
        <v>17</v>
      </c>
      <c r="C202" s="194">
        <f>+I128+$D$161</f>
        <v>58.356159571637377</v>
      </c>
      <c r="D202" s="194"/>
      <c r="G202" s="128" t="s">
        <v>42</v>
      </c>
      <c r="H202" s="200">
        <v>4.7759999999999998</v>
      </c>
    </row>
    <row r="203" spans="1:9">
      <c r="A203" s="10"/>
      <c r="B203" s="158"/>
      <c r="C203" s="194"/>
      <c r="D203" s="194"/>
      <c r="G203" s="128" t="s">
        <v>43</v>
      </c>
      <c r="H203" s="200">
        <v>5.2990000000000004</v>
      </c>
    </row>
    <row r="204" spans="1:9">
      <c r="A204" s="10"/>
      <c r="B204" s="158"/>
      <c r="C204" s="194"/>
      <c r="D204" s="194"/>
    </row>
    <row r="205" spans="1:9">
      <c r="A205" s="10"/>
      <c r="B205" s="158"/>
      <c r="C205" s="194"/>
      <c r="D205" s="194"/>
      <c r="G205" s="13" t="s">
        <v>21</v>
      </c>
      <c r="I205" s="180"/>
    </row>
    <row r="206" spans="1:9">
      <c r="A206" s="10"/>
      <c r="B206" s="109" t="s">
        <v>109</v>
      </c>
      <c r="C206" s="194">
        <f>+I132+$D$161</f>
        <v>59.300797853841203</v>
      </c>
      <c r="D206" s="194"/>
      <c r="G206" s="128" t="s">
        <v>44</v>
      </c>
      <c r="H206" s="201">
        <f>+C147/1000/12</f>
        <v>2.6761666666666666</v>
      </c>
      <c r="I206" s="180" t="s">
        <v>46</v>
      </c>
    </row>
    <row r="207" spans="1:9">
      <c r="A207" s="19" t="s">
        <v>71</v>
      </c>
      <c r="B207" s="35" t="s">
        <v>200</v>
      </c>
      <c r="C207" s="156"/>
      <c r="D207" s="156"/>
    </row>
    <row r="208" spans="1:9">
      <c r="A208" s="19"/>
      <c r="C208" s="156"/>
      <c r="D208" s="156"/>
    </row>
    <row r="209" spans="1:9">
      <c r="A209" s="10"/>
      <c r="B209" s="15" t="s">
        <v>114</v>
      </c>
      <c r="C209" s="156"/>
      <c r="D209" s="156"/>
    </row>
    <row r="210" spans="1:9">
      <c r="A210" s="10"/>
      <c r="B210" s="116" t="s">
        <v>16</v>
      </c>
      <c r="C210" s="202">
        <v>80.308788601078135</v>
      </c>
      <c r="D210" s="202"/>
    </row>
    <row r="211" spans="1:9">
      <c r="A211" s="10"/>
      <c r="B211" s="158"/>
      <c r="C211" s="156"/>
      <c r="D211" s="202"/>
    </row>
    <row r="212" spans="1:9">
      <c r="A212" s="10"/>
      <c r="B212" s="158"/>
      <c r="C212" s="156"/>
      <c r="D212" s="202"/>
    </row>
    <row r="213" spans="1:9">
      <c r="A213" s="10"/>
      <c r="C213" s="156"/>
      <c r="D213" s="156"/>
    </row>
    <row r="214" spans="1:9">
      <c r="A214" s="10"/>
      <c r="B214" s="116" t="s">
        <v>17</v>
      </c>
      <c r="C214" s="202">
        <v>80.981068621027305</v>
      </c>
      <c r="D214" s="202"/>
    </row>
    <row r="215" spans="1:9">
      <c r="A215" s="10"/>
      <c r="B215" s="158"/>
      <c r="C215" s="156"/>
      <c r="D215" s="202"/>
      <c r="G215" s="112"/>
      <c r="H215" s="196"/>
      <c r="I215" s="196"/>
    </row>
    <row r="216" spans="1:9">
      <c r="A216" s="10"/>
      <c r="B216" s="158"/>
      <c r="C216" s="156"/>
      <c r="D216" s="202"/>
      <c r="G216" s="112"/>
      <c r="H216" s="112"/>
      <c r="I216" s="112"/>
    </row>
    <row r="217" spans="1:9">
      <c r="A217" s="10"/>
      <c r="B217" s="158"/>
      <c r="C217" s="156"/>
      <c r="D217" s="156"/>
      <c r="G217" s="112"/>
      <c r="H217" s="195"/>
      <c r="I217" s="195"/>
    </row>
    <row r="218" spans="1:9">
      <c r="A218" s="10"/>
      <c r="B218" s="109" t="s">
        <v>104</v>
      </c>
      <c r="C218" s="202">
        <v>80.733341741045379</v>
      </c>
      <c r="D218" s="202"/>
      <c r="G218" s="112"/>
      <c r="H218" s="112"/>
      <c r="I218" s="112"/>
    </row>
    <row r="219" spans="1:9">
      <c r="A219" s="10"/>
      <c r="C219" s="164"/>
      <c r="D219" s="164"/>
    </row>
    <row r="220" spans="1:9">
      <c r="A220" s="10"/>
      <c r="B220" s="1" t="s">
        <v>103</v>
      </c>
      <c r="C220" s="156"/>
      <c r="D220" s="156"/>
    </row>
    <row r="221" spans="1:9">
      <c r="A221" s="10"/>
      <c r="B221" s="128" t="s">
        <v>53</v>
      </c>
      <c r="C221" s="203">
        <f>(+SUMPRODUCT(C192:H192,C56:H56)+SUMPRODUCT(C218,I56))/1000</f>
        <v>124199.22144111615</v>
      </c>
      <c r="D221" s="112"/>
    </row>
    <row r="222" spans="1:9">
      <c r="A222" s="10"/>
      <c r="B222" s="112"/>
      <c r="C222" s="130" t="s">
        <v>133</v>
      </c>
      <c r="D222" s="197">
        <f>+C221/SUM(C56:I56)*1000</f>
        <v>89.276554508002704</v>
      </c>
      <c r="E222" s="112" t="s">
        <v>39</v>
      </c>
      <c r="F222" s="112"/>
      <c r="G222" s="112"/>
    </row>
    <row r="223" spans="1:9">
      <c r="A223" s="10"/>
      <c r="B223" s="112"/>
      <c r="C223" s="130" t="s">
        <v>343</v>
      </c>
      <c r="D223" s="197">
        <f>+C221/SUMPRODUCT(C56:I56,C81:I81)*1000</f>
        <v>83.465476742445503</v>
      </c>
      <c r="E223" s="112" t="s">
        <v>344</v>
      </c>
      <c r="F223" s="112"/>
      <c r="G223" s="112"/>
      <c r="H223" s="112"/>
      <c r="I223" s="112"/>
    </row>
    <row r="224" spans="1:9">
      <c r="A224" s="10"/>
      <c r="B224" s="112"/>
      <c r="C224" s="112"/>
      <c r="D224" s="112"/>
      <c r="E224" s="112"/>
      <c r="F224" s="112"/>
      <c r="G224" s="112"/>
    </row>
    <row r="225" spans="1:11">
      <c r="A225" s="10"/>
      <c r="B225" s="112"/>
      <c r="C225" s="112"/>
      <c r="D225" s="112"/>
      <c r="E225" s="204"/>
      <c r="F225" s="112"/>
      <c r="G225" s="112"/>
    </row>
    <row r="226" spans="1:11">
      <c r="A226" s="19" t="s">
        <v>70</v>
      </c>
      <c r="B226" s="77" t="s">
        <v>342</v>
      </c>
      <c r="C226" s="112"/>
      <c r="D226" s="112"/>
      <c r="E226" s="112"/>
      <c r="F226" s="112"/>
      <c r="G226" s="112"/>
    </row>
    <row r="227" spans="1:11">
      <c r="A227" s="10"/>
      <c r="B227" s="1"/>
    </row>
    <row r="228" spans="1:11">
      <c r="A228" s="10"/>
      <c r="B228" s="1" t="s">
        <v>36</v>
      </c>
    </row>
    <row r="229" spans="1:11">
      <c r="A229" s="10"/>
      <c r="B229" s="4" t="s">
        <v>347</v>
      </c>
    </row>
    <row r="230" spans="1:11">
      <c r="A230" s="10"/>
      <c r="B230" s="1"/>
    </row>
    <row r="231" spans="1:11">
      <c r="A231" s="10"/>
      <c r="C231" s="73" t="str">
        <f t="shared" ref="C231:H231" si="52">+C6</f>
        <v>SC1</v>
      </c>
      <c r="D231" s="73" t="str">
        <f t="shared" si="52"/>
        <v>SC5</v>
      </c>
      <c r="E231" s="73" t="str">
        <f t="shared" si="52"/>
        <v>SC3</v>
      </c>
      <c r="F231" s="73" t="str">
        <f t="shared" si="52"/>
        <v>SC2 ND</v>
      </c>
      <c r="G231" s="73" t="str">
        <f t="shared" si="52"/>
        <v>SC4</v>
      </c>
      <c r="H231" s="73" t="str">
        <f t="shared" si="52"/>
        <v>SC6</v>
      </c>
    </row>
    <row r="232" spans="1:11">
      <c r="A232" s="10"/>
      <c r="C232" s="106"/>
      <c r="D232" s="106"/>
      <c r="E232" s="106"/>
      <c r="F232" s="106"/>
    </row>
    <row r="233" spans="1:11">
      <c r="A233" s="10"/>
      <c r="B233" s="116" t="s">
        <v>16</v>
      </c>
      <c r="C233" s="47">
        <f>ROUND(+C181/$D$223,3)</f>
        <v>1.1259999999999999</v>
      </c>
      <c r="D233" s="47">
        <f>ROUND(+D181/$D$223,3)</f>
        <v>1.0049999999999999</v>
      </c>
      <c r="E233" s="205"/>
      <c r="F233" s="46">
        <f>ROUND(+F181/$D$223,3)</f>
        <v>1.004</v>
      </c>
      <c r="G233" s="46">
        <f>ROUND(+G181/$D$223,3)</f>
        <v>0.63800000000000001</v>
      </c>
      <c r="H233" s="46">
        <f>ROUND(+H181/$D$223,3)</f>
        <v>0.63800000000000001</v>
      </c>
      <c r="I233" s="206"/>
      <c r="J233" s="206"/>
      <c r="K233" s="206"/>
    </row>
    <row r="234" spans="1:11">
      <c r="A234" s="10"/>
      <c r="B234" s="158" t="s">
        <v>154</v>
      </c>
      <c r="C234" s="205"/>
      <c r="D234" s="205"/>
      <c r="E234" s="46">
        <f>ROUND(+E182/$D$223,3)</f>
        <v>1.3620000000000001</v>
      </c>
      <c r="F234" s="205"/>
      <c r="G234" s="205"/>
      <c r="H234" s="205"/>
      <c r="I234" s="206"/>
      <c r="J234" s="206"/>
      <c r="K234" s="206"/>
    </row>
    <row r="235" spans="1:11">
      <c r="A235" s="10"/>
      <c r="B235" s="158" t="s">
        <v>155</v>
      </c>
      <c r="C235" s="205"/>
      <c r="D235" s="205"/>
      <c r="E235" s="46">
        <f>ROUND(+E183/$D$223,3)</f>
        <v>0.70699999999999996</v>
      </c>
      <c r="F235" s="205"/>
      <c r="G235" s="205"/>
      <c r="H235" s="205"/>
      <c r="I235" s="206"/>
      <c r="J235" s="206"/>
      <c r="K235" s="206"/>
    </row>
    <row r="236" spans="1:11">
      <c r="A236" s="10"/>
      <c r="B236" s="158"/>
      <c r="C236" s="205"/>
      <c r="D236" s="205"/>
      <c r="E236" s="12"/>
      <c r="F236" s="205"/>
      <c r="G236" s="205"/>
      <c r="H236" s="205"/>
      <c r="I236" s="206"/>
      <c r="J236" s="206"/>
      <c r="K236" s="206"/>
    </row>
    <row r="237" spans="1:11">
      <c r="A237" s="10"/>
      <c r="B237" s="43"/>
      <c r="E237" s="12"/>
      <c r="F237" s="205"/>
      <c r="G237" s="205"/>
      <c r="H237" s="205"/>
      <c r="I237" s="206"/>
      <c r="J237" s="206"/>
      <c r="K237" s="206"/>
    </row>
    <row r="238" spans="1:11">
      <c r="A238" s="10"/>
      <c r="B238" s="52" t="s">
        <v>221</v>
      </c>
      <c r="C238" s="53">
        <f>C184-C181</f>
        <v>-8.9149319999999932</v>
      </c>
      <c r="D238" s="53">
        <f>D184-D181</f>
        <v>-10.297287000000011</v>
      </c>
      <c r="E238" s="12"/>
      <c r="F238" s="205"/>
      <c r="G238" s="205"/>
      <c r="H238" s="205"/>
      <c r="I238" s="206"/>
      <c r="J238" s="206"/>
      <c r="K238" s="206"/>
    </row>
    <row r="239" spans="1:11">
      <c r="A239" s="10"/>
      <c r="B239" s="52" t="s">
        <v>222</v>
      </c>
      <c r="C239" s="53">
        <f>C185-C181</f>
        <v>2.2650680000000136</v>
      </c>
      <c r="D239" s="53">
        <f>D185-D181</f>
        <v>0.96271300000000792</v>
      </c>
      <c r="E239" s="12"/>
      <c r="F239" s="205"/>
      <c r="G239" s="205"/>
      <c r="H239" s="205"/>
      <c r="I239" s="206"/>
      <c r="J239" s="206"/>
      <c r="K239" s="206"/>
    </row>
    <row r="240" spans="1:11">
      <c r="A240" s="10"/>
      <c r="B240" s="52" t="s">
        <v>223</v>
      </c>
      <c r="C240" s="207" t="s">
        <v>224</v>
      </c>
      <c r="D240" s="53">
        <f>D186-D181</f>
        <v>8.5527130000000113</v>
      </c>
      <c r="E240" s="12"/>
      <c r="F240" s="205"/>
      <c r="G240" s="205"/>
      <c r="H240" s="205"/>
      <c r="I240" s="206"/>
      <c r="J240" s="206"/>
      <c r="K240" s="206"/>
    </row>
    <row r="241" spans="1:11">
      <c r="A241" s="10"/>
      <c r="C241" s="205"/>
      <c r="D241" s="205"/>
      <c r="E241" s="205"/>
      <c r="F241" s="205"/>
      <c r="G241" s="205"/>
      <c r="H241" s="205"/>
      <c r="I241" s="206"/>
      <c r="J241" s="206"/>
      <c r="K241" s="206"/>
    </row>
    <row r="242" spans="1:11">
      <c r="A242" s="10"/>
      <c r="B242" s="116" t="s">
        <v>17</v>
      </c>
      <c r="C242" s="46">
        <f>ROUND(+C188/$D$223,3)</f>
        <v>1.1970000000000001</v>
      </c>
      <c r="D242" s="46">
        <f>ROUND(+D188/$D$223,3)</f>
        <v>0.97599999999999998</v>
      </c>
      <c r="E242" s="208"/>
      <c r="F242" s="46">
        <f>ROUND(+F188/$D$223,3)</f>
        <v>0.94299999999999995</v>
      </c>
      <c r="G242" s="46">
        <f>ROUND(+G188/$D$223,3)</f>
        <v>0.66100000000000003</v>
      </c>
      <c r="H242" s="46">
        <f>ROUND(+H188/$D$223,3)</f>
        <v>0.65700000000000003</v>
      </c>
      <c r="I242" s="206"/>
      <c r="J242" s="206"/>
      <c r="K242" s="206"/>
    </row>
    <row r="243" spans="1:11">
      <c r="A243" s="10"/>
      <c r="B243" s="158" t="s">
        <v>154</v>
      </c>
      <c r="C243" s="205"/>
      <c r="D243" s="205"/>
      <c r="E243" s="46">
        <f>ROUND(+E189/$D$223,3)</f>
        <v>1.3069999999999999</v>
      </c>
      <c r="F243" s="205"/>
      <c r="G243" s="205"/>
      <c r="H243" s="205"/>
      <c r="I243" s="206"/>
      <c r="J243" s="206"/>
      <c r="K243" s="206"/>
    </row>
    <row r="244" spans="1:11">
      <c r="A244" s="10"/>
      <c r="B244" s="158" t="s">
        <v>155</v>
      </c>
      <c r="C244" s="205"/>
      <c r="D244" s="205"/>
      <c r="E244" s="46">
        <f>ROUND(+E190/$D$223,3)</f>
        <v>0.72799999999999998</v>
      </c>
      <c r="F244" s="205"/>
      <c r="G244" s="205"/>
      <c r="H244" s="205"/>
      <c r="I244" s="206"/>
      <c r="J244" s="206"/>
      <c r="K244" s="206"/>
    </row>
    <row r="245" spans="1:11">
      <c r="A245" s="10"/>
      <c r="C245" s="206"/>
      <c r="D245" s="206"/>
      <c r="E245" s="206"/>
      <c r="F245" s="206"/>
      <c r="G245" s="206"/>
      <c r="H245" s="206"/>
      <c r="I245" s="206"/>
      <c r="J245" s="206"/>
      <c r="K245" s="206"/>
    </row>
    <row r="246" spans="1:11">
      <c r="A246" s="10"/>
      <c r="B246" s="109" t="s">
        <v>108</v>
      </c>
      <c r="C246" s="209">
        <f t="shared" ref="C246:H246" si="53">ROUND(+C192/$D$223,3)</f>
        <v>1.167</v>
      </c>
      <c r="D246" s="209">
        <f t="shared" si="53"/>
        <v>0.98599999999999999</v>
      </c>
      <c r="E246" s="209">
        <f t="shared" si="53"/>
        <v>0.93799999999999994</v>
      </c>
      <c r="F246" s="209">
        <f t="shared" si="53"/>
        <v>0.96099999999999997</v>
      </c>
      <c r="G246" s="209">
        <f t="shared" si="53"/>
        <v>0.65400000000000003</v>
      </c>
      <c r="H246" s="209">
        <f t="shared" si="53"/>
        <v>0.65100000000000002</v>
      </c>
      <c r="I246" s="206"/>
      <c r="J246" s="206"/>
      <c r="K246" s="206"/>
    </row>
    <row r="247" spans="1:11">
      <c r="A247" s="10"/>
    </row>
    <row r="248" spans="1:11">
      <c r="A248" s="19" t="s">
        <v>70</v>
      </c>
      <c r="B248" s="35" t="s">
        <v>200</v>
      </c>
    </row>
    <row r="249" spans="1:11">
      <c r="A249" s="19"/>
      <c r="B249" s="35"/>
    </row>
    <row r="250" spans="1:11">
      <c r="A250" s="10"/>
      <c r="B250" s="1" t="s">
        <v>25</v>
      </c>
    </row>
    <row r="251" spans="1:11">
      <c r="A251" s="10"/>
      <c r="B251" s="4" t="s">
        <v>348</v>
      </c>
    </row>
    <row r="252" spans="1:11">
      <c r="A252" s="10"/>
    </row>
    <row r="253" spans="1:11">
      <c r="A253" s="10"/>
      <c r="C253" s="32" t="str">
        <f>+I6</f>
        <v>SC2 Dem</v>
      </c>
      <c r="D253" s="32" t="str">
        <f>+C253</f>
        <v>SC2 Dem</v>
      </c>
      <c r="E253" s="106"/>
      <c r="F253" s="106"/>
      <c r="G253" s="24" t="s">
        <v>24</v>
      </c>
    </row>
    <row r="254" spans="1:11">
      <c r="A254" s="10"/>
      <c r="C254" s="73" t="s">
        <v>117</v>
      </c>
      <c r="D254" s="73" t="s">
        <v>118</v>
      </c>
      <c r="E254" s="106"/>
      <c r="F254" s="106"/>
      <c r="G254" s="142"/>
    </row>
    <row r="255" spans="1:11">
      <c r="A255" s="10"/>
      <c r="B255" s="116" t="s">
        <v>16</v>
      </c>
      <c r="C255" s="46">
        <f>ROUND(+C210/$D$223,3)</f>
        <v>0.96199999999999997</v>
      </c>
      <c r="D255" s="48">
        <f>+C198-C210</f>
        <v>-19.389074185286958</v>
      </c>
      <c r="F255" s="210"/>
      <c r="G255" s="33" t="s">
        <v>173</v>
      </c>
    </row>
    <row r="256" spans="1:11">
      <c r="A256" s="10"/>
      <c r="B256" s="211"/>
      <c r="C256" s="205"/>
      <c r="D256" s="1"/>
      <c r="E256" s="12"/>
      <c r="F256" s="16"/>
      <c r="G256" s="142"/>
    </row>
    <row r="257" spans="1:9">
      <c r="A257" s="10"/>
      <c r="B257" s="158"/>
      <c r="C257" s="205"/>
      <c r="D257" s="1"/>
      <c r="E257" s="12"/>
      <c r="F257" s="16"/>
      <c r="G257" s="142"/>
      <c r="H257" s="73" t="str">
        <f>I6</f>
        <v>SC2 Dem</v>
      </c>
      <c r="I257" s="32"/>
    </row>
    <row r="258" spans="1:9">
      <c r="A258" s="10"/>
      <c r="C258" s="205"/>
      <c r="D258" s="1"/>
      <c r="E258" s="205"/>
      <c r="F258" s="16"/>
      <c r="G258" s="142"/>
    </row>
    <row r="259" spans="1:9">
      <c r="A259" s="10"/>
      <c r="B259" s="116" t="s">
        <v>17</v>
      </c>
      <c r="C259" s="46">
        <f>ROUND(+C214/$D$223,3)</f>
        <v>0.97</v>
      </c>
      <c r="D259" s="48">
        <f>+C202-C214</f>
        <v>-22.624909049389927</v>
      </c>
      <c r="E259" s="12"/>
      <c r="F259" s="16"/>
      <c r="G259" s="212" t="s">
        <v>42</v>
      </c>
      <c r="H259" s="213">
        <f>+H202</f>
        <v>4.7759999999999998</v>
      </c>
      <c r="I259" s="168"/>
    </row>
    <row r="260" spans="1:9">
      <c r="A260" s="10"/>
      <c r="B260" s="211"/>
      <c r="C260" s="205"/>
      <c r="E260" s="12"/>
      <c r="F260" s="16"/>
      <c r="G260" s="212" t="s">
        <v>43</v>
      </c>
      <c r="H260" s="213">
        <f>+H203</f>
        <v>5.2990000000000004</v>
      </c>
      <c r="I260" s="168"/>
    </row>
    <row r="261" spans="1:9">
      <c r="A261" s="10"/>
      <c r="B261" s="158"/>
      <c r="C261" s="205"/>
      <c r="E261" s="12"/>
      <c r="F261" s="16"/>
      <c r="G261" s="212"/>
      <c r="H261" s="168"/>
      <c r="I261" s="180"/>
    </row>
    <row r="262" spans="1:9">
      <c r="A262" s="10"/>
      <c r="C262" s="206"/>
      <c r="E262" s="206"/>
      <c r="G262" s="25" t="s">
        <v>21</v>
      </c>
    </row>
    <row r="263" spans="1:9">
      <c r="A263" s="10"/>
      <c r="B263" s="109" t="s">
        <v>104</v>
      </c>
      <c r="C263" s="209">
        <f>ROUND(+C218/$D$223,3)</f>
        <v>0.96699999999999997</v>
      </c>
      <c r="E263" s="206"/>
      <c r="G263" s="212" t="s">
        <v>44</v>
      </c>
      <c r="H263" s="213">
        <f>+H206</f>
        <v>2.6761666666666666</v>
      </c>
      <c r="I263" s="180" t="s">
        <v>46</v>
      </c>
    </row>
    <row r="264" spans="1:9">
      <c r="A264" s="10"/>
      <c r="C264" s="206"/>
      <c r="E264" s="206"/>
    </row>
    <row r="265" spans="1:9">
      <c r="A265" s="10"/>
      <c r="C265" s="206"/>
      <c r="E265" s="206"/>
    </row>
    <row r="266" spans="1:9">
      <c r="A266" s="19" t="s">
        <v>86</v>
      </c>
      <c r="B266" s="20" t="s">
        <v>174</v>
      </c>
    </row>
    <row r="267" spans="1:9">
      <c r="A267" s="10"/>
      <c r="B267" s="1"/>
    </row>
    <row r="268" spans="1:9">
      <c r="A268" s="10"/>
      <c r="B268" s="1" t="s">
        <v>36</v>
      </c>
    </row>
    <row r="269" spans="1:9">
      <c r="A269" s="10"/>
      <c r="B269" s="18" t="s">
        <v>175</v>
      </c>
    </row>
    <row r="270" spans="1:9">
      <c r="A270" s="10"/>
      <c r="B270" s="4" t="s">
        <v>32</v>
      </c>
    </row>
    <row r="271" spans="1:9">
      <c r="A271" s="10"/>
      <c r="C271" s="73" t="str">
        <f t="shared" ref="C271:H271" si="54">+C6</f>
        <v>SC1</v>
      </c>
      <c r="D271" s="73" t="str">
        <f t="shared" si="54"/>
        <v>SC5</v>
      </c>
      <c r="E271" s="73" t="str">
        <f t="shared" si="54"/>
        <v>SC3</v>
      </c>
      <c r="F271" s="73" t="str">
        <f t="shared" si="54"/>
        <v>SC2 ND</v>
      </c>
      <c r="G271" s="73" t="str">
        <f t="shared" si="54"/>
        <v>SC4</v>
      </c>
      <c r="H271" s="73" t="str">
        <f t="shared" si="54"/>
        <v>SC6</v>
      </c>
    </row>
    <row r="272" spans="1:9">
      <c r="A272" s="10"/>
      <c r="C272" s="106"/>
      <c r="D272" s="106"/>
      <c r="E272" s="156"/>
      <c r="F272" s="106"/>
    </row>
    <row r="273" spans="1:9">
      <c r="A273" s="10"/>
      <c r="B273" s="116" t="s">
        <v>16</v>
      </c>
      <c r="C273" s="197">
        <f t="shared" ref="C273:H273" si="55">C181-C$167</f>
        <v>81.427720468264965</v>
      </c>
      <c r="D273" s="197">
        <f t="shared" si="55"/>
        <v>76.651692382758242</v>
      </c>
      <c r="E273" s="197">
        <f t="shared" si="55"/>
        <v>72.805666435193785</v>
      </c>
      <c r="F273" s="197">
        <f t="shared" si="55"/>
        <v>76.385815973697703</v>
      </c>
      <c r="G273" s="197">
        <f t="shared" si="55"/>
        <v>53.24410213807208</v>
      </c>
      <c r="H273" s="197">
        <f t="shared" si="55"/>
        <v>53.244832470721192</v>
      </c>
      <c r="I273" s="156"/>
    </row>
    <row r="274" spans="1:9">
      <c r="A274" s="10"/>
      <c r="B274" s="158" t="s">
        <v>154</v>
      </c>
      <c r="C274" s="194"/>
      <c r="D274" s="194"/>
      <c r="E274" s="197">
        <f>E182-E$167</f>
        <v>106.40593040582718</v>
      </c>
      <c r="F274" s="194"/>
      <c r="G274" s="194"/>
      <c r="H274" s="194"/>
    </row>
    <row r="275" spans="1:9">
      <c r="A275" s="10"/>
      <c r="B275" s="158" t="s">
        <v>155</v>
      </c>
      <c r="C275" s="194"/>
      <c r="D275" s="194"/>
      <c r="E275" s="197">
        <f>E183-E$167</f>
        <v>51.793855332649855</v>
      </c>
      <c r="F275" s="194"/>
      <c r="G275" s="194"/>
      <c r="H275" s="194"/>
    </row>
    <row r="276" spans="1:9">
      <c r="A276" s="10"/>
      <c r="B276" s="130" t="s">
        <v>218</v>
      </c>
      <c r="C276" s="194">
        <f>(C273*SUM(C49:C52)-C158*10*E157*SUM(C49:C52))/SUM(C49:C52)</f>
        <v>72.512788468264958</v>
      </c>
      <c r="D276" s="194">
        <f>(D273*SUM(D49:D52)-I157*10*J157*SUM(D49:D52)-I158*10*J158*SUM(D49:D52))/SUM(D49:D52)</f>
        <v>66.35440538275823</v>
      </c>
      <c r="E276" s="197"/>
      <c r="F276" s="194"/>
      <c r="G276" s="194"/>
      <c r="H276" s="194"/>
    </row>
    <row r="277" spans="1:9">
      <c r="A277" s="10"/>
      <c r="B277" s="130" t="s">
        <v>219</v>
      </c>
      <c r="C277" s="194">
        <f>C276+C158*10</f>
        <v>83.692788468264965</v>
      </c>
      <c r="D277" s="194">
        <f>D276+I157*10</f>
        <v>77.614405382758235</v>
      </c>
      <c r="E277" s="197"/>
      <c r="F277" s="194"/>
      <c r="G277" s="194"/>
      <c r="H277" s="194"/>
    </row>
    <row r="278" spans="1:9">
      <c r="A278" s="10"/>
      <c r="B278" s="132" t="s">
        <v>220</v>
      </c>
      <c r="C278" s="194"/>
      <c r="D278" s="194">
        <f>D276+I158*10</f>
        <v>85.204405382758239</v>
      </c>
      <c r="E278" s="197"/>
      <c r="F278" s="194"/>
      <c r="G278" s="194"/>
      <c r="H278" s="194"/>
    </row>
    <row r="279" spans="1:9">
      <c r="A279" s="10"/>
      <c r="B279" s="112"/>
      <c r="C279" s="194"/>
      <c r="D279" s="194"/>
      <c r="E279" s="194"/>
      <c r="F279" s="194"/>
      <c r="G279" s="194"/>
      <c r="H279" s="194"/>
    </row>
    <row r="280" spans="1:9">
      <c r="A280" s="10"/>
      <c r="B280" s="116" t="s">
        <v>17</v>
      </c>
      <c r="C280" s="197">
        <f t="shared" ref="C280:H280" si="56">C188-C$167</f>
        <v>87.394721001433908</v>
      </c>
      <c r="D280" s="197">
        <f t="shared" si="56"/>
        <v>74.295979855876809</v>
      </c>
      <c r="E280" s="197">
        <f t="shared" si="56"/>
        <v>70.153480741739386</v>
      </c>
      <c r="F280" s="197">
        <f t="shared" si="56"/>
        <v>71.282914837709626</v>
      </c>
      <c r="G280" s="197">
        <f t="shared" si="56"/>
        <v>55.131855904613801</v>
      </c>
      <c r="H280" s="197">
        <f t="shared" si="56"/>
        <v>54.842124913502786</v>
      </c>
      <c r="I280" s="156"/>
    </row>
    <row r="281" spans="1:9">
      <c r="A281" s="10"/>
      <c r="B281" s="158" t="s">
        <v>154</v>
      </c>
      <c r="C281" s="194"/>
      <c r="D281" s="194"/>
      <c r="E281" s="197">
        <f>E189-E$167</f>
        <v>101.81598127644196</v>
      </c>
      <c r="F281" s="194"/>
      <c r="G281" s="194"/>
      <c r="H281" s="194"/>
    </row>
    <row r="282" spans="1:9">
      <c r="A282" s="10"/>
      <c r="B282" s="158" t="s">
        <v>155</v>
      </c>
      <c r="C282" s="194"/>
      <c r="D282" s="194"/>
      <c r="E282" s="197">
        <f>E190-E$167</f>
        <v>53.47894894792438</v>
      </c>
      <c r="F282" s="194"/>
      <c r="G282" s="194"/>
      <c r="H282" s="194"/>
    </row>
    <row r="283" spans="1:9">
      <c r="A283" s="10"/>
      <c r="C283" s="194"/>
      <c r="D283" s="194"/>
      <c r="E283" s="194"/>
      <c r="F283" s="194"/>
      <c r="G283" s="194"/>
      <c r="H283" s="194"/>
    </row>
    <row r="284" spans="1:9">
      <c r="A284" s="10"/>
      <c r="B284" s="109" t="s">
        <v>107</v>
      </c>
      <c r="C284" s="197">
        <f t="shared" ref="C284:H284" si="57">C192-C$167</f>
        <v>84.881626922081068</v>
      </c>
      <c r="D284" s="197">
        <f t="shared" si="57"/>
        <v>75.078943785368722</v>
      </c>
      <c r="E284" s="197">
        <f t="shared" si="57"/>
        <v>71.047365549533268</v>
      </c>
      <c r="F284" s="197">
        <f t="shared" si="57"/>
        <v>72.785857164971063</v>
      </c>
      <c r="G284" s="197">
        <f t="shared" si="57"/>
        <v>54.606911637127681</v>
      </c>
      <c r="H284" s="197">
        <f t="shared" si="57"/>
        <v>54.365875622163173</v>
      </c>
      <c r="I284" s="156"/>
    </row>
    <row r="285" spans="1:9">
      <c r="A285" s="10"/>
      <c r="C285" s="156"/>
      <c r="D285" s="156"/>
      <c r="E285" s="156"/>
      <c r="F285" s="156"/>
      <c r="G285" s="156"/>
      <c r="H285" s="156"/>
      <c r="I285" s="156"/>
    </row>
    <row r="286" spans="1:9">
      <c r="A286" s="19" t="s">
        <v>86</v>
      </c>
      <c r="B286" s="35" t="s">
        <v>200</v>
      </c>
      <c r="C286" s="156"/>
      <c r="D286" s="156"/>
      <c r="E286" s="156"/>
      <c r="F286" s="156"/>
      <c r="G286" s="156"/>
      <c r="H286" s="156"/>
      <c r="I286" s="156"/>
    </row>
    <row r="287" spans="1:9">
      <c r="A287" s="10"/>
      <c r="C287" s="156"/>
      <c r="D287" s="156"/>
      <c r="E287" s="156"/>
      <c r="F287" s="156"/>
      <c r="G287" s="156"/>
      <c r="H287" s="156"/>
      <c r="I287" s="156"/>
    </row>
    <row r="288" spans="1:9">
      <c r="A288" s="10"/>
      <c r="B288" s="1" t="s">
        <v>25</v>
      </c>
    </row>
    <row r="289" spans="1:9">
      <c r="A289" s="10"/>
      <c r="B289" s="18" t="s">
        <v>176</v>
      </c>
    </row>
    <row r="290" spans="1:9">
      <c r="A290" s="10"/>
      <c r="B290" s="10" t="s">
        <v>177</v>
      </c>
    </row>
    <row r="291" spans="1:9">
      <c r="A291" s="10"/>
      <c r="B291" s="10"/>
    </row>
    <row r="292" spans="1:9">
      <c r="A292" s="10"/>
      <c r="C292" s="73" t="str">
        <f>+I6</f>
        <v>SC2 Dem</v>
      </c>
      <c r="D292" s="106"/>
      <c r="E292" s="106"/>
      <c r="G292" s="1" t="s">
        <v>24</v>
      </c>
    </row>
    <row r="293" spans="1:9">
      <c r="A293" s="10"/>
      <c r="C293" s="106"/>
      <c r="D293" s="106"/>
      <c r="F293" s="1"/>
    </row>
    <row r="294" spans="1:9">
      <c r="A294" s="10"/>
      <c r="B294" s="116" t="s">
        <v>16</v>
      </c>
      <c r="C294" s="194">
        <f>C198</f>
        <v>60.919714415791177</v>
      </c>
      <c r="D294" s="194"/>
      <c r="G294" s="31" t="s">
        <v>173</v>
      </c>
    </row>
    <row r="295" spans="1:9">
      <c r="A295" s="10"/>
      <c r="B295" s="158"/>
      <c r="C295" s="194"/>
      <c r="D295" s="194"/>
    </row>
    <row r="296" spans="1:9">
      <c r="A296" s="10"/>
      <c r="B296" s="158"/>
      <c r="C296" s="194"/>
      <c r="D296" s="194"/>
      <c r="H296" s="73" t="str">
        <f>I6</f>
        <v>SC2 Dem</v>
      </c>
      <c r="I296" s="32"/>
    </row>
    <row r="297" spans="1:9">
      <c r="A297" s="10"/>
      <c r="C297" s="194"/>
      <c r="D297" s="194"/>
    </row>
    <row r="298" spans="1:9">
      <c r="A298" s="10"/>
      <c r="B298" s="116" t="s">
        <v>17</v>
      </c>
      <c r="C298" s="194">
        <f>C202</f>
        <v>58.356159571637377</v>
      </c>
      <c r="D298" s="194"/>
      <c r="G298" s="128" t="s">
        <v>42</v>
      </c>
      <c r="H298" s="213">
        <f>H259</f>
        <v>4.7759999999999998</v>
      </c>
      <c r="I298" s="168"/>
    </row>
    <row r="299" spans="1:9">
      <c r="A299" s="10"/>
      <c r="B299" s="158"/>
      <c r="C299" s="194"/>
      <c r="D299" s="194"/>
      <c r="G299" s="128" t="s">
        <v>43</v>
      </c>
      <c r="H299" s="213">
        <f>H260</f>
        <v>5.2990000000000004</v>
      </c>
      <c r="I299" s="168"/>
    </row>
    <row r="300" spans="1:9">
      <c r="A300" s="10"/>
      <c r="B300" s="158"/>
      <c r="C300" s="194"/>
      <c r="D300" s="194"/>
    </row>
    <row r="301" spans="1:9">
      <c r="A301" s="10"/>
      <c r="B301" s="158"/>
      <c r="C301" s="194"/>
      <c r="D301" s="194"/>
      <c r="G301" s="13"/>
      <c r="I301" s="180"/>
    </row>
    <row r="302" spans="1:9">
      <c r="A302" s="10"/>
      <c r="B302" s="109" t="s">
        <v>109</v>
      </c>
      <c r="C302" s="194">
        <f>C206</f>
        <v>59.300797853841203</v>
      </c>
      <c r="D302" s="194"/>
      <c r="G302" s="128"/>
      <c r="H302" s="201"/>
      <c r="I302" s="180"/>
    </row>
    <row r="303" spans="1:9">
      <c r="A303" s="10"/>
      <c r="C303" s="156"/>
      <c r="D303" s="156"/>
    </row>
    <row r="304" spans="1:9">
      <c r="A304" s="10"/>
      <c r="B304" s="37" t="s">
        <v>199</v>
      </c>
      <c r="C304" s="156"/>
      <c r="D304" s="156"/>
      <c r="E304" s="210"/>
    </row>
    <row r="305" spans="1:9">
      <c r="A305" s="10"/>
      <c r="B305" s="116" t="s">
        <v>16</v>
      </c>
      <c r="C305" s="202">
        <v>73.567311866980063</v>
      </c>
      <c r="D305" s="202"/>
      <c r="E305" s="214"/>
    </row>
    <row r="306" spans="1:9">
      <c r="A306" s="10"/>
      <c r="B306" s="158"/>
      <c r="C306" s="156"/>
      <c r="D306" s="202"/>
    </row>
    <row r="307" spans="1:9">
      <c r="A307" s="10"/>
      <c r="B307" s="158"/>
      <c r="C307" s="156"/>
      <c r="D307" s="202"/>
    </row>
    <row r="308" spans="1:9">
      <c r="A308" s="10"/>
      <c r="C308" s="156"/>
      <c r="D308" s="156"/>
    </row>
    <row r="309" spans="1:9">
      <c r="A309" s="10"/>
      <c r="B309" s="116" t="s">
        <v>17</v>
      </c>
      <c r="C309" s="202">
        <v>73.113761372104037</v>
      </c>
      <c r="D309" s="202"/>
    </row>
    <row r="310" spans="1:9">
      <c r="A310" s="10"/>
      <c r="B310" s="158"/>
      <c r="C310" s="156"/>
      <c r="D310" s="202"/>
    </row>
    <row r="311" spans="1:9">
      <c r="A311" s="10"/>
      <c r="B311" s="158"/>
      <c r="C311" s="156"/>
      <c r="D311" s="202"/>
    </row>
    <row r="312" spans="1:9">
      <c r="A312" s="10"/>
      <c r="B312" s="158"/>
      <c r="C312" s="156"/>
      <c r="D312" s="156"/>
    </row>
    <row r="313" spans="1:9">
      <c r="A313" s="10"/>
      <c r="B313" s="109" t="s">
        <v>104</v>
      </c>
      <c r="C313" s="202">
        <v>73.280889124938895</v>
      </c>
      <c r="D313" s="202"/>
    </row>
    <row r="314" spans="1:9">
      <c r="A314" s="10"/>
      <c r="C314" s="164"/>
      <c r="D314" s="164"/>
    </row>
    <row r="315" spans="1:9">
      <c r="A315" s="10"/>
      <c r="B315" s="1" t="s">
        <v>103</v>
      </c>
      <c r="C315" s="156"/>
      <c r="D315" s="156"/>
    </row>
    <row r="316" spans="1:9">
      <c r="A316" s="10"/>
      <c r="B316" s="128" t="s">
        <v>53</v>
      </c>
      <c r="C316" s="203">
        <f>(+SUMPRODUCT(C284:H284,C56:H56)+SUMPRODUCT(C313,I56))/1000</f>
        <v>110205.16057311615</v>
      </c>
      <c r="D316" s="112"/>
    </row>
    <row r="317" spans="1:9">
      <c r="A317" s="10"/>
      <c r="C317" s="130" t="s">
        <v>133</v>
      </c>
      <c r="D317" s="197">
        <f>+C316/SUM(C56:I56)*1000</f>
        <v>79.217380840294709</v>
      </c>
      <c r="E317" s="109" t="s">
        <v>39</v>
      </c>
    </row>
    <row r="318" spans="1:9">
      <c r="A318" s="10"/>
      <c r="B318" s="112"/>
      <c r="C318" s="130" t="s">
        <v>335</v>
      </c>
      <c r="D318" s="197">
        <f>+C316/SUMPRODUCT(C56:I56,C81:I81)*1000</f>
        <v>74.061062219088868</v>
      </c>
      <c r="E318" s="112" t="s">
        <v>339</v>
      </c>
      <c r="F318" s="112"/>
      <c r="G318" s="112"/>
      <c r="H318" s="112"/>
      <c r="I318" s="112"/>
    </row>
    <row r="319" spans="1:9">
      <c r="A319" s="10"/>
      <c r="B319" s="112"/>
      <c r="C319" s="112"/>
      <c r="D319" s="112"/>
      <c r="E319" s="112"/>
      <c r="F319" s="112"/>
      <c r="G319" s="112"/>
      <c r="H319" s="112"/>
    </row>
    <row r="320" spans="1:9">
      <c r="A320" s="19" t="s">
        <v>87</v>
      </c>
      <c r="B320" s="86" t="s">
        <v>336</v>
      </c>
      <c r="C320" s="112"/>
      <c r="D320" s="112"/>
      <c r="E320" s="112"/>
      <c r="F320" s="112"/>
      <c r="G320" s="112"/>
      <c r="H320" s="112"/>
    </row>
    <row r="321" spans="1:11">
      <c r="A321" s="10"/>
      <c r="B321" s="77"/>
      <c r="C321" s="112"/>
      <c r="D321" s="112"/>
      <c r="E321" s="112"/>
      <c r="F321" s="112"/>
      <c r="G321" s="112"/>
      <c r="H321" s="112"/>
    </row>
    <row r="322" spans="1:11">
      <c r="A322" s="10"/>
      <c r="B322" s="1" t="s">
        <v>36</v>
      </c>
    </row>
    <row r="323" spans="1:11">
      <c r="A323" s="10"/>
      <c r="B323" s="4" t="s">
        <v>347</v>
      </c>
    </row>
    <row r="324" spans="1:11">
      <c r="A324" s="10"/>
      <c r="B324" s="1"/>
    </row>
    <row r="325" spans="1:11">
      <c r="A325" s="10"/>
      <c r="C325" s="73" t="str">
        <f t="shared" ref="C325:H325" si="58">+C6</f>
        <v>SC1</v>
      </c>
      <c r="D325" s="73" t="str">
        <f t="shared" si="58"/>
        <v>SC5</v>
      </c>
      <c r="E325" s="73" t="str">
        <f t="shared" si="58"/>
        <v>SC3</v>
      </c>
      <c r="F325" s="73" t="str">
        <f t="shared" si="58"/>
        <v>SC2 ND</v>
      </c>
      <c r="G325" s="73" t="str">
        <f t="shared" si="58"/>
        <v>SC4</v>
      </c>
      <c r="H325" s="73" t="str">
        <f t="shared" si="58"/>
        <v>SC6</v>
      </c>
    </row>
    <row r="326" spans="1:11">
      <c r="A326" s="10"/>
      <c r="C326" s="106"/>
      <c r="D326" s="106"/>
      <c r="E326" s="106"/>
      <c r="F326" s="106"/>
    </row>
    <row r="327" spans="1:11">
      <c r="A327" s="10"/>
      <c r="B327" s="116" t="s">
        <v>16</v>
      </c>
      <c r="C327" s="47">
        <f>ROUND(+C273/$D$318,3)</f>
        <v>1.099</v>
      </c>
      <c r="D327" s="47">
        <f>ROUND(+D273/$D$318,3)</f>
        <v>1.0349999999999999</v>
      </c>
      <c r="E327" s="205"/>
      <c r="F327" s="46">
        <f>ROUND(+F273/$D$318,3)</f>
        <v>1.0309999999999999</v>
      </c>
      <c r="G327" s="46">
        <f>ROUND(+G273/$D$318,3)</f>
        <v>0.71899999999999997</v>
      </c>
      <c r="H327" s="46">
        <f>ROUND(+H273/$D$318,3)</f>
        <v>0.71899999999999997</v>
      </c>
      <c r="I327" s="206"/>
      <c r="J327" s="206"/>
      <c r="K327" s="206"/>
    </row>
    <row r="328" spans="1:11">
      <c r="A328" s="10"/>
      <c r="B328" s="158" t="s">
        <v>154</v>
      </c>
      <c r="C328" s="205"/>
      <c r="D328" s="205"/>
      <c r="E328" s="46">
        <f>ROUND(+E274/$D$318,3)</f>
        <v>1.4370000000000001</v>
      </c>
      <c r="F328" s="205"/>
      <c r="G328" s="205"/>
      <c r="H328" s="205"/>
      <c r="I328" s="206"/>
      <c r="J328" s="206"/>
      <c r="K328" s="206"/>
    </row>
    <row r="329" spans="1:11">
      <c r="A329" s="10"/>
      <c r="B329" s="158" t="s">
        <v>155</v>
      </c>
      <c r="C329" s="205"/>
      <c r="D329" s="205"/>
      <c r="E329" s="46">
        <f>ROUND(+E275/$D$318,3)</f>
        <v>0.69899999999999995</v>
      </c>
      <c r="F329" s="205"/>
      <c r="G329" s="205"/>
      <c r="H329" s="205"/>
      <c r="I329" s="206"/>
      <c r="J329" s="206"/>
      <c r="K329" s="206"/>
    </row>
    <row r="330" spans="1:11">
      <c r="A330" s="10"/>
      <c r="C330" s="205"/>
      <c r="D330" s="205"/>
      <c r="E330" s="205"/>
      <c r="F330" s="205"/>
      <c r="G330" s="205"/>
      <c r="H330" s="205"/>
      <c r="I330" s="206"/>
      <c r="J330" s="206"/>
      <c r="K330" s="206"/>
    </row>
    <row r="331" spans="1:11">
      <c r="A331" s="10"/>
      <c r="B331" s="43"/>
      <c r="E331" s="205"/>
      <c r="F331" s="205"/>
      <c r="G331" s="205"/>
      <c r="H331" s="205"/>
      <c r="I331" s="206"/>
      <c r="J331" s="206"/>
      <c r="K331" s="206"/>
    </row>
    <row r="332" spans="1:11">
      <c r="A332" s="10"/>
      <c r="B332" s="52" t="s">
        <v>221</v>
      </c>
      <c r="C332" s="53">
        <f>C276-C273</f>
        <v>-8.9149320000000074</v>
      </c>
      <c r="D332" s="53">
        <f>D276-D273</f>
        <v>-10.297287000000011</v>
      </c>
      <c r="E332" s="205"/>
      <c r="F332" s="205"/>
      <c r="G332" s="205"/>
      <c r="H332" s="205"/>
      <c r="I332" s="206"/>
      <c r="J332" s="206"/>
      <c r="K332" s="206"/>
    </row>
    <row r="333" spans="1:11">
      <c r="A333" s="10"/>
      <c r="B333" s="52" t="s">
        <v>222</v>
      </c>
      <c r="C333" s="53">
        <f>C277-C273</f>
        <v>2.2650679999999994</v>
      </c>
      <c r="D333" s="53">
        <f>D277-D273</f>
        <v>0.96271299999999371</v>
      </c>
      <c r="E333" s="205"/>
      <c r="F333" s="205"/>
      <c r="G333" s="205"/>
      <c r="H333" s="205"/>
      <c r="I333" s="206"/>
      <c r="J333" s="206"/>
      <c r="K333" s="206"/>
    </row>
    <row r="334" spans="1:11">
      <c r="A334" s="10"/>
      <c r="B334" s="52" t="s">
        <v>223</v>
      </c>
      <c r="C334" s="207" t="s">
        <v>224</v>
      </c>
      <c r="D334" s="53">
        <f>D278-D273</f>
        <v>8.5527129999999971</v>
      </c>
      <c r="E334" s="205"/>
      <c r="F334" s="205"/>
      <c r="G334" s="205"/>
      <c r="H334" s="205"/>
      <c r="I334" s="206"/>
      <c r="J334" s="206"/>
      <c r="K334" s="206"/>
    </row>
    <row r="335" spans="1:11">
      <c r="A335" s="10"/>
      <c r="C335" s="205"/>
      <c r="D335" s="205"/>
      <c r="E335" s="205"/>
      <c r="F335" s="205"/>
      <c r="G335" s="205"/>
      <c r="H335" s="205"/>
      <c r="I335" s="206"/>
      <c r="J335" s="206"/>
      <c r="K335" s="206"/>
    </row>
    <row r="336" spans="1:11">
      <c r="A336" s="10"/>
      <c r="B336" s="116" t="s">
        <v>17</v>
      </c>
      <c r="C336" s="46">
        <f>ROUND(+C280/$D$318,3)</f>
        <v>1.18</v>
      </c>
      <c r="D336" s="46">
        <f>ROUND(+D280/$D$318,3)</f>
        <v>1.0029999999999999</v>
      </c>
      <c r="E336" s="208"/>
      <c r="F336" s="46">
        <f>ROUND(+F280/$D$318,3)</f>
        <v>0.96199999999999997</v>
      </c>
      <c r="G336" s="46">
        <f>ROUND(+G280/$D$318,3)</f>
        <v>0.74399999999999999</v>
      </c>
      <c r="H336" s="46">
        <f>ROUND(+H280/$D$318,3)</f>
        <v>0.74</v>
      </c>
      <c r="I336" s="206"/>
      <c r="J336" s="206"/>
      <c r="K336" s="206"/>
    </row>
    <row r="337" spans="1:11">
      <c r="A337" s="10"/>
      <c r="B337" s="158" t="s">
        <v>154</v>
      </c>
      <c r="C337" s="205"/>
      <c r="D337" s="205"/>
      <c r="E337" s="46">
        <f>ROUND(+E281/$D$318,3)</f>
        <v>1.375</v>
      </c>
      <c r="F337" s="205"/>
      <c r="G337" s="205"/>
      <c r="H337" s="205"/>
      <c r="I337" s="206"/>
      <c r="J337" s="206"/>
      <c r="K337" s="206"/>
    </row>
    <row r="338" spans="1:11">
      <c r="A338" s="10"/>
      <c r="B338" s="158" t="s">
        <v>155</v>
      </c>
      <c r="C338" s="205"/>
      <c r="D338" s="205"/>
      <c r="E338" s="46">
        <f>ROUND(+E282/$D$318,3)</f>
        <v>0.72199999999999998</v>
      </c>
      <c r="F338" s="205"/>
      <c r="G338" s="205"/>
      <c r="H338" s="205"/>
      <c r="I338" s="206"/>
      <c r="J338" s="206"/>
      <c r="K338" s="206"/>
    </row>
    <row r="339" spans="1:11">
      <c r="A339" s="10"/>
      <c r="C339" s="206"/>
      <c r="D339" s="206"/>
      <c r="E339" s="206"/>
      <c r="F339" s="206"/>
      <c r="G339" s="206"/>
      <c r="H339" s="206"/>
      <c r="I339" s="206"/>
      <c r="J339" s="206"/>
      <c r="K339" s="206"/>
    </row>
    <row r="340" spans="1:11">
      <c r="A340" s="10"/>
      <c r="B340" s="109" t="s">
        <v>108</v>
      </c>
      <c r="C340" s="208">
        <f>ROUND(+C284/$D$318,3)</f>
        <v>1.1459999999999999</v>
      </c>
      <c r="D340" s="208">
        <f>ROUND(+D284/$D$318,3)</f>
        <v>1.014</v>
      </c>
      <c r="E340" s="208">
        <f>ROUND(+E284/$D$318,3)</f>
        <v>0.95899999999999996</v>
      </c>
      <c r="F340" s="208">
        <f>ROUND(,3)+F284/$D$318</f>
        <v>0.98278170720336866</v>
      </c>
      <c r="G340" s="208">
        <f>ROUND(+G284/$D$318,3)</f>
        <v>0.73699999999999999</v>
      </c>
      <c r="H340" s="208">
        <f>ROUND(+H284/$D$318,3)</f>
        <v>0.73399999999999999</v>
      </c>
      <c r="I340" s="206"/>
      <c r="J340" s="206"/>
      <c r="K340" s="206"/>
    </row>
    <row r="341" spans="1:11">
      <c r="A341" s="10"/>
    </row>
    <row r="342" spans="1:11">
      <c r="A342" s="10"/>
    </row>
    <row r="343" spans="1:11">
      <c r="A343" s="10"/>
      <c r="B343" s="1" t="s">
        <v>25</v>
      </c>
    </row>
    <row r="344" spans="1:11">
      <c r="A344" s="10"/>
      <c r="B344" s="4" t="s">
        <v>85</v>
      </c>
    </row>
    <row r="345" spans="1:11">
      <c r="A345" s="10"/>
    </row>
    <row r="346" spans="1:11">
      <c r="A346" s="10"/>
      <c r="C346" s="32" t="str">
        <f>+I6</f>
        <v>SC2 Dem</v>
      </c>
      <c r="D346" s="32" t="str">
        <f>+C346</f>
        <v>SC2 Dem</v>
      </c>
      <c r="E346" s="106"/>
      <c r="F346" s="106"/>
      <c r="G346" s="24" t="s">
        <v>24</v>
      </c>
    </row>
    <row r="347" spans="1:11">
      <c r="A347" s="10"/>
      <c r="C347" s="73" t="s">
        <v>117</v>
      </c>
      <c r="D347" s="74" t="s">
        <v>118</v>
      </c>
      <c r="E347" s="106"/>
      <c r="F347" s="106"/>
      <c r="G347" s="142"/>
    </row>
    <row r="348" spans="1:11">
      <c r="A348" s="10"/>
      <c r="B348" s="116" t="s">
        <v>16</v>
      </c>
      <c r="C348" s="46">
        <f>ROUND(+C305/$D$318,3)</f>
        <v>0.99299999999999999</v>
      </c>
      <c r="D348" s="49">
        <f>C294-C305</f>
        <v>-12.647597451188886</v>
      </c>
      <c r="F348" s="210"/>
      <c r="G348" s="33" t="s">
        <v>173</v>
      </c>
    </row>
    <row r="349" spans="1:11">
      <c r="A349" s="10"/>
      <c r="B349" s="158"/>
      <c r="C349" s="208"/>
      <c r="D349" s="49"/>
      <c r="E349" s="12"/>
      <c r="F349" s="16"/>
      <c r="G349" s="142"/>
    </row>
    <row r="350" spans="1:11">
      <c r="A350" s="10"/>
      <c r="B350" s="158"/>
      <c r="C350" s="208"/>
      <c r="D350" s="49"/>
      <c r="E350" s="12"/>
      <c r="F350" s="16"/>
      <c r="G350" s="142"/>
      <c r="H350" s="73" t="str">
        <f>I6</f>
        <v>SC2 Dem</v>
      </c>
      <c r="I350" s="32"/>
    </row>
    <row r="351" spans="1:11">
      <c r="A351" s="10"/>
      <c r="C351" s="208"/>
      <c r="D351" s="49"/>
      <c r="E351" s="205"/>
      <c r="F351" s="16"/>
      <c r="G351" s="142"/>
    </row>
    <row r="352" spans="1:11">
      <c r="A352" s="10"/>
      <c r="B352" s="116" t="s">
        <v>17</v>
      </c>
      <c r="C352" s="46">
        <f>ROUND(+C309/$D$318,3)</f>
        <v>0.98699999999999999</v>
      </c>
      <c r="D352" s="49">
        <f>C298-C309</f>
        <v>-14.757601800466659</v>
      </c>
      <c r="E352" s="12"/>
      <c r="F352" s="16"/>
      <c r="G352" s="212" t="s">
        <v>42</v>
      </c>
      <c r="H352" s="213">
        <f>H298</f>
        <v>4.7759999999999998</v>
      </c>
      <c r="I352" s="168"/>
    </row>
    <row r="353" spans="1:11">
      <c r="A353" s="10"/>
      <c r="B353" s="158"/>
      <c r="C353" s="208"/>
      <c r="D353" s="215"/>
      <c r="E353" s="12"/>
      <c r="F353" s="16"/>
      <c r="G353" s="212" t="s">
        <v>43</v>
      </c>
      <c r="H353" s="213">
        <f>H299</f>
        <v>5.2990000000000004</v>
      </c>
      <c r="I353" s="168"/>
    </row>
    <row r="354" spans="1:11">
      <c r="A354" s="10"/>
      <c r="B354" s="158"/>
      <c r="C354" s="208"/>
      <c r="D354" s="215"/>
      <c r="E354" s="12"/>
      <c r="F354" s="16"/>
      <c r="G354" s="212"/>
      <c r="H354" s="168"/>
      <c r="I354" s="180"/>
    </row>
    <row r="355" spans="1:11">
      <c r="A355" s="10"/>
      <c r="C355" s="209"/>
      <c r="D355" s="215"/>
      <c r="E355" s="206"/>
      <c r="G355" s="25"/>
    </row>
    <row r="356" spans="1:11">
      <c r="A356" s="10"/>
      <c r="B356" s="109" t="s">
        <v>104</v>
      </c>
      <c r="C356" s="46">
        <f>ROUND(+C313/$D$318,3)</f>
        <v>0.98899999999999999</v>
      </c>
      <c r="D356" s="215"/>
      <c r="E356" s="206"/>
      <c r="G356" s="212"/>
      <c r="H356" s="168"/>
      <c r="I356" s="180"/>
    </row>
    <row r="357" spans="1:11">
      <c r="A357" s="10"/>
    </row>
    <row r="358" spans="1:11">
      <c r="A358" s="10"/>
      <c r="C358" s="206"/>
      <c r="E358" s="206"/>
    </row>
    <row r="359" spans="1:11">
      <c r="A359" s="19" t="s">
        <v>124</v>
      </c>
      <c r="B359" s="1" t="s">
        <v>129</v>
      </c>
    </row>
    <row r="360" spans="1:11">
      <c r="A360" s="10"/>
      <c r="B360" s="1"/>
    </row>
    <row r="361" spans="1:11">
      <c r="A361" s="10"/>
      <c r="C361" s="73" t="str">
        <f>C6</f>
        <v>SC1</v>
      </c>
      <c r="D361" s="73" t="str">
        <f t="shared" ref="D361:I361" si="59">D6</f>
        <v>SC5</v>
      </c>
      <c r="E361" s="73" t="str">
        <f t="shared" si="59"/>
        <v>SC3</v>
      </c>
      <c r="F361" s="73" t="str">
        <f t="shared" si="59"/>
        <v>SC2 ND</v>
      </c>
      <c r="G361" s="73" t="str">
        <f t="shared" si="59"/>
        <v>SC4</v>
      </c>
      <c r="H361" s="73" t="str">
        <f t="shared" si="59"/>
        <v>SC6</v>
      </c>
      <c r="I361" s="73" t="str">
        <f t="shared" si="59"/>
        <v>SC2 Dem</v>
      </c>
      <c r="J361" s="106"/>
      <c r="K361" s="106"/>
    </row>
    <row r="362" spans="1:11">
      <c r="A362" s="10"/>
      <c r="B362" s="109" t="s">
        <v>52</v>
      </c>
    </row>
    <row r="363" spans="1:11">
      <c r="A363" s="10"/>
      <c r="B363" s="152" t="s">
        <v>47</v>
      </c>
      <c r="C363" s="203">
        <f>(C184*SUM(C49:C52)*E156+C185*SUM(C49:C52)*E157)/1000</f>
        <v>28949.15519331086</v>
      </c>
      <c r="D363" s="203">
        <f>(D184*SUM(D49:D52)*J156+D185*SUM(D49:D52)*J157+D186*SUM(D49:D52)*J158)/1000</f>
        <v>462.02269482755952</v>
      </c>
      <c r="E363" s="179">
        <f>+E181*SUM(E49:E52)/1000</f>
        <v>7.2855556974544866</v>
      </c>
      <c r="F363" s="165">
        <f>+F181*SUM(F49:F52)/1000</f>
        <v>965.08410544587196</v>
      </c>
      <c r="G363" s="165">
        <f>+G181*SUM(G49:G52)/1000</f>
        <v>101.11054996019888</v>
      </c>
      <c r="H363" s="165">
        <f>+H181*SUM(H49:H52)/1000</f>
        <v>91.474622184699015</v>
      </c>
      <c r="I363" s="216">
        <v>17495.349905533476</v>
      </c>
      <c r="J363" s="216"/>
      <c r="K363" s="165"/>
    </row>
    <row r="364" spans="1:11">
      <c r="A364" s="10"/>
      <c r="B364" s="152" t="s">
        <v>48</v>
      </c>
      <c r="C364" s="203">
        <f t="shared" ref="C364:H364" si="60">+C188*SUM(C44:C48,C53:C55)/1000</f>
        <v>42313.038017218409</v>
      </c>
      <c r="D364" s="179">
        <f t="shared" si="60"/>
        <v>901.91584165818745</v>
      </c>
      <c r="E364" s="179">
        <f t="shared" si="60"/>
        <v>13.856187000919499</v>
      </c>
      <c r="F364" s="165">
        <f t="shared" si="60"/>
        <v>2170.943758132692</v>
      </c>
      <c r="G364" s="165">
        <f t="shared" si="60"/>
        <v>271.80004960974605</v>
      </c>
      <c r="H364" s="165">
        <f t="shared" si="60"/>
        <v>221.78155315020527</v>
      </c>
      <c r="I364" s="216">
        <v>30234.443931797785</v>
      </c>
      <c r="J364" s="216"/>
      <c r="K364" s="165"/>
    </row>
    <row r="365" spans="1:11">
      <c r="A365" s="10"/>
      <c r="B365" s="152" t="s">
        <v>12</v>
      </c>
      <c r="C365" s="217">
        <f>+C364+C363</f>
        <v>71262.193210529265</v>
      </c>
      <c r="D365" s="195">
        <f t="shared" ref="D365:I365" si="61">+D364+D363</f>
        <v>1363.9385364857469</v>
      </c>
      <c r="E365" s="195">
        <f t="shared" si="61"/>
        <v>21.141742698373985</v>
      </c>
      <c r="F365" s="163">
        <f t="shared" si="61"/>
        <v>3136.0278635785639</v>
      </c>
      <c r="G365" s="163">
        <f t="shared" si="61"/>
        <v>372.91059956994491</v>
      </c>
      <c r="H365" s="165">
        <f t="shared" si="61"/>
        <v>313.2561753349043</v>
      </c>
      <c r="I365" s="165">
        <f t="shared" si="61"/>
        <v>47729.793837331265</v>
      </c>
      <c r="J365" s="165"/>
      <c r="K365" s="165"/>
    </row>
    <row r="366" spans="1:11">
      <c r="A366" s="10"/>
      <c r="B366" s="152"/>
      <c r="C366" s="112"/>
      <c r="D366" s="112"/>
      <c r="E366" s="112"/>
    </row>
    <row r="367" spans="1:11">
      <c r="A367" s="10"/>
      <c r="B367" s="109" t="s">
        <v>51</v>
      </c>
      <c r="C367" s="112"/>
      <c r="D367" s="112"/>
      <c r="E367" s="112"/>
    </row>
    <row r="368" spans="1:11">
      <c r="A368" s="10"/>
      <c r="B368" s="152" t="s">
        <v>47</v>
      </c>
      <c r="C368" s="218">
        <f t="shared" ref="C368:I368" si="62">+C363/C365</f>
        <v>0.40623441251361192</v>
      </c>
      <c r="D368" s="218">
        <f t="shared" si="62"/>
        <v>0.33874157996736654</v>
      </c>
      <c r="E368" s="218">
        <f t="shared" si="62"/>
        <v>0.34460525801474351</v>
      </c>
      <c r="F368" s="151">
        <f t="shared" si="62"/>
        <v>0.307740921773763</v>
      </c>
      <c r="G368" s="151">
        <f t="shared" si="62"/>
        <v>0.2711388468893175</v>
      </c>
      <c r="H368" s="151">
        <f t="shared" si="62"/>
        <v>0.29201219125817035</v>
      </c>
      <c r="I368" s="151">
        <f t="shared" si="62"/>
        <v>0.36654987375725279</v>
      </c>
      <c r="J368" s="151"/>
      <c r="K368" s="151"/>
    </row>
    <row r="369" spans="1:11">
      <c r="A369" s="10"/>
      <c r="B369" s="152" t="s">
        <v>48</v>
      </c>
      <c r="C369" s="218">
        <f t="shared" ref="C369:I369" si="63">+C364/C365</f>
        <v>0.59376558748638808</v>
      </c>
      <c r="D369" s="218">
        <f t="shared" si="63"/>
        <v>0.66125842003263346</v>
      </c>
      <c r="E369" s="218">
        <f t="shared" si="63"/>
        <v>0.65539474198525649</v>
      </c>
      <c r="F369" s="151">
        <f t="shared" si="63"/>
        <v>0.692259078226237</v>
      </c>
      <c r="G369" s="151">
        <f t="shared" si="63"/>
        <v>0.72886115311068256</v>
      </c>
      <c r="H369" s="151">
        <f t="shared" si="63"/>
        <v>0.70798780874182965</v>
      </c>
      <c r="I369" s="151">
        <f t="shared" si="63"/>
        <v>0.63345012624274721</v>
      </c>
      <c r="J369" s="151"/>
      <c r="K369" s="151"/>
    </row>
    <row r="370" spans="1:11">
      <c r="A370" s="10"/>
      <c r="C370" s="112"/>
      <c r="D370" s="112"/>
      <c r="E370" s="112"/>
    </row>
    <row r="371" spans="1:11">
      <c r="A371" s="10"/>
      <c r="B371" s="109" t="s">
        <v>49</v>
      </c>
      <c r="C371" s="112"/>
      <c r="D371" s="112"/>
      <c r="E371" s="112"/>
    </row>
    <row r="372" spans="1:11">
      <c r="A372" s="10"/>
      <c r="B372" s="152" t="s">
        <v>47</v>
      </c>
      <c r="C372" s="219">
        <f>+SUM(C363:I363)</f>
        <v>48071.482626960118</v>
      </c>
      <c r="D372" s="112"/>
      <c r="E372" s="112"/>
    </row>
    <row r="373" spans="1:11">
      <c r="A373" s="10"/>
      <c r="B373" s="152" t="s">
        <v>48</v>
      </c>
      <c r="C373" s="219">
        <f>+SUM(C364:I364)</f>
        <v>76127.77933856794</v>
      </c>
      <c r="D373" s="112"/>
      <c r="E373" s="112"/>
    </row>
    <row r="374" spans="1:11">
      <c r="A374" s="10"/>
      <c r="B374" s="152" t="s">
        <v>12</v>
      </c>
      <c r="C374" s="195">
        <f>+C373+C372</f>
        <v>124199.26196552806</v>
      </c>
      <c r="D374" s="112"/>
      <c r="E374" s="112"/>
    </row>
    <row r="375" spans="1:11">
      <c r="A375" s="10"/>
      <c r="C375" s="112"/>
      <c r="D375" s="112"/>
      <c r="E375" s="112"/>
    </row>
    <row r="376" spans="1:11">
      <c r="A376" s="10"/>
      <c r="B376" s="109" t="s">
        <v>50</v>
      </c>
      <c r="C376" s="112"/>
      <c r="D376" s="112" t="s">
        <v>337</v>
      </c>
      <c r="E376" s="112"/>
      <c r="F376" s="112"/>
      <c r="G376" s="112"/>
      <c r="H376" s="112"/>
      <c r="I376" s="107" t="s">
        <v>161</v>
      </c>
      <c r="J376" s="107"/>
    </row>
    <row r="377" spans="1:11">
      <c r="A377" s="10"/>
      <c r="B377" s="152" t="s">
        <v>47</v>
      </c>
      <c r="C377" s="218">
        <f>+C372/C374</f>
        <v>0.38705127442949322</v>
      </c>
      <c r="D377" s="112"/>
      <c r="E377" s="197">
        <f>+C372/SUMPRODUCT(M48:S48,C81:I81)*1000</f>
        <v>82.215702511063583</v>
      </c>
      <c r="F377" s="112" t="s">
        <v>338</v>
      </c>
      <c r="G377" s="112"/>
      <c r="H377" s="112"/>
      <c r="I377" s="152" t="s">
        <v>47</v>
      </c>
      <c r="J377" s="17">
        <f>ROUND(E377/$D$223,4)</f>
        <v>0.98499999999999999</v>
      </c>
      <c r="K377" s="17"/>
    </row>
    <row r="378" spans="1:11">
      <c r="A378" s="10"/>
      <c r="B378" s="152" t="s">
        <v>48</v>
      </c>
      <c r="C378" s="218">
        <f>+C373/C374</f>
        <v>0.61294872557050684</v>
      </c>
      <c r="D378" s="112"/>
      <c r="E378" s="197">
        <f>+C373/SUMPRODUCT(M44:S44,C81:I81)*1000</f>
        <v>84.274463155367741</v>
      </c>
      <c r="F378" s="112" t="s">
        <v>338</v>
      </c>
      <c r="G378" s="112"/>
      <c r="H378" s="112"/>
      <c r="I378" s="152" t="s">
        <v>48</v>
      </c>
      <c r="J378" s="17">
        <f>ROUND(E378/$D$223,4)</f>
        <v>1.0097</v>
      </c>
      <c r="K378" s="17"/>
    </row>
    <row r="379" spans="1:11">
      <c r="A379" s="10"/>
      <c r="D379" s="112"/>
      <c r="E379" s="112"/>
      <c r="F379" s="112"/>
      <c r="G379" s="112"/>
      <c r="H379" s="112"/>
    </row>
    <row r="380" spans="1:11">
      <c r="A380" s="10"/>
      <c r="C380" s="206"/>
      <c r="D380" s="112"/>
      <c r="E380" s="220"/>
      <c r="F380" s="112"/>
      <c r="G380" s="112"/>
      <c r="H380" s="112"/>
    </row>
    <row r="381" spans="1:11">
      <c r="A381" s="19" t="s">
        <v>191</v>
      </c>
      <c r="B381" s="20" t="s">
        <v>178</v>
      </c>
    </row>
    <row r="382" spans="1:11">
      <c r="A382" s="10"/>
      <c r="B382" s="1"/>
    </row>
    <row r="383" spans="1:11">
      <c r="A383" s="10"/>
      <c r="C383" s="73" t="str">
        <f>C6</f>
        <v>SC1</v>
      </c>
      <c r="D383" s="73" t="str">
        <f t="shared" ref="D383:I383" si="64">D6</f>
        <v>SC5</v>
      </c>
      <c r="E383" s="73" t="str">
        <f t="shared" si="64"/>
        <v>SC3</v>
      </c>
      <c r="F383" s="73" t="str">
        <f t="shared" si="64"/>
        <v>SC2 ND</v>
      </c>
      <c r="G383" s="73" t="str">
        <f t="shared" si="64"/>
        <v>SC4</v>
      </c>
      <c r="H383" s="73" t="str">
        <f t="shared" si="64"/>
        <v>SC6</v>
      </c>
      <c r="I383" s="73" t="str">
        <f t="shared" si="64"/>
        <v>SC2 Dem</v>
      </c>
      <c r="J383" s="106"/>
      <c r="K383" s="106"/>
    </row>
    <row r="384" spans="1:11">
      <c r="A384" s="10"/>
      <c r="B384" s="109" t="s">
        <v>52</v>
      </c>
    </row>
    <row r="385" spans="1:11">
      <c r="A385" s="10"/>
      <c r="B385" s="152" t="s">
        <v>47</v>
      </c>
      <c r="C385" s="203">
        <f>(C276*SUM(C49:C52)*E156+C277*SUM(C49:C52)*E157)/1000</f>
        <v>25084.704995174172</v>
      </c>
      <c r="D385" s="203">
        <f>(D276*SUM(D49:D52)*J156+D277*SUM(D49:D52)*J157+D278*SUM(D49:D52)*J158)/1000</f>
        <v>422.38738630636374</v>
      </c>
      <c r="E385" s="203">
        <f>+E273*SUM(E49:E52)/1000</f>
        <v>6.6253156456026341</v>
      </c>
      <c r="F385" s="216">
        <f>+F273*SUM(F49:F52)/1000</f>
        <v>879.27712767323419</v>
      </c>
      <c r="G385" s="216">
        <f>+G273*SUM(G49:G52)/1000</f>
        <v>101.11054996019888</v>
      </c>
      <c r="H385" s="216">
        <f>+H273*SUM(H49:H52)/1000</f>
        <v>91.474622184699015</v>
      </c>
      <c r="I385" s="216">
        <v>16026.712457533475</v>
      </c>
      <c r="J385" s="216"/>
      <c r="K385" s="165"/>
    </row>
    <row r="386" spans="1:11">
      <c r="A386" s="10"/>
      <c r="B386" s="152" t="s">
        <v>48</v>
      </c>
      <c r="C386" s="203">
        <f t="shared" ref="C386:H386" si="65">+C280*SUM(C44:C48,C53:C55)/1000</f>
        <v>37001.876135355102</v>
      </c>
      <c r="D386" s="203">
        <f t="shared" si="65"/>
        <v>822.30790504484446</v>
      </c>
      <c r="E386" s="203">
        <f t="shared" si="65"/>
        <v>12.557473052771352</v>
      </c>
      <c r="F386" s="216">
        <f t="shared" si="65"/>
        <v>1965.4125279053299</v>
      </c>
      <c r="G386" s="216">
        <f t="shared" si="65"/>
        <v>271.80004960974605</v>
      </c>
      <c r="H386" s="216">
        <f t="shared" si="65"/>
        <v>221.78155315020527</v>
      </c>
      <c r="I386" s="216">
        <v>27297.169035797786</v>
      </c>
      <c r="J386" s="216"/>
      <c r="K386" s="165"/>
    </row>
    <row r="387" spans="1:11">
      <c r="A387" s="10"/>
      <c r="B387" s="152" t="s">
        <v>12</v>
      </c>
      <c r="C387" s="195">
        <f t="shared" ref="C387:I387" si="66">+C386+C385</f>
        <v>62086.581130529274</v>
      </c>
      <c r="D387" s="195">
        <f t="shared" si="66"/>
        <v>1244.6952913512082</v>
      </c>
      <c r="E387" s="195">
        <f t="shared" si="66"/>
        <v>19.182788698373987</v>
      </c>
      <c r="F387" s="163">
        <f t="shared" si="66"/>
        <v>2844.6896555785643</v>
      </c>
      <c r="G387" s="163">
        <f t="shared" si="66"/>
        <v>372.91059956994491</v>
      </c>
      <c r="H387" s="165">
        <f t="shared" si="66"/>
        <v>313.2561753349043</v>
      </c>
      <c r="I387" s="165">
        <f t="shared" si="66"/>
        <v>43323.881493331261</v>
      </c>
      <c r="J387" s="165"/>
      <c r="K387" s="165"/>
    </row>
    <row r="388" spans="1:11">
      <c r="A388" s="10"/>
      <c r="B388" s="152"/>
      <c r="C388" s="112"/>
      <c r="D388" s="112"/>
      <c r="E388" s="112"/>
    </row>
    <row r="389" spans="1:11">
      <c r="A389" s="10"/>
      <c r="B389" s="109" t="s">
        <v>51</v>
      </c>
      <c r="C389" s="112"/>
      <c r="D389" s="112"/>
      <c r="E389" s="112"/>
    </row>
    <row r="390" spans="1:11">
      <c r="A390" s="10"/>
      <c r="B390" s="152" t="s">
        <v>47</v>
      </c>
      <c r="C390" s="218">
        <f t="shared" ref="C390:I390" si="67">+C385/C387</f>
        <v>0.40402780340629024</v>
      </c>
      <c r="D390" s="218">
        <f t="shared" si="67"/>
        <v>0.33935003148267012</v>
      </c>
      <c r="E390" s="218">
        <f t="shared" si="67"/>
        <v>0.34537812774657856</v>
      </c>
      <c r="F390" s="151">
        <f t="shared" si="67"/>
        <v>0.30909421910011597</v>
      </c>
      <c r="G390" s="151">
        <f t="shared" si="67"/>
        <v>0.2711388468893175</v>
      </c>
      <c r="H390" s="151">
        <f t="shared" si="67"/>
        <v>0.29201219125817035</v>
      </c>
      <c r="I390" s="151">
        <f t="shared" si="67"/>
        <v>0.36992789900416534</v>
      </c>
      <c r="J390" s="151"/>
      <c r="K390" s="151"/>
    </row>
    <row r="391" spans="1:11">
      <c r="A391" s="10"/>
      <c r="B391" s="152" t="s">
        <v>48</v>
      </c>
      <c r="C391" s="218">
        <f t="shared" ref="C391:I391" si="68">+C386/C387</f>
        <v>0.5959721965937097</v>
      </c>
      <c r="D391" s="218">
        <f t="shared" si="68"/>
        <v>0.66064996851732993</v>
      </c>
      <c r="E391" s="218">
        <f t="shared" si="68"/>
        <v>0.65462187225342139</v>
      </c>
      <c r="F391" s="151">
        <f t="shared" si="68"/>
        <v>0.69090578089988397</v>
      </c>
      <c r="G391" s="151">
        <f t="shared" si="68"/>
        <v>0.72886115311068256</v>
      </c>
      <c r="H391" s="151">
        <f t="shared" si="68"/>
        <v>0.70798780874182965</v>
      </c>
      <c r="I391" s="151">
        <f t="shared" si="68"/>
        <v>0.63007210099583466</v>
      </c>
      <c r="J391" s="151"/>
      <c r="K391" s="151"/>
    </row>
    <row r="392" spans="1:11">
      <c r="A392" s="10"/>
      <c r="C392" s="112"/>
      <c r="D392" s="112"/>
      <c r="E392" s="112"/>
    </row>
    <row r="393" spans="1:11">
      <c r="A393" s="10"/>
      <c r="B393" s="109" t="s">
        <v>49</v>
      </c>
      <c r="C393" s="112"/>
      <c r="D393" s="112"/>
      <c r="E393" s="112"/>
    </row>
    <row r="394" spans="1:11">
      <c r="A394" s="10"/>
      <c r="B394" s="152" t="s">
        <v>47</v>
      </c>
      <c r="C394" s="219">
        <f>+SUM(C385:I385)</f>
        <v>42612.292454477749</v>
      </c>
      <c r="D394" s="112"/>
      <c r="E394" s="112"/>
    </row>
    <row r="395" spans="1:11">
      <c r="A395" s="10"/>
      <c r="B395" s="152" t="s">
        <v>48</v>
      </c>
      <c r="C395" s="219">
        <f>+SUM(C386:I386)</f>
        <v>67592.90467991578</v>
      </c>
      <c r="D395" s="112"/>
      <c r="E395" s="112"/>
    </row>
    <row r="396" spans="1:11">
      <c r="A396" s="10"/>
      <c r="B396" s="152" t="s">
        <v>12</v>
      </c>
      <c r="C396" s="195">
        <f>+C395+C394</f>
        <v>110205.19713439353</v>
      </c>
      <c r="D396" s="195"/>
      <c r="E396" s="112"/>
    </row>
    <row r="397" spans="1:11">
      <c r="A397" s="10"/>
      <c r="C397" s="112"/>
      <c r="D397" s="112"/>
      <c r="E397" s="112"/>
      <c r="F397" s="112"/>
      <c r="G397" s="112"/>
      <c r="H397" s="112"/>
    </row>
    <row r="398" spans="1:11">
      <c r="A398" s="10"/>
      <c r="B398" s="109" t="s">
        <v>50</v>
      </c>
      <c r="C398" s="112"/>
      <c r="D398" s="112" t="s">
        <v>337</v>
      </c>
      <c r="E398" s="112"/>
      <c r="F398" s="112"/>
      <c r="G398" s="112"/>
      <c r="H398" s="112"/>
      <c r="I398" s="107" t="s">
        <v>161</v>
      </c>
      <c r="J398" s="107"/>
    </row>
    <row r="399" spans="1:11">
      <c r="A399" s="10"/>
      <c r="B399" s="152" t="s">
        <v>47</v>
      </c>
      <c r="C399" s="218">
        <f>+C394/C396</f>
        <v>0.38666318433705732</v>
      </c>
      <c r="D399" s="112"/>
      <c r="E399" s="197">
        <f>+C394/SUMPRODUCT(M48:S48,C81:I81)*1000</f>
        <v>72.878957924775051</v>
      </c>
      <c r="F399" s="112" t="s">
        <v>338</v>
      </c>
      <c r="G399" s="112"/>
      <c r="H399" s="112"/>
      <c r="I399" s="152" t="s">
        <v>47</v>
      </c>
      <c r="J399" s="17">
        <f>ROUND(E399/$D$318,4)</f>
        <v>0.98399999999999999</v>
      </c>
      <c r="K399" s="14"/>
    </row>
    <row r="400" spans="1:11">
      <c r="A400" s="10"/>
      <c r="B400" s="152" t="s">
        <v>48</v>
      </c>
      <c r="C400" s="218">
        <f>+C395/C396</f>
        <v>0.61333681566294262</v>
      </c>
      <c r="D400" s="112"/>
      <c r="E400" s="197">
        <f>+C395/SUMPRODUCT(M44:S44,C81:I81)*1000</f>
        <v>74.826243514579332</v>
      </c>
      <c r="F400" s="112" t="s">
        <v>338</v>
      </c>
      <c r="G400" s="112"/>
      <c r="H400" s="112"/>
      <c r="I400" s="152" t="s">
        <v>48</v>
      </c>
      <c r="J400" s="17">
        <f>ROUND(E400/$D$318,4)</f>
        <v>1.0103</v>
      </c>
      <c r="K400" s="14"/>
    </row>
    <row r="401" spans="1:11">
      <c r="A401" s="10"/>
      <c r="C401" s="112"/>
      <c r="D401" s="112"/>
      <c r="E401" s="112"/>
    </row>
    <row r="402" spans="1:11">
      <c r="C402" s="163"/>
      <c r="D402" s="163"/>
      <c r="E402" s="163"/>
      <c r="F402" s="163"/>
      <c r="G402" s="163"/>
      <c r="H402" s="163"/>
      <c r="I402" s="163"/>
      <c r="J402" s="163"/>
    </row>
    <row r="403" spans="1:11">
      <c r="A403" s="19" t="s">
        <v>192</v>
      </c>
      <c r="B403" s="1" t="s">
        <v>143</v>
      </c>
    </row>
    <row r="404" spans="1:11">
      <c r="A404" s="19"/>
    </row>
    <row r="405" spans="1:11">
      <c r="A405" s="19"/>
      <c r="E405" s="140"/>
      <c r="F405" s="1" t="s">
        <v>230</v>
      </c>
      <c r="I405" s="20" t="s">
        <v>197</v>
      </c>
    </row>
    <row r="406" spans="1:11">
      <c r="B406" s="20" t="s">
        <v>145</v>
      </c>
      <c r="E406" s="140"/>
      <c r="F406" s="1" t="s">
        <v>231</v>
      </c>
      <c r="I406" s="20" t="s">
        <v>233</v>
      </c>
    </row>
    <row r="407" spans="1:11">
      <c r="A407" s="10"/>
      <c r="B407" s="4" t="s">
        <v>32</v>
      </c>
      <c r="C407" s="128"/>
      <c r="D407" s="32" t="s">
        <v>235</v>
      </c>
      <c r="E407" s="221"/>
      <c r="F407" s="44" t="s">
        <v>32</v>
      </c>
      <c r="G407" s="141"/>
      <c r="I407" s="40" t="s">
        <v>232</v>
      </c>
      <c r="J407" s="141"/>
      <c r="K407" s="141"/>
    </row>
    <row r="408" spans="1:11">
      <c r="A408" s="10"/>
      <c r="C408" s="73" t="s">
        <v>13</v>
      </c>
      <c r="D408" s="73" t="s">
        <v>236</v>
      </c>
      <c r="E408" s="75" t="s">
        <v>14</v>
      </c>
      <c r="F408" s="73" t="s">
        <v>13</v>
      </c>
      <c r="G408" s="73" t="s">
        <v>14</v>
      </c>
      <c r="I408" s="73" t="s">
        <v>13</v>
      </c>
      <c r="J408" s="73" t="s">
        <v>14</v>
      </c>
    </row>
    <row r="409" spans="1:11">
      <c r="A409" s="10"/>
      <c r="B409" s="116" t="s">
        <v>0</v>
      </c>
      <c r="C409" s="144">
        <v>58.55</v>
      </c>
      <c r="D409" s="95">
        <v>0.7901498595057439</v>
      </c>
      <c r="E409" s="222">
        <f>ROUND(C409*D409,2)</f>
        <v>46.26</v>
      </c>
      <c r="F409" s="223">
        <v>1.079142920862503</v>
      </c>
      <c r="G409" s="218">
        <v>1.0592879506442181</v>
      </c>
      <c r="I409" s="144">
        <f>ROUND(C409*F409,2)</f>
        <v>63.18</v>
      </c>
      <c r="J409" s="144">
        <f>ROUND(E409*G409,2)</f>
        <v>49</v>
      </c>
    </row>
    <row r="410" spans="1:11">
      <c r="A410" s="10"/>
      <c r="B410" s="116" t="s">
        <v>1</v>
      </c>
      <c r="C410" s="144">
        <v>58.55</v>
      </c>
      <c r="D410" s="95">
        <f>D409</f>
        <v>0.7901498595057439</v>
      </c>
      <c r="E410" s="222">
        <f>ROUND(C410*D410,2)</f>
        <v>46.26</v>
      </c>
      <c r="F410" s="96">
        <f>F409</f>
        <v>1.079142920862503</v>
      </c>
      <c r="G410" s="96">
        <f>G409</f>
        <v>1.0592879506442181</v>
      </c>
      <c r="I410" s="144">
        <f t="shared" ref="I410:I420" si="69">ROUND(C410*F410,2)</f>
        <v>63.18</v>
      </c>
      <c r="J410" s="144">
        <f t="shared" ref="J410:J420" si="70">ROUND(E410*G410,2)</f>
        <v>49</v>
      </c>
    </row>
    <row r="411" spans="1:11">
      <c r="A411" s="10"/>
      <c r="B411" s="116" t="s">
        <v>2</v>
      </c>
      <c r="C411" s="144">
        <v>51.75</v>
      </c>
      <c r="D411" s="95">
        <f>D409</f>
        <v>0.7901498595057439</v>
      </c>
      <c r="E411" s="222">
        <f t="shared" ref="E411:E420" si="71">ROUND(C411*D411,2)</f>
        <v>40.89</v>
      </c>
      <c r="F411" s="96">
        <f>F409</f>
        <v>1.079142920862503</v>
      </c>
      <c r="G411" s="96">
        <f>G409</f>
        <v>1.0592879506442181</v>
      </c>
      <c r="I411" s="144">
        <f t="shared" si="69"/>
        <v>55.85</v>
      </c>
      <c r="J411" s="144">
        <f t="shared" si="70"/>
        <v>43.31</v>
      </c>
    </row>
    <row r="412" spans="1:11">
      <c r="A412" s="10"/>
      <c r="B412" s="116" t="s">
        <v>3</v>
      </c>
      <c r="C412" s="144">
        <v>51.75</v>
      </c>
      <c r="D412" s="95">
        <f>D409</f>
        <v>0.7901498595057439</v>
      </c>
      <c r="E412" s="222">
        <f t="shared" si="71"/>
        <v>40.89</v>
      </c>
      <c r="F412" s="96">
        <f>F409</f>
        <v>1.079142920862503</v>
      </c>
      <c r="G412" s="96">
        <f>G409</f>
        <v>1.0592879506442181</v>
      </c>
      <c r="I412" s="144">
        <f t="shared" si="69"/>
        <v>55.85</v>
      </c>
      <c r="J412" s="144">
        <f t="shared" si="70"/>
        <v>43.31</v>
      </c>
    </row>
    <row r="413" spans="1:11">
      <c r="A413" s="10"/>
      <c r="B413" s="116" t="s">
        <v>4</v>
      </c>
      <c r="C413" s="144">
        <v>50.85</v>
      </c>
      <c r="D413" s="95">
        <f>D409</f>
        <v>0.7901498595057439</v>
      </c>
      <c r="E413" s="222">
        <f t="shared" si="71"/>
        <v>40.18</v>
      </c>
      <c r="F413" s="96">
        <f>F409</f>
        <v>1.079142920862503</v>
      </c>
      <c r="G413" s="96">
        <f>G409</f>
        <v>1.0592879506442181</v>
      </c>
      <c r="I413" s="144">
        <f t="shared" si="69"/>
        <v>54.87</v>
      </c>
      <c r="J413" s="144">
        <f t="shared" si="70"/>
        <v>42.56</v>
      </c>
    </row>
    <row r="414" spans="1:11">
      <c r="A414" s="10"/>
      <c r="B414" s="116" t="s">
        <v>5</v>
      </c>
      <c r="C414" s="144">
        <v>54.62</v>
      </c>
      <c r="D414" s="95">
        <v>0.65006447376445886</v>
      </c>
      <c r="E414" s="222">
        <f t="shared" si="71"/>
        <v>35.51</v>
      </c>
      <c r="F414" s="218">
        <v>1.0860161167963285</v>
      </c>
      <c r="G414" s="218">
        <v>1.0821092500784506</v>
      </c>
      <c r="I414" s="144">
        <f t="shared" si="69"/>
        <v>59.32</v>
      </c>
      <c r="J414" s="144">
        <f t="shared" si="70"/>
        <v>38.43</v>
      </c>
    </row>
    <row r="415" spans="1:11">
      <c r="A415" s="10"/>
      <c r="B415" s="116" t="s">
        <v>6</v>
      </c>
      <c r="C415" s="144">
        <v>63.28</v>
      </c>
      <c r="D415" s="95">
        <f>D414</f>
        <v>0.65006447376445886</v>
      </c>
      <c r="E415" s="222">
        <f t="shared" si="71"/>
        <v>41.14</v>
      </c>
      <c r="F415" s="96">
        <f>F414</f>
        <v>1.0860161167963285</v>
      </c>
      <c r="G415" s="96">
        <f>G414</f>
        <v>1.0821092500784506</v>
      </c>
      <c r="I415" s="144">
        <f t="shared" si="69"/>
        <v>68.72</v>
      </c>
      <c r="J415" s="144">
        <f t="shared" si="70"/>
        <v>44.52</v>
      </c>
    </row>
    <row r="416" spans="1:11">
      <c r="A416" s="10"/>
      <c r="B416" s="116" t="s">
        <v>7</v>
      </c>
      <c r="C416" s="144">
        <v>63.28</v>
      </c>
      <c r="D416" s="95">
        <f>D414</f>
        <v>0.65006447376445886</v>
      </c>
      <c r="E416" s="222">
        <f t="shared" si="71"/>
        <v>41.14</v>
      </c>
      <c r="F416" s="96">
        <f>F414</f>
        <v>1.0860161167963285</v>
      </c>
      <c r="G416" s="96">
        <f>G414</f>
        <v>1.0821092500784506</v>
      </c>
      <c r="I416" s="144">
        <f t="shared" si="69"/>
        <v>68.72</v>
      </c>
      <c r="J416" s="144">
        <f t="shared" si="70"/>
        <v>44.52</v>
      </c>
    </row>
    <row r="417" spans="1:19">
      <c r="A417" s="10"/>
      <c r="B417" s="116" t="s">
        <v>8</v>
      </c>
      <c r="C417" s="144">
        <v>52.12</v>
      </c>
      <c r="D417" s="95">
        <f>D414</f>
        <v>0.65006447376445886</v>
      </c>
      <c r="E417" s="222">
        <f t="shared" si="71"/>
        <v>33.880000000000003</v>
      </c>
      <c r="F417" s="96">
        <f>F414</f>
        <v>1.0860161167963285</v>
      </c>
      <c r="G417" s="96">
        <f>G414</f>
        <v>1.0821092500784506</v>
      </c>
      <c r="I417" s="144">
        <f t="shared" si="69"/>
        <v>56.6</v>
      </c>
      <c r="J417" s="144">
        <f t="shared" si="70"/>
        <v>36.659999999999997</v>
      </c>
    </row>
    <row r="418" spans="1:19">
      <c r="A418" s="10"/>
      <c r="B418" s="116" t="s">
        <v>9</v>
      </c>
      <c r="C418" s="144">
        <v>49.75</v>
      </c>
      <c r="D418" s="95">
        <f>D409</f>
        <v>0.7901498595057439</v>
      </c>
      <c r="E418" s="222">
        <f t="shared" si="71"/>
        <v>39.31</v>
      </c>
      <c r="F418" s="96">
        <f>F409</f>
        <v>1.079142920862503</v>
      </c>
      <c r="G418" s="96">
        <f>G409</f>
        <v>1.0592879506442181</v>
      </c>
      <c r="I418" s="144">
        <f t="shared" si="69"/>
        <v>53.69</v>
      </c>
      <c r="J418" s="144">
        <f t="shared" si="70"/>
        <v>41.64</v>
      </c>
    </row>
    <row r="419" spans="1:19">
      <c r="A419" s="10"/>
      <c r="B419" s="116" t="s">
        <v>10</v>
      </c>
      <c r="C419" s="144">
        <v>49.75</v>
      </c>
      <c r="D419" s="95">
        <f>D409</f>
        <v>0.7901498595057439</v>
      </c>
      <c r="E419" s="222">
        <f t="shared" si="71"/>
        <v>39.31</v>
      </c>
      <c r="F419" s="96">
        <f>F409</f>
        <v>1.079142920862503</v>
      </c>
      <c r="G419" s="96">
        <f>G409</f>
        <v>1.0592879506442181</v>
      </c>
      <c r="I419" s="144">
        <f t="shared" si="69"/>
        <v>53.69</v>
      </c>
      <c r="J419" s="144">
        <f t="shared" si="70"/>
        <v>41.64</v>
      </c>
    </row>
    <row r="420" spans="1:19">
      <c r="A420" s="10"/>
      <c r="B420" s="116" t="s">
        <v>11</v>
      </c>
      <c r="C420" s="144">
        <v>49.75</v>
      </c>
      <c r="D420" s="95">
        <f>D409</f>
        <v>0.7901498595057439</v>
      </c>
      <c r="E420" s="222">
        <f t="shared" si="71"/>
        <v>39.31</v>
      </c>
      <c r="F420" s="96">
        <f>F409</f>
        <v>1.079142920862503</v>
      </c>
      <c r="G420" s="96">
        <f>G409</f>
        <v>1.0592879506442181</v>
      </c>
      <c r="I420" s="144">
        <f t="shared" si="69"/>
        <v>53.69</v>
      </c>
      <c r="J420" s="144">
        <f t="shared" si="70"/>
        <v>41.64</v>
      </c>
    </row>
    <row r="421" spans="1:19">
      <c r="A421" s="10"/>
      <c r="B421" s="116"/>
      <c r="C421" s="150"/>
      <c r="D421" s="150"/>
      <c r="E421" s="140"/>
      <c r="K421" s="151"/>
    </row>
    <row r="422" spans="1:19">
      <c r="A422" s="10"/>
      <c r="B422" s="116"/>
      <c r="C422" s="150"/>
      <c r="D422" s="150"/>
      <c r="K422" s="151"/>
    </row>
    <row r="423" spans="1:19">
      <c r="A423" s="10"/>
      <c r="B423" s="116"/>
      <c r="C423" s="150"/>
      <c r="D423" s="150"/>
      <c r="K423" s="151"/>
    </row>
    <row r="424" spans="1:19">
      <c r="B424" s="1" t="s">
        <v>144</v>
      </c>
      <c r="F424" s="40" t="s">
        <v>201</v>
      </c>
    </row>
    <row r="425" spans="1:19">
      <c r="B425" s="4" t="s">
        <v>32</v>
      </c>
      <c r="C425" s="141"/>
      <c r="D425" s="141"/>
      <c r="F425" s="20" t="str">
        <f>"system ("&amp;TEXT(C447*100,"0.0")&amp;"% PJM - "&amp;TEXT(D447*100,"0.0")&amp;"% NYISO)"</f>
        <v>system (90.4% PJM - 9.6% NYISO)</v>
      </c>
      <c r="G425" s="141"/>
      <c r="H425" s="141"/>
    </row>
    <row r="426" spans="1:19">
      <c r="B426" s="4"/>
      <c r="C426" s="141"/>
      <c r="D426" s="141"/>
      <c r="F426" s="4" t="s">
        <v>32</v>
      </c>
      <c r="G426" s="141"/>
      <c r="H426" s="141"/>
    </row>
    <row r="427" spans="1:19">
      <c r="C427" s="73" t="s">
        <v>13</v>
      </c>
      <c r="D427" s="73" t="s">
        <v>14</v>
      </c>
      <c r="G427" s="73" t="s">
        <v>13</v>
      </c>
      <c r="H427" s="73" t="s">
        <v>14</v>
      </c>
    </row>
    <row r="428" spans="1:19">
      <c r="B428" s="116" t="s">
        <v>0</v>
      </c>
      <c r="C428" s="144">
        <v>75.5</v>
      </c>
      <c r="D428" s="144">
        <v>60.25</v>
      </c>
      <c r="F428" s="116" t="s">
        <v>0</v>
      </c>
      <c r="G428" s="144">
        <f>ROUND($J$428*I409+$J$429*C428,2)</f>
        <v>64.36</v>
      </c>
      <c r="H428" s="144">
        <f>ROUND($J$428*J409+$J$429*D428,2)</f>
        <v>50.08</v>
      </c>
      <c r="J428" s="224">
        <f>C447</f>
        <v>0.90436355414876779</v>
      </c>
      <c r="K428" s="109" t="s">
        <v>157</v>
      </c>
      <c r="Q428" s="150">
        <f>AVERAGE(G433:G436)</f>
        <v>63.6175</v>
      </c>
      <c r="R428" s="150">
        <f>AVERAGE(H433:H436)</f>
        <v>41.43</v>
      </c>
    </row>
    <row r="429" spans="1:19">
      <c r="B429" s="116" t="s">
        <v>1</v>
      </c>
      <c r="C429" s="144">
        <v>75.5</v>
      </c>
      <c r="D429" s="144">
        <v>60.25</v>
      </c>
      <c r="F429" s="116" t="s">
        <v>1</v>
      </c>
      <c r="G429" s="144">
        <f t="shared" ref="G429:H429" si="72">ROUND($J$428*I410+$J$429*C429,2)</f>
        <v>64.36</v>
      </c>
      <c r="H429" s="144">
        <f t="shared" si="72"/>
        <v>50.08</v>
      </c>
      <c r="J429" s="224">
        <f>D447</f>
        <v>9.5636445851232196E-2</v>
      </c>
      <c r="K429" s="109" t="s">
        <v>158</v>
      </c>
      <c r="Q429" s="150">
        <f>AVERAGE(G428:G432,G437:G439)</f>
        <v>57.221250000000005</v>
      </c>
      <c r="R429" s="150">
        <f>AVERAGE(H428:H432,H437:H439)</f>
        <v>44.379999999999995</v>
      </c>
    </row>
    <row r="430" spans="1:19">
      <c r="B430" s="116" t="s">
        <v>2</v>
      </c>
      <c r="C430" s="144">
        <v>57.5</v>
      </c>
      <c r="D430" s="144">
        <v>44.5</v>
      </c>
      <c r="F430" s="116" t="s">
        <v>2</v>
      </c>
      <c r="G430" s="144">
        <f t="shared" ref="G430:H430" si="73">ROUND($J$428*I411+$J$429*C430,2)</f>
        <v>56.01</v>
      </c>
      <c r="H430" s="144">
        <f t="shared" si="73"/>
        <v>43.42</v>
      </c>
      <c r="Q430" s="109">
        <f>Q428/Q429</f>
        <v>1.1117810254057714</v>
      </c>
      <c r="R430" s="109">
        <f>R428/R429</f>
        <v>0.93352861649391627</v>
      </c>
    </row>
    <row r="431" spans="1:19">
      <c r="B431" s="116" t="s">
        <v>3</v>
      </c>
      <c r="C431" s="144">
        <v>57.5</v>
      </c>
      <c r="D431" s="144">
        <v>44.5</v>
      </c>
      <c r="F431" s="116" t="s">
        <v>3</v>
      </c>
      <c r="G431" s="144">
        <f t="shared" ref="G431:H431" si="74">ROUND($J$428*I412+$J$429*C431,2)</f>
        <v>56.01</v>
      </c>
      <c r="H431" s="144">
        <f t="shared" si="74"/>
        <v>43.42</v>
      </c>
    </row>
    <row r="432" spans="1:19">
      <c r="B432" s="116" t="s">
        <v>4</v>
      </c>
      <c r="C432" s="144">
        <v>55</v>
      </c>
      <c r="D432" s="144">
        <v>42.75</v>
      </c>
      <c r="F432" s="116" t="s">
        <v>4</v>
      </c>
      <c r="G432" s="144">
        <f t="shared" ref="G432:H432" si="75">ROUND($J$428*I413+$J$429*C432,2)</f>
        <v>54.88</v>
      </c>
      <c r="H432" s="144">
        <f t="shared" si="75"/>
        <v>42.58</v>
      </c>
      <c r="Q432" s="150">
        <f>AVERAGE(G428:G439)</f>
        <v>59.353333333333325</v>
      </c>
      <c r="R432" s="150">
        <f>AVERAGE(H428:H439)</f>
        <v>43.396666666666668</v>
      </c>
      <c r="S432" s="109">
        <f>Q432/R432</f>
        <v>1.3676933712266686</v>
      </c>
    </row>
    <row r="433" spans="1:18">
      <c r="B433" s="116" t="s">
        <v>5</v>
      </c>
      <c r="C433" s="144">
        <v>62.25</v>
      </c>
      <c r="D433" s="144">
        <v>44.25</v>
      </c>
      <c r="F433" s="116" t="s">
        <v>5</v>
      </c>
      <c r="G433" s="144">
        <f t="shared" ref="G433:H433" si="76">ROUND($J$428*I414+$J$429*C433,2)</f>
        <v>59.6</v>
      </c>
      <c r="H433" s="144">
        <f t="shared" si="76"/>
        <v>38.99</v>
      </c>
    </row>
    <row r="434" spans="1:18">
      <c r="B434" s="116" t="s">
        <v>6</v>
      </c>
      <c r="C434" s="144">
        <v>72.5</v>
      </c>
      <c r="D434" s="144">
        <v>46.75</v>
      </c>
      <c r="F434" s="116" t="s">
        <v>6</v>
      </c>
      <c r="G434" s="144">
        <f t="shared" ref="G434:H434" si="77">ROUND($J$428*I415+$J$429*C434,2)</f>
        <v>69.08</v>
      </c>
      <c r="H434" s="144">
        <f t="shared" si="77"/>
        <v>44.73</v>
      </c>
    </row>
    <row r="435" spans="1:18">
      <c r="B435" s="116" t="s">
        <v>7</v>
      </c>
      <c r="C435" s="144">
        <v>72.5</v>
      </c>
      <c r="D435" s="144">
        <v>46.75</v>
      </c>
      <c r="F435" s="116" t="s">
        <v>7</v>
      </c>
      <c r="G435" s="144">
        <f t="shared" ref="G435:H435" si="78">ROUND($J$428*I416+$J$429*C435,2)</f>
        <v>69.08</v>
      </c>
      <c r="H435" s="144">
        <f t="shared" si="78"/>
        <v>44.73</v>
      </c>
    </row>
    <row r="436" spans="1:18">
      <c r="B436" s="116" t="s">
        <v>8</v>
      </c>
      <c r="C436" s="144">
        <v>57.75</v>
      </c>
      <c r="D436" s="144">
        <v>43</v>
      </c>
      <c r="F436" s="116" t="s">
        <v>8</v>
      </c>
      <c r="G436" s="144">
        <f t="shared" ref="G436:H436" si="79">ROUND($J$428*I417+$J$429*C436,2)</f>
        <v>56.71</v>
      </c>
      <c r="H436" s="144">
        <f t="shared" si="79"/>
        <v>37.270000000000003</v>
      </c>
    </row>
    <row r="437" spans="1:18">
      <c r="B437" s="116" t="s">
        <v>9</v>
      </c>
      <c r="C437" s="144">
        <v>57.5</v>
      </c>
      <c r="D437" s="144">
        <v>43.5</v>
      </c>
      <c r="F437" s="116" t="s">
        <v>9</v>
      </c>
      <c r="G437" s="144">
        <f t="shared" ref="G437:H437" si="80">ROUND($J$428*I418+$J$429*C437,2)</f>
        <v>54.05</v>
      </c>
      <c r="H437" s="144">
        <f t="shared" si="80"/>
        <v>41.82</v>
      </c>
    </row>
    <row r="438" spans="1:18">
      <c r="B438" s="116" t="s">
        <v>10</v>
      </c>
      <c r="C438" s="144">
        <v>57.5</v>
      </c>
      <c r="D438" s="144">
        <v>43.5</v>
      </c>
      <c r="F438" s="116" t="s">
        <v>10</v>
      </c>
      <c r="G438" s="144">
        <f t="shared" ref="G438:H438" si="81">ROUND($J$428*I419+$J$429*C438,2)</f>
        <v>54.05</v>
      </c>
      <c r="H438" s="144">
        <f t="shared" si="81"/>
        <v>41.82</v>
      </c>
    </row>
    <row r="439" spans="1:18">
      <c r="B439" s="116" t="s">
        <v>11</v>
      </c>
      <c r="C439" s="144">
        <v>57.5</v>
      </c>
      <c r="D439" s="144">
        <v>43.5</v>
      </c>
      <c r="F439" s="116" t="s">
        <v>11</v>
      </c>
      <c r="G439" s="144">
        <f t="shared" ref="G439:H439" si="82">ROUND($J$428*I420+$J$429*C439,2)</f>
        <v>54.05</v>
      </c>
      <c r="H439" s="144">
        <f t="shared" si="82"/>
        <v>41.82</v>
      </c>
    </row>
    <row r="443" spans="1:18">
      <c r="A443" s="19" t="s">
        <v>193</v>
      </c>
      <c r="B443" s="20" t="s">
        <v>156</v>
      </c>
    </row>
    <row r="446" spans="1:18">
      <c r="C446" s="128" t="s">
        <v>157</v>
      </c>
      <c r="D446" s="128" t="s">
        <v>158</v>
      </c>
      <c r="E446" s="128" t="s">
        <v>159</v>
      </c>
    </row>
    <row r="447" spans="1:18">
      <c r="C447" s="23">
        <f>4/(4+M466)</f>
        <v>0.90436355414876779</v>
      </c>
      <c r="D447" s="23">
        <f>M466/(4+M466)</f>
        <v>9.5636445851232196E-2</v>
      </c>
      <c r="E447" s="21" t="s">
        <v>160</v>
      </c>
    </row>
    <row r="448" spans="1:18">
      <c r="P448" s="183" t="s">
        <v>162</v>
      </c>
      <c r="Q448" s="109" t="s">
        <v>163</v>
      </c>
      <c r="R448" s="109" t="s">
        <v>164</v>
      </c>
    </row>
    <row r="449" spans="1:19">
      <c r="B449" s="128" t="s">
        <v>47</v>
      </c>
      <c r="C449" s="182">
        <v>170.28030705553729</v>
      </c>
      <c r="D449" s="225">
        <v>15.978260869565217</v>
      </c>
      <c r="E449" s="214">
        <f>ROUND(C449*C$447+D449*D$447,2)</f>
        <v>155.52000000000001</v>
      </c>
      <c r="G449" s="214"/>
      <c r="O449" s="109" t="s">
        <v>150</v>
      </c>
      <c r="P449" s="109">
        <v>2.25</v>
      </c>
      <c r="Q449" s="109">
        <f>P449*1000</f>
        <v>2250</v>
      </c>
      <c r="R449" s="109">
        <v>31</v>
      </c>
    </row>
    <row r="450" spans="1:19">
      <c r="B450" s="128"/>
      <c r="C450" s="182"/>
      <c r="D450" s="182"/>
      <c r="E450" s="214"/>
      <c r="O450" s="109" t="s">
        <v>151</v>
      </c>
      <c r="P450" s="109">
        <v>1.25</v>
      </c>
      <c r="Q450" s="109">
        <f>P450*1000</f>
        <v>1250</v>
      </c>
      <c r="R450" s="109">
        <v>30</v>
      </c>
    </row>
    <row r="451" spans="1:19">
      <c r="B451" s="128" t="s">
        <v>48</v>
      </c>
      <c r="C451" s="182">
        <f>C449</f>
        <v>170.28030705553729</v>
      </c>
      <c r="D451" s="225">
        <v>15.580110497237568</v>
      </c>
      <c r="E451" s="214">
        <f>ROUND(C451*C$447+D451*D$447,2)</f>
        <v>155.49</v>
      </c>
      <c r="H451" s="183"/>
      <c r="O451" s="109" t="s">
        <v>152</v>
      </c>
      <c r="P451" s="109">
        <v>1.25</v>
      </c>
      <c r="Q451" s="109">
        <f t="shared" ref="Q451:Q456" si="83">P451*1000</f>
        <v>1250</v>
      </c>
      <c r="R451" s="109">
        <v>31</v>
      </c>
    </row>
    <row r="452" spans="1:19">
      <c r="O452" s="109" t="s">
        <v>146</v>
      </c>
      <c r="P452" s="109">
        <v>1.25</v>
      </c>
      <c r="Q452" s="109">
        <f t="shared" si="83"/>
        <v>1250</v>
      </c>
      <c r="R452" s="109">
        <v>30</v>
      </c>
    </row>
    <row r="453" spans="1:19">
      <c r="O453" s="109" t="s">
        <v>147</v>
      </c>
      <c r="P453" s="109">
        <v>1.25</v>
      </c>
      <c r="Q453" s="109">
        <f t="shared" si="83"/>
        <v>1250</v>
      </c>
      <c r="R453" s="109">
        <v>28</v>
      </c>
    </row>
    <row r="454" spans="1:19">
      <c r="O454" s="109" t="s">
        <v>148</v>
      </c>
      <c r="P454" s="109">
        <v>1.25</v>
      </c>
      <c r="Q454" s="109">
        <f t="shared" si="83"/>
        <v>1250</v>
      </c>
      <c r="R454" s="109">
        <v>31</v>
      </c>
    </row>
    <row r="455" spans="1:19">
      <c r="A455" s="19" t="s">
        <v>194</v>
      </c>
      <c r="B455" s="20" t="s">
        <v>23</v>
      </c>
      <c r="O455" s="109" t="s">
        <v>149</v>
      </c>
      <c r="P455" s="109">
        <v>1.25</v>
      </c>
      <c r="Q455" s="109">
        <f t="shared" si="83"/>
        <v>1250</v>
      </c>
      <c r="R455" s="109">
        <v>30</v>
      </c>
    </row>
    <row r="456" spans="1:19">
      <c r="O456" s="109" t="s">
        <v>4</v>
      </c>
      <c r="P456" s="109">
        <v>2</v>
      </c>
      <c r="Q456" s="109">
        <f t="shared" si="83"/>
        <v>2000</v>
      </c>
      <c r="R456" s="109">
        <v>31</v>
      </c>
    </row>
    <row r="457" spans="1:19">
      <c r="P457" s="109">
        <f>SUM(P449:P456)</f>
        <v>11.75</v>
      </c>
      <c r="Q457" s="109">
        <f>SUM(Q449:Q456)</f>
        <v>11750</v>
      </c>
      <c r="R457" s="109">
        <f>SUM(R449:R456)</f>
        <v>242</v>
      </c>
      <c r="S457" s="109">
        <f>Q457/R457</f>
        <v>48.553719008264466</v>
      </c>
    </row>
    <row r="458" spans="1:19">
      <c r="C458" s="128" t="s">
        <v>157</v>
      </c>
      <c r="D458" s="128" t="s">
        <v>158</v>
      </c>
      <c r="E458" s="128" t="s">
        <v>159</v>
      </c>
    </row>
    <row r="459" spans="1:19">
      <c r="C459" s="23">
        <f>C447</f>
        <v>0.90436355414876779</v>
      </c>
      <c r="D459" s="23">
        <f>D447</f>
        <v>9.5636445851232196E-2</v>
      </c>
      <c r="E459" s="21" t="s">
        <v>160</v>
      </c>
    </row>
    <row r="461" spans="1:19">
      <c r="B461" s="128"/>
      <c r="C461" s="226">
        <v>3</v>
      </c>
      <c r="D461" s="226">
        <v>2.0699999999999998</v>
      </c>
      <c r="E461" s="227">
        <f>ROUND(C461*C$459+D461*D$459,2)</f>
        <v>2.91</v>
      </c>
    </row>
    <row r="462" spans="1:19">
      <c r="B462" s="128"/>
      <c r="C462" s="226"/>
      <c r="D462" s="226"/>
      <c r="E462" s="227"/>
    </row>
    <row r="463" spans="1:19" ht="13.5" thickBot="1">
      <c r="A463" s="1" t="s">
        <v>20</v>
      </c>
      <c r="E463" s="160"/>
    </row>
    <row r="464" spans="1:19">
      <c r="A464" s="10"/>
      <c r="B464" s="128" t="s">
        <v>27</v>
      </c>
      <c r="C464" s="214">
        <f>E449</f>
        <v>155.52000000000001</v>
      </c>
      <c r="D464" s="180" t="s">
        <v>245</v>
      </c>
      <c r="L464" s="91" t="s">
        <v>250</v>
      </c>
      <c r="M464" s="228">
        <v>42.1</v>
      </c>
      <c r="N464" s="229"/>
    </row>
    <row r="465" spans="1:14">
      <c r="A465" s="10"/>
      <c r="B465" s="128"/>
      <c r="C465" s="214">
        <f>+E451</f>
        <v>155.49</v>
      </c>
      <c r="D465" s="180" t="s">
        <v>246</v>
      </c>
      <c r="L465" s="92" t="s">
        <v>249</v>
      </c>
      <c r="M465" s="230">
        <f>398.2/4</f>
        <v>99.55</v>
      </c>
      <c r="N465" s="231"/>
    </row>
    <row r="466" spans="1:14">
      <c r="A466" s="10"/>
      <c r="B466" s="128" t="s">
        <v>28</v>
      </c>
      <c r="C466" s="163">
        <f>+C147</f>
        <v>32114</v>
      </c>
      <c r="D466" s="180" t="s">
        <v>22</v>
      </c>
      <c r="E466" s="165"/>
      <c r="L466" s="92" t="s">
        <v>251</v>
      </c>
      <c r="M466" s="136">
        <f>ROUND(M464/M465,3)</f>
        <v>0.42299999999999999</v>
      </c>
      <c r="N466" s="231"/>
    </row>
    <row r="467" spans="1:14">
      <c r="A467" s="10"/>
      <c r="B467" s="128" t="s">
        <v>110</v>
      </c>
      <c r="C467" s="232">
        <f>+H144</f>
        <v>4</v>
      </c>
      <c r="D467" s="109" t="s">
        <v>111</v>
      </c>
      <c r="E467" s="165"/>
      <c r="L467" s="233"/>
      <c r="M467" s="136"/>
      <c r="N467" s="231"/>
    </row>
    <row r="468" spans="1:14">
      <c r="A468" s="10"/>
      <c r="B468" s="128"/>
      <c r="C468" s="232">
        <f>+H145</f>
        <v>8</v>
      </c>
      <c r="D468" s="109" t="s">
        <v>112</v>
      </c>
      <c r="E468" s="165"/>
      <c r="L468" s="92" t="s">
        <v>252</v>
      </c>
      <c r="M468" s="159">
        <f>D223-D318</f>
        <v>9.4044145233566354</v>
      </c>
      <c r="N468" s="231" t="s">
        <v>255</v>
      </c>
    </row>
    <row r="469" spans="1:14">
      <c r="A469" s="10"/>
      <c r="B469" s="128" t="s">
        <v>29</v>
      </c>
      <c r="C469" s="210">
        <f>+D161</f>
        <v>2.91</v>
      </c>
      <c r="D469" s="183" t="s">
        <v>179</v>
      </c>
      <c r="L469" s="92" t="s">
        <v>253</v>
      </c>
      <c r="M469" s="234">
        <f>ROUND(M466/(4+M466)*M468,2)</f>
        <v>0.9</v>
      </c>
      <c r="N469" s="231" t="s">
        <v>255</v>
      </c>
    </row>
    <row r="470" spans="1:14" ht="13.5" thickBot="1">
      <c r="A470" s="10"/>
      <c r="B470" s="128" t="s">
        <v>130</v>
      </c>
      <c r="C470" s="183" t="s">
        <v>355</v>
      </c>
      <c r="L470" s="93" t="s">
        <v>254</v>
      </c>
      <c r="M470" s="235">
        <f>M468-M469</f>
        <v>8.5044145233566351</v>
      </c>
      <c r="N470" s="236" t="s">
        <v>255</v>
      </c>
    </row>
    <row r="471" spans="1:14">
      <c r="A471" s="10"/>
      <c r="B471" s="128"/>
      <c r="C471" s="183" t="s">
        <v>356</v>
      </c>
      <c r="L471" s="71"/>
      <c r="M471" s="237"/>
      <c r="N471" s="136"/>
    </row>
    <row r="472" spans="1:14">
      <c r="A472" s="10"/>
      <c r="B472" s="128" t="s">
        <v>26</v>
      </c>
      <c r="C472" s="183" t="str">
        <f>" Forecasted " &amp;M1-1 &amp;" energy use by class, PJM on/off % from " &amp;M1-2 &amp;" class load profiles,"</f>
        <v xml:space="preserve"> Forecasted 2011 energy use by class, PJM on/off % from 2010 class load profiles,</v>
      </c>
    </row>
    <row r="473" spans="1:14">
      <c r="A473" s="10"/>
      <c r="B473" s="128"/>
      <c r="C473" s="183" t="str">
        <f>"   RECO billing on/off % from " &amp;TEXT(DATE(M1-2,6,1),"m/yy") &amp;" to 5/" &amp;TEXT(DATE(M1-1,5,1),"yy") &amp;" actual data"</f>
        <v xml:space="preserve">   RECO billing on/off % from 6/10 to 5/11 actual data</v>
      </c>
    </row>
    <row r="474" spans="1:14">
      <c r="A474" s="10"/>
      <c r="B474" s="128" t="s">
        <v>40</v>
      </c>
      <c r="C474" s="185" t="str">
        <f>" Class totals for " &amp;M1-1</f>
        <v xml:space="preserve"> Class totals for 2011</v>
      </c>
      <c r="D474" s="112"/>
    </row>
    <row r="475" spans="1:14">
      <c r="A475" s="10"/>
      <c r="B475" s="128" t="s">
        <v>41</v>
      </c>
      <c r="C475" s="109" t="s">
        <v>349</v>
      </c>
    </row>
    <row r="476" spans="1:14">
      <c r="A476" s="10"/>
      <c r="B476" s="128" t="s">
        <v>61</v>
      </c>
      <c r="C476" s="109" t="s">
        <v>89</v>
      </c>
    </row>
    <row r="477" spans="1:14">
      <c r="C477" s="109" t="s">
        <v>92</v>
      </c>
    </row>
    <row r="478" spans="1:14">
      <c r="B478" s="178" t="s">
        <v>187</v>
      </c>
      <c r="C478" s="109" t="s">
        <v>90</v>
      </c>
    </row>
    <row r="479" spans="1:14">
      <c r="A479" s="10"/>
      <c r="C479" s="206"/>
      <c r="E479" s="206"/>
    </row>
    <row r="481" spans="1:10" hidden="1">
      <c r="A481" s="90" t="s">
        <v>350</v>
      </c>
      <c r="B481" s="238"/>
      <c r="C481" s="238"/>
      <c r="D481" s="238"/>
    </row>
    <row r="482" spans="1:10" hidden="1">
      <c r="A482" s="19" t="s">
        <v>195</v>
      </c>
      <c r="B482" s="20" t="s">
        <v>182</v>
      </c>
    </row>
    <row r="483" spans="1:10" hidden="1">
      <c r="D483" s="80"/>
    </row>
    <row r="484" spans="1:10" hidden="1">
      <c r="B484" s="108" t="s">
        <v>134</v>
      </c>
      <c r="D484" s="80">
        <f>D223</f>
        <v>83.465476742445503</v>
      </c>
      <c r="E484" s="183" t="s">
        <v>179</v>
      </c>
      <c r="F484" s="183" t="s">
        <v>333</v>
      </c>
    </row>
    <row r="485" spans="1:10" hidden="1">
      <c r="B485" s="108" t="s">
        <v>180</v>
      </c>
      <c r="D485" s="34">
        <f>-M470</f>
        <v>-8.5044145233566351</v>
      </c>
      <c r="E485" s="183" t="s">
        <v>179</v>
      </c>
      <c r="F485" s="109" t="s">
        <v>247</v>
      </c>
    </row>
    <row r="486" spans="1:10" hidden="1">
      <c r="B486" s="108" t="s">
        <v>181</v>
      </c>
      <c r="D486" s="210">
        <f>D484+D485</f>
        <v>74.961062219088873</v>
      </c>
      <c r="E486" s="183" t="s">
        <v>179</v>
      </c>
      <c r="F486" s="109" t="str">
        <f>"** RECO average transmission rate of "&amp;TEXT(D223-D318,"0.00")&amp;" minus"</f>
        <v>** RECO average transmission rate of 9.40 minus</v>
      </c>
    </row>
    <row r="487" spans="1:10" hidden="1">
      <c r="F487" s="109" t="s">
        <v>248</v>
      </c>
    </row>
    <row r="488" spans="1:10" hidden="1">
      <c r="D488" s="38"/>
      <c r="F488" s="109" t="str">
        <f>"average rate "&amp;TEXT(M466,"0.000")&amp;"/"&amp;TEXT(4+M466,"0.000")&amp;" *$"&amp;TEXT(M468,"0.00")&amp;" per MWh)."</f>
        <v>average rate 0.423/4.423 *$9.40 per MWh).</v>
      </c>
      <c r="I488" s="239"/>
    </row>
    <row r="489" spans="1:10" hidden="1">
      <c r="B489" s="31" t="s">
        <v>198</v>
      </c>
    </row>
    <row r="490" spans="1:10" hidden="1"/>
    <row r="491" spans="1:10" hidden="1">
      <c r="C491" s="106" t="str">
        <f t="shared" ref="C491:I491" si="84">C6</f>
        <v>SC1</v>
      </c>
      <c r="D491" s="106" t="str">
        <f t="shared" si="84"/>
        <v>SC5</v>
      </c>
      <c r="E491" s="106" t="str">
        <f t="shared" si="84"/>
        <v>SC3</v>
      </c>
      <c r="F491" s="106" t="str">
        <f t="shared" si="84"/>
        <v>SC2 ND</v>
      </c>
      <c r="G491" s="106" t="str">
        <f t="shared" si="84"/>
        <v>SC4</v>
      </c>
      <c r="H491" s="106" t="str">
        <f t="shared" si="84"/>
        <v>SC6</v>
      </c>
      <c r="I491" s="106" t="str">
        <f t="shared" si="84"/>
        <v>SC2 Dem</v>
      </c>
      <c r="J491" s="106"/>
    </row>
    <row r="492" spans="1:10" hidden="1">
      <c r="B492" s="22" t="s">
        <v>47</v>
      </c>
    </row>
    <row r="493" spans="1:10" hidden="1">
      <c r="B493" s="178" t="s">
        <v>184</v>
      </c>
      <c r="C493" s="132">
        <f>ROUND(($D$486*C327)/10,3)</f>
        <v>8.2379999999999995</v>
      </c>
      <c r="D493" s="132">
        <f>ROUND(($D$486*D327)/10,3)</f>
        <v>7.758</v>
      </c>
      <c r="F493" s="190">
        <f>ROUND(F327*$D$486/10,3)</f>
        <v>7.7279999999999998</v>
      </c>
      <c r="G493" s="190">
        <f>ROUND(G327*$D$486/10,3)</f>
        <v>5.39</v>
      </c>
      <c r="H493" s="190">
        <f>ROUND(H327*$D$486/10,3)</f>
        <v>5.39</v>
      </c>
      <c r="I493" s="190">
        <f>ROUND((C348*$D$486+D348)/10,3)</f>
        <v>6.1790000000000003</v>
      </c>
      <c r="J493" s="190"/>
    </row>
    <row r="494" spans="1:10" hidden="1">
      <c r="B494" s="178" t="s">
        <v>185</v>
      </c>
      <c r="E494" s="190">
        <f>ROUND(E328*$D$486/10,3)</f>
        <v>10.772</v>
      </c>
      <c r="J494" s="190"/>
    </row>
    <row r="495" spans="1:10" hidden="1">
      <c r="B495" s="178" t="s">
        <v>186</v>
      </c>
      <c r="E495" s="190">
        <f>ROUND(E329*$D$486/10,3)</f>
        <v>5.24</v>
      </c>
      <c r="J495" s="190"/>
    </row>
    <row r="496" spans="1:10" hidden="1">
      <c r="B496" s="130" t="s">
        <v>215</v>
      </c>
      <c r="C496" s="132">
        <f>ROUND(($D$486*C327+C332)/10,3)</f>
        <v>7.3470000000000004</v>
      </c>
      <c r="D496" s="112">
        <f>ROUND(($D$486*D327+D332)/10,3)</f>
        <v>6.7290000000000001</v>
      </c>
      <c r="E496" s="190"/>
      <c r="J496" s="190"/>
    </row>
    <row r="497" spans="2:10" hidden="1">
      <c r="B497" s="132" t="s">
        <v>216</v>
      </c>
      <c r="C497" s="112">
        <f>ROUND(($D$486*C327+C333)/10,3)</f>
        <v>8.4649999999999999</v>
      </c>
      <c r="D497" s="112">
        <f>ROUND(($D$486*D327+D333)/10,3)</f>
        <v>7.8550000000000004</v>
      </c>
      <c r="E497" s="190"/>
      <c r="J497" s="190"/>
    </row>
    <row r="498" spans="2:10" hidden="1">
      <c r="B498" s="132" t="s">
        <v>217</v>
      </c>
      <c r="C498" s="130" t="s">
        <v>224</v>
      </c>
      <c r="D498" s="112">
        <f>ROUND(($D$486*D327+D334)/10,3)</f>
        <v>8.6140000000000008</v>
      </c>
      <c r="E498" s="190"/>
      <c r="J498" s="190"/>
    </row>
    <row r="499" spans="2:10" hidden="1"/>
    <row r="500" spans="2:10" hidden="1">
      <c r="B500" s="128" t="s">
        <v>183</v>
      </c>
      <c r="I500" s="167">
        <f>H352</f>
        <v>4.7759999999999998</v>
      </c>
      <c r="J500" s="167"/>
    </row>
    <row r="501" spans="2:10" hidden="1"/>
    <row r="502" spans="2:10" hidden="1">
      <c r="B502" s="22" t="s">
        <v>48</v>
      </c>
    </row>
    <row r="503" spans="2:10" hidden="1">
      <c r="B503" s="178" t="s">
        <v>184</v>
      </c>
      <c r="C503" s="190">
        <f>ROUND(C336*$D$486/10,3)</f>
        <v>8.8450000000000006</v>
      </c>
      <c r="D503" s="190">
        <f>ROUND(D336*$D$486/10,3)</f>
        <v>7.5190000000000001</v>
      </c>
      <c r="F503" s="190">
        <f>ROUND(F336*$D$486/10,3)</f>
        <v>7.2110000000000003</v>
      </c>
      <c r="G503" s="190">
        <f>ROUND(G336*$D$486/10,3)</f>
        <v>5.577</v>
      </c>
      <c r="H503" s="190">
        <f>ROUND(H336*$D$486/10,3)</f>
        <v>5.5469999999999997</v>
      </c>
      <c r="I503" s="190">
        <f>ROUND((C352*$D$486+D352)/10,3)</f>
        <v>5.923</v>
      </c>
    </row>
    <row r="504" spans="2:10" hidden="1">
      <c r="B504" s="178" t="s">
        <v>185</v>
      </c>
      <c r="E504" s="190">
        <f>ROUND(E337*$D$486/10,3)</f>
        <v>10.307</v>
      </c>
      <c r="J504" s="190"/>
    </row>
    <row r="505" spans="2:10" hidden="1">
      <c r="B505" s="178" t="s">
        <v>186</v>
      </c>
      <c r="E505" s="190">
        <f>ROUND(E338*$D$486/10,3)</f>
        <v>5.4119999999999999</v>
      </c>
      <c r="J505" s="190"/>
    </row>
    <row r="506" spans="2:10" hidden="1"/>
    <row r="507" spans="2:10" hidden="1">
      <c r="B507" s="128" t="s">
        <v>183</v>
      </c>
      <c r="I507" s="167">
        <f>H353</f>
        <v>5.2990000000000004</v>
      </c>
      <c r="J507" s="167"/>
    </row>
    <row r="508" spans="2:10" hidden="1">
      <c r="B508" s="128"/>
      <c r="I508" s="167"/>
      <c r="J508" s="167"/>
    </row>
    <row r="509" spans="2:10" hidden="1">
      <c r="B509" s="128"/>
      <c r="I509" s="167"/>
      <c r="J509" s="167"/>
    </row>
    <row r="510" spans="2:10" hidden="1">
      <c r="B510" s="84" t="s">
        <v>256</v>
      </c>
      <c r="C510" s="112"/>
      <c r="D510" s="112" t="s">
        <v>257</v>
      </c>
      <c r="E510" s="240">
        <v>7.0000000000000007E-2</v>
      </c>
      <c r="F510" s="112"/>
      <c r="G510" s="112"/>
      <c r="H510" s="112"/>
      <c r="I510" s="112"/>
      <c r="J510" s="167"/>
    </row>
    <row r="511" spans="2:10" hidden="1">
      <c r="B511" s="112"/>
      <c r="C511" s="112"/>
      <c r="D511" s="112"/>
      <c r="E511" s="112"/>
      <c r="F511" s="112"/>
      <c r="G511" s="112"/>
      <c r="H511" s="112"/>
      <c r="I511" s="112"/>
      <c r="J511" s="167"/>
    </row>
    <row r="512" spans="2:10" hidden="1">
      <c r="B512" s="112"/>
      <c r="C512" s="85" t="s">
        <v>136</v>
      </c>
      <c r="D512" s="85" t="s">
        <v>137</v>
      </c>
      <c r="E512" s="85" t="s">
        <v>135</v>
      </c>
      <c r="F512" s="85" t="s">
        <v>141</v>
      </c>
      <c r="G512" s="85" t="s">
        <v>138</v>
      </c>
      <c r="H512" s="85" t="s">
        <v>139</v>
      </c>
      <c r="I512" s="85" t="s">
        <v>140</v>
      </c>
      <c r="J512" s="167"/>
    </row>
    <row r="513" spans="2:10" hidden="1">
      <c r="B513" s="72" t="s">
        <v>47</v>
      </c>
      <c r="C513" s="112"/>
      <c r="D513" s="112"/>
      <c r="E513" s="112"/>
      <c r="F513" s="112"/>
      <c r="G513" s="112"/>
      <c r="H513" s="112"/>
      <c r="I513" s="112"/>
      <c r="J513" s="167"/>
    </row>
    <row r="514" spans="2:10" hidden="1">
      <c r="B514" s="132" t="s">
        <v>184</v>
      </c>
      <c r="C514" s="132"/>
      <c r="D514" s="132"/>
      <c r="E514" s="112"/>
      <c r="F514" s="132">
        <f>ROUND(F493*(1+$E$510),3)</f>
        <v>8.2690000000000001</v>
      </c>
      <c r="G514" s="132">
        <f>ROUND(G493*(1+$E$510),3)</f>
        <v>5.7670000000000003</v>
      </c>
      <c r="H514" s="132">
        <f>ROUND(H493*(1+$E$510),3)</f>
        <v>5.7670000000000003</v>
      </c>
      <c r="I514" s="132">
        <f>ROUND(I493*(1+$E$510),3)</f>
        <v>6.6120000000000001</v>
      </c>
      <c r="J514" s="167"/>
    </row>
    <row r="515" spans="2:10" hidden="1">
      <c r="B515" s="132" t="s">
        <v>185</v>
      </c>
      <c r="C515" s="112"/>
      <c r="D515" s="112"/>
      <c r="E515" s="132">
        <f>ROUND(E494*(1+$E$510),3)</f>
        <v>11.526</v>
      </c>
      <c r="F515" s="112"/>
      <c r="G515" s="112"/>
      <c r="H515" s="112"/>
      <c r="I515" s="112"/>
      <c r="J515" s="167"/>
    </row>
    <row r="516" spans="2:10" hidden="1">
      <c r="B516" s="132" t="s">
        <v>186</v>
      </c>
      <c r="C516" s="112"/>
      <c r="D516" s="112"/>
      <c r="E516" s="132">
        <f>ROUND(E495*(1+$E$510),3)</f>
        <v>5.6070000000000002</v>
      </c>
      <c r="F516" s="112"/>
      <c r="G516" s="112"/>
      <c r="H516" s="112"/>
      <c r="I516" s="112"/>
      <c r="J516" s="167"/>
    </row>
    <row r="517" spans="2:10" hidden="1">
      <c r="B517" s="130" t="s">
        <v>215</v>
      </c>
      <c r="C517" s="241">
        <f>ROUND(C496*(1+$E$510),3)</f>
        <v>7.8609999999999998</v>
      </c>
      <c r="D517" s="132">
        <f>ROUND(D496*(1+$E$510),3)</f>
        <v>7.2</v>
      </c>
      <c r="E517" s="94"/>
      <c r="F517" s="112"/>
      <c r="G517" s="112"/>
      <c r="H517" s="112"/>
      <c r="I517" s="112"/>
      <c r="J517" s="167"/>
    </row>
    <row r="518" spans="2:10" hidden="1">
      <c r="B518" s="132" t="s">
        <v>216</v>
      </c>
      <c r="C518" s="241">
        <f>ROUND(C497*(1+$E$510),3)</f>
        <v>9.0579999999999998</v>
      </c>
      <c r="D518" s="132">
        <f>ROUND(D497*(1+$E$510),3)</f>
        <v>8.4049999999999994</v>
      </c>
      <c r="E518" s="94"/>
      <c r="F518" s="112"/>
      <c r="G518" s="112"/>
      <c r="H518" s="112"/>
      <c r="I518" s="112"/>
      <c r="J518" s="167"/>
    </row>
    <row r="519" spans="2:10" hidden="1">
      <c r="B519" s="132" t="s">
        <v>217</v>
      </c>
      <c r="C519" s="130" t="s">
        <v>224</v>
      </c>
      <c r="D519" s="132">
        <f>ROUND(D498*(1+$E$510),3)</f>
        <v>9.2170000000000005</v>
      </c>
      <c r="E519" s="94"/>
      <c r="F519" s="112"/>
      <c r="G519" s="112"/>
      <c r="H519" s="112"/>
      <c r="I519" s="112"/>
      <c r="J519" s="167"/>
    </row>
    <row r="520" spans="2:10" hidden="1">
      <c r="B520" s="112"/>
      <c r="C520" s="112"/>
      <c r="D520" s="112"/>
      <c r="E520" s="112"/>
      <c r="F520" s="112"/>
      <c r="G520" s="112"/>
      <c r="H520" s="112"/>
      <c r="I520" s="112"/>
      <c r="J520" s="167"/>
    </row>
    <row r="521" spans="2:10" hidden="1">
      <c r="B521" s="130" t="s">
        <v>183</v>
      </c>
      <c r="C521" s="112"/>
      <c r="D521" s="112"/>
      <c r="E521" s="112"/>
      <c r="F521" s="112"/>
      <c r="G521" s="112"/>
      <c r="H521" s="112"/>
      <c r="I521" s="242">
        <f>ROUND(I500*(1+$E$510),3)</f>
        <v>5.1100000000000003</v>
      </c>
      <c r="J521" s="167"/>
    </row>
    <row r="522" spans="2:10" hidden="1">
      <c r="B522" s="112"/>
      <c r="C522" s="112"/>
      <c r="D522" s="112"/>
      <c r="E522" s="112"/>
      <c r="F522" s="112"/>
      <c r="G522" s="112"/>
      <c r="H522" s="112"/>
      <c r="I522" s="112"/>
      <c r="J522" s="167"/>
    </row>
    <row r="523" spans="2:10" hidden="1">
      <c r="B523" s="72" t="s">
        <v>48</v>
      </c>
      <c r="C523" s="112"/>
      <c r="D523" s="112"/>
      <c r="E523" s="112"/>
      <c r="F523" s="112"/>
      <c r="G523" s="112"/>
      <c r="H523" s="112"/>
      <c r="I523" s="112"/>
      <c r="J523" s="167"/>
    </row>
    <row r="524" spans="2:10" hidden="1">
      <c r="B524" s="132" t="s">
        <v>184</v>
      </c>
      <c r="C524" s="132">
        <f>ROUND(C503*(1+$E$510),3)</f>
        <v>9.4640000000000004</v>
      </c>
      <c r="D524" s="132">
        <f>ROUND(D503*(1+$E$510),3)</f>
        <v>8.0449999999999999</v>
      </c>
      <c r="E524" s="112"/>
      <c r="F524" s="132">
        <f>ROUND(F503*(1+$E$510),3)</f>
        <v>7.7160000000000002</v>
      </c>
      <c r="G524" s="132">
        <f>ROUND(G503*(1+$E$510),3)</f>
        <v>5.9669999999999996</v>
      </c>
      <c r="H524" s="132">
        <f>ROUND(H503*(1+$E$510),3)</f>
        <v>5.9349999999999996</v>
      </c>
      <c r="I524" s="132">
        <f>ROUND(I503*(1+$E$510),3)</f>
        <v>6.3380000000000001</v>
      </c>
      <c r="J524" s="167"/>
    </row>
    <row r="525" spans="2:10" hidden="1">
      <c r="B525" s="132" t="s">
        <v>185</v>
      </c>
      <c r="C525" s="112"/>
      <c r="D525" s="112"/>
      <c r="E525" s="132">
        <f>ROUND(E504*(1+$E$510),3)</f>
        <v>11.028</v>
      </c>
      <c r="F525" s="112"/>
      <c r="G525" s="112"/>
      <c r="H525" s="112"/>
      <c r="I525" s="112"/>
      <c r="J525" s="167"/>
    </row>
    <row r="526" spans="2:10" hidden="1">
      <c r="B526" s="132" t="s">
        <v>186</v>
      </c>
      <c r="C526" s="112"/>
      <c r="D526" s="112"/>
      <c r="E526" s="132">
        <f>ROUND(E505*(1+$E$510),3)</f>
        <v>5.7910000000000004</v>
      </c>
      <c r="F526" s="112"/>
      <c r="G526" s="112"/>
      <c r="H526" s="112"/>
      <c r="I526" s="112"/>
      <c r="J526" s="167"/>
    </row>
    <row r="527" spans="2:10" hidden="1">
      <c r="B527" s="112"/>
      <c r="C527" s="112"/>
      <c r="D527" s="112"/>
      <c r="E527" s="112"/>
      <c r="F527" s="112"/>
      <c r="G527" s="112"/>
      <c r="H527" s="112"/>
      <c r="I527" s="112"/>
      <c r="J527" s="167"/>
    </row>
    <row r="528" spans="2:10" hidden="1">
      <c r="B528" s="130" t="s">
        <v>183</v>
      </c>
      <c r="C528" s="112"/>
      <c r="D528" s="112"/>
      <c r="E528" s="112"/>
      <c r="F528" s="112"/>
      <c r="G528" s="112"/>
      <c r="H528" s="112"/>
      <c r="I528" s="242">
        <f>ROUND(I507*(1+$E$510),3)</f>
        <v>5.67</v>
      </c>
      <c r="J528" s="167"/>
    </row>
    <row r="529" spans="1:10" hidden="1">
      <c r="B529" s="128"/>
      <c r="I529" s="167"/>
      <c r="J529" s="167"/>
    </row>
    <row r="530" spans="1:10" hidden="1">
      <c r="B530" s="128"/>
      <c r="I530" s="167"/>
      <c r="J530" s="167"/>
    </row>
    <row r="531" spans="1:10" hidden="1">
      <c r="B531" s="128"/>
      <c r="I531" s="167"/>
      <c r="J531" s="167"/>
    </row>
    <row r="532" spans="1:10" hidden="1">
      <c r="A532" s="19" t="s">
        <v>244</v>
      </c>
      <c r="B532" s="20" t="s">
        <v>239</v>
      </c>
      <c r="J532" s="167"/>
    </row>
    <row r="533" spans="1:10" hidden="1">
      <c r="A533" s="19"/>
      <c r="B533" s="20"/>
      <c r="J533" s="167"/>
    </row>
    <row r="534" spans="1:10" hidden="1">
      <c r="A534" s="19"/>
      <c r="B534" s="31" t="s">
        <v>240</v>
      </c>
      <c r="J534" s="167"/>
    </row>
    <row r="535" spans="1:10" hidden="1">
      <c r="A535" s="19"/>
      <c r="B535" s="108"/>
      <c r="C535" s="106" t="str">
        <f t="shared" ref="C535:I535" si="85">C491</f>
        <v>SC1</v>
      </c>
      <c r="D535" s="106" t="str">
        <f t="shared" si="85"/>
        <v>SC5</v>
      </c>
      <c r="E535" s="106" t="str">
        <f t="shared" si="85"/>
        <v>SC3</v>
      </c>
      <c r="F535" s="106" t="str">
        <f t="shared" si="85"/>
        <v>SC2 ND</v>
      </c>
      <c r="G535" s="106" t="str">
        <f t="shared" si="85"/>
        <v>SC4</v>
      </c>
      <c r="H535" s="106" t="str">
        <f t="shared" si="85"/>
        <v>SC6</v>
      </c>
      <c r="I535" s="106" t="str">
        <f t="shared" si="85"/>
        <v>SC2 Dem</v>
      </c>
      <c r="J535" s="167"/>
    </row>
    <row r="536" spans="1:10" hidden="1">
      <c r="A536" s="19"/>
      <c r="B536" s="108" t="s">
        <v>241</v>
      </c>
      <c r="C536" s="171">
        <v>1.1299999999999999</v>
      </c>
      <c r="D536" s="171">
        <v>0.74199999999999999</v>
      </c>
      <c r="E536" s="171">
        <v>0.75800000000000001</v>
      </c>
      <c r="F536" s="171">
        <v>0.51600000000000001</v>
      </c>
      <c r="G536" s="170">
        <v>0.66200000000000003</v>
      </c>
      <c r="H536" s="170">
        <v>0.57999999999999996</v>
      </c>
      <c r="I536" s="171">
        <v>0.51600000000000001</v>
      </c>
      <c r="J536" s="167"/>
    </row>
    <row r="537" spans="1:10" hidden="1">
      <c r="A537" s="19"/>
      <c r="B537" s="108" t="s">
        <v>242</v>
      </c>
      <c r="I537" s="243">
        <v>1.29</v>
      </c>
      <c r="J537" s="167"/>
    </row>
    <row r="538" spans="1:10" hidden="1">
      <c r="I538" s="243">
        <v>1.1100000000000001</v>
      </c>
      <c r="J538" s="167"/>
    </row>
    <row r="539" spans="1:10" hidden="1">
      <c r="J539" s="167"/>
    </row>
    <row r="540" spans="1:10" hidden="1">
      <c r="J540" s="167"/>
    </row>
    <row r="541" spans="1:10" hidden="1">
      <c r="B541" s="31" t="s">
        <v>243</v>
      </c>
      <c r="J541" s="167"/>
    </row>
    <row r="542" spans="1:10" hidden="1">
      <c r="J542" s="167"/>
    </row>
    <row r="543" spans="1:10" hidden="1">
      <c r="J543" s="167"/>
    </row>
    <row r="544" spans="1:10" hidden="1">
      <c r="B544" s="22" t="s">
        <v>47</v>
      </c>
      <c r="J544" s="167"/>
    </row>
    <row r="545" spans="2:10" hidden="1">
      <c r="B545" s="178" t="s">
        <v>184</v>
      </c>
      <c r="C545" s="190">
        <f t="shared" ref="C545:I551" si="86">IF(C493&gt;0,C493+C$536,"")</f>
        <v>9.3679999999999986</v>
      </c>
      <c r="D545" s="190">
        <f t="shared" si="86"/>
        <v>8.5</v>
      </c>
      <c r="E545" s="190" t="str">
        <f t="shared" si="86"/>
        <v/>
      </c>
      <c r="F545" s="190">
        <f t="shared" si="86"/>
        <v>8.2439999999999998</v>
      </c>
      <c r="G545" s="190">
        <f t="shared" si="86"/>
        <v>6.0519999999999996</v>
      </c>
      <c r="H545" s="190">
        <f t="shared" si="86"/>
        <v>5.97</v>
      </c>
      <c r="I545" s="190">
        <f t="shared" si="86"/>
        <v>6.6950000000000003</v>
      </c>
      <c r="J545" s="167"/>
    </row>
    <row r="546" spans="2:10" hidden="1">
      <c r="B546" s="178" t="s">
        <v>185</v>
      </c>
      <c r="C546" s="190" t="str">
        <f t="shared" si="86"/>
        <v/>
      </c>
      <c r="D546" s="190" t="str">
        <f t="shared" si="86"/>
        <v/>
      </c>
      <c r="E546" s="190">
        <f t="shared" si="86"/>
        <v>11.530000000000001</v>
      </c>
      <c r="F546" s="190" t="str">
        <f t="shared" si="86"/>
        <v/>
      </c>
      <c r="G546" s="190" t="str">
        <f t="shared" si="86"/>
        <v/>
      </c>
      <c r="H546" s="190" t="str">
        <f t="shared" si="86"/>
        <v/>
      </c>
      <c r="I546" s="190" t="str">
        <f t="shared" si="86"/>
        <v/>
      </c>
      <c r="J546" s="167"/>
    </row>
    <row r="547" spans="2:10" hidden="1">
      <c r="B547" s="178" t="s">
        <v>186</v>
      </c>
      <c r="C547" s="190" t="str">
        <f t="shared" si="86"/>
        <v/>
      </c>
      <c r="D547" s="190" t="str">
        <f t="shared" si="86"/>
        <v/>
      </c>
      <c r="E547" s="190">
        <f t="shared" si="86"/>
        <v>5.9980000000000002</v>
      </c>
      <c r="F547" s="190" t="str">
        <f t="shared" si="86"/>
        <v/>
      </c>
      <c r="G547" s="190" t="str">
        <f t="shared" si="86"/>
        <v/>
      </c>
      <c r="H547" s="190" t="str">
        <f t="shared" si="86"/>
        <v/>
      </c>
      <c r="I547" s="190" t="str">
        <f t="shared" si="86"/>
        <v/>
      </c>
      <c r="J547" s="167"/>
    </row>
    <row r="548" spans="2:10" hidden="1">
      <c r="B548" s="130" t="s">
        <v>215</v>
      </c>
      <c r="C548" s="190">
        <f t="shared" si="86"/>
        <v>8.4770000000000003</v>
      </c>
      <c r="D548" s="190">
        <f t="shared" si="86"/>
        <v>7.4710000000000001</v>
      </c>
      <c r="E548" s="190" t="str">
        <f t="shared" si="86"/>
        <v/>
      </c>
      <c r="F548" s="190" t="str">
        <f t="shared" si="86"/>
        <v/>
      </c>
      <c r="G548" s="190" t="str">
        <f t="shared" si="86"/>
        <v/>
      </c>
      <c r="H548" s="190" t="str">
        <f t="shared" si="86"/>
        <v/>
      </c>
      <c r="I548" s="190" t="str">
        <f t="shared" si="86"/>
        <v/>
      </c>
      <c r="J548" s="167"/>
    </row>
    <row r="549" spans="2:10" hidden="1">
      <c r="B549" s="132" t="s">
        <v>216</v>
      </c>
      <c r="C549" s="190">
        <f t="shared" si="86"/>
        <v>9.5949999999999989</v>
      </c>
      <c r="D549" s="190">
        <f t="shared" si="86"/>
        <v>8.5970000000000013</v>
      </c>
      <c r="E549" s="190" t="str">
        <f t="shared" si="86"/>
        <v/>
      </c>
      <c r="F549" s="190" t="str">
        <f t="shared" si="86"/>
        <v/>
      </c>
      <c r="G549" s="190" t="str">
        <f t="shared" si="86"/>
        <v/>
      </c>
      <c r="H549" s="190" t="str">
        <f t="shared" si="86"/>
        <v/>
      </c>
      <c r="I549" s="190" t="str">
        <f t="shared" si="86"/>
        <v/>
      </c>
      <c r="J549" s="167"/>
    </row>
    <row r="550" spans="2:10" hidden="1">
      <c r="B550" s="132" t="s">
        <v>217</v>
      </c>
      <c r="C550" s="190" t="e">
        <f t="shared" si="86"/>
        <v>#VALUE!</v>
      </c>
      <c r="D550" s="190">
        <f t="shared" si="86"/>
        <v>9.3560000000000016</v>
      </c>
      <c r="E550" s="190" t="str">
        <f t="shared" si="86"/>
        <v/>
      </c>
      <c r="F550" s="190" t="str">
        <f t="shared" si="86"/>
        <v/>
      </c>
      <c r="G550" s="190" t="str">
        <f t="shared" si="86"/>
        <v/>
      </c>
      <c r="H550" s="190" t="str">
        <f t="shared" si="86"/>
        <v/>
      </c>
      <c r="I550" s="190" t="str">
        <f t="shared" si="86"/>
        <v/>
      </c>
      <c r="J550" s="167"/>
    </row>
    <row r="551" spans="2:10" hidden="1">
      <c r="C551" s="190" t="str">
        <f t="shared" si="86"/>
        <v/>
      </c>
      <c r="D551" s="190" t="str">
        <f t="shared" si="86"/>
        <v/>
      </c>
      <c r="E551" s="190" t="str">
        <f t="shared" si="86"/>
        <v/>
      </c>
      <c r="F551" s="190" t="str">
        <f t="shared" si="86"/>
        <v/>
      </c>
      <c r="G551" s="190" t="str">
        <f t="shared" si="86"/>
        <v/>
      </c>
      <c r="H551" s="190" t="str">
        <f t="shared" si="86"/>
        <v/>
      </c>
      <c r="I551" s="190" t="str">
        <f t="shared" si="86"/>
        <v/>
      </c>
      <c r="J551" s="167"/>
    </row>
    <row r="552" spans="2:10" hidden="1">
      <c r="B552" s="128" t="s">
        <v>183</v>
      </c>
      <c r="C552" s="190" t="str">
        <f t="shared" ref="C552:H552" si="87">IF(C500&gt;0,C500+C$536,"")</f>
        <v/>
      </c>
      <c r="D552" s="190" t="str">
        <f t="shared" si="87"/>
        <v/>
      </c>
      <c r="E552" s="190" t="str">
        <f t="shared" si="87"/>
        <v/>
      </c>
      <c r="F552" s="190" t="str">
        <f t="shared" si="87"/>
        <v/>
      </c>
      <c r="G552" s="190" t="str">
        <f t="shared" si="87"/>
        <v/>
      </c>
      <c r="H552" s="190" t="str">
        <f t="shared" si="87"/>
        <v/>
      </c>
      <c r="I552" s="190">
        <f>IF(I500&gt;0,I500+I$537,"")</f>
        <v>6.0659999999999998</v>
      </c>
      <c r="J552" s="167"/>
    </row>
    <row r="553" spans="2:10" hidden="1">
      <c r="J553" s="167"/>
    </row>
    <row r="554" spans="2:10" hidden="1">
      <c r="B554" s="22" t="s">
        <v>48</v>
      </c>
      <c r="J554" s="167"/>
    </row>
    <row r="555" spans="2:10" hidden="1">
      <c r="B555" s="178" t="s">
        <v>184</v>
      </c>
      <c r="C555" s="190">
        <f t="shared" ref="C555:I558" si="88">IF(C503&gt;0,C503+C$536,"")</f>
        <v>9.9750000000000014</v>
      </c>
      <c r="D555" s="190">
        <f t="shared" si="88"/>
        <v>8.2609999999999992</v>
      </c>
      <c r="E555" s="190" t="str">
        <f t="shared" si="88"/>
        <v/>
      </c>
      <c r="F555" s="190">
        <f t="shared" si="88"/>
        <v>7.7270000000000003</v>
      </c>
      <c r="G555" s="190">
        <f t="shared" si="88"/>
        <v>6.2389999999999999</v>
      </c>
      <c r="H555" s="190">
        <f t="shared" si="88"/>
        <v>6.1269999999999998</v>
      </c>
      <c r="I555" s="190">
        <f t="shared" si="88"/>
        <v>6.4390000000000001</v>
      </c>
      <c r="J555" s="167"/>
    </row>
    <row r="556" spans="2:10" hidden="1">
      <c r="B556" s="178" t="s">
        <v>185</v>
      </c>
      <c r="C556" s="190" t="str">
        <f t="shared" si="88"/>
        <v/>
      </c>
      <c r="D556" s="190" t="str">
        <f t="shared" si="88"/>
        <v/>
      </c>
      <c r="E556" s="190">
        <f t="shared" si="88"/>
        <v>11.065000000000001</v>
      </c>
      <c r="F556" s="190" t="str">
        <f t="shared" si="88"/>
        <v/>
      </c>
      <c r="G556" s="190" t="str">
        <f t="shared" si="88"/>
        <v/>
      </c>
      <c r="H556" s="190" t="str">
        <f t="shared" si="88"/>
        <v/>
      </c>
      <c r="I556" s="190" t="str">
        <f t="shared" si="88"/>
        <v/>
      </c>
      <c r="J556" s="167"/>
    </row>
    <row r="557" spans="2:10" hidden="1">
      <c r="B557" s="178" t="s">
        <v>186</v>
      </c>
      <c r="C557" s="190" t="str">
        <f t="shared" si="88"/>
        <v/>
      </c>
      <c r="D557" s="190" t="str">
        <f t="shared" si="88"/>
        <v/>
      </c>
      <c r="E557" s="190">
        <f t="shared" si="88"/>
        <v>6.17</v>
      </c>
      <c r="F557" s="190" t="str">
        <f t="shared" si="88"/>
        <v/>
      </c>
      <c r="G557" s="190" t="str">
        <f t="shared" si="88"/>
        <v/>
      </c>
      <c r="H557" s="190" t="str">
        <f t="shared" si="88"/>
        <v/>
      </c>
      <c r="I557" s="190" t="str">
        <f t="shared" si="88"/>
        <v/>
      </c>
      <c r="J557" s="167"/>
    </row>
    <row r="558" spans="2:10" hidden="1">
      <c r="C558" s="190" t="str">
        <f t="shared" si="88"/>
        <v/>
      </c>
      <c r="D558" s="190" t="str">
        <f t="shared" si="88"/>
        <v/>
      </c>
      <c r="E558" s="190" t="str">
        <f t="shared" si="88"/>
        <v/>
      </c>
      <c r="F558" s="190" t="str">
        <f t="shared" si="88"/>
        <v/>
      </c>
      <c r="G558" s="190" t="str">
        <f t="shared" si="88"/>
        <v/>
      </c>
      <c r="H558" s="190" t="str">
        <f t="shared" si="88"/>
        <v/>
      </c>
      <c r="I558" s="190" t="str">
        <f t="shared" si="88"/>
        <v/>
      </c>
      <c r="J558" s="167"/>
    </row>
    <row r="559" spans="2:10" hidden="1">
      <c r="B559" s="128" t="s">
        <v>183</v>
      </c>
      <c r="C559" s="190" t="str">
        <f t="shared" ref="C559:H559" si="89">IF(C507&gt;0,C507+C$536,"")</f>
        <v/>
      </c>
      <c r="D559" s="190" t="str">
        <f t="shared" si="89"/>
        <v/>
      </c>
      <c r="E559" s="190" t="str">
        <f t="shared" si="89"/>
        <v/>
      </c>
      <c r="F559" s="190" t="str">
        <f t="shared" si="89"/>
        <v/>
      </c>
      <c r="G559" s="190" t="str">
        <f t="shared" si="89"/>
        <v/>
      </c>
      <c r="H559" s="190" t="str">
        <f t="shared" si="89"/>
        <v/>
      </c>
      <c r="I559" s="190">
        <f>IF(I507&gt;0,I507+I$538,"")</f>
        <v>6.4090000000000007</v>
      </c>
      <c r="J559" s="167"/>
    </row>
    <row r="560" spans="2:10" hidden="1">
      <c r="B560" s="128"/>
      <c r="I560" s="167"/>
      <c r="J560" s="167"/>
    </row>
    <row r="561" spans="1:10" hidden="1">
      <c r="B561" s="128"/>
      <c r="I561" s="167"/>
      <c r="J561" s="167"/>
    </row>
    <row r="562" spans="1:10" hidden="1"/>
    <row r="563" spans="1:10" hidden="1">
      <c r="A563" s="10"/>
      <c r="C563" s="206"/>
      <c r="E563" s="206"/>
    </row>
    <row r="564" spans="1:10" hidden="1">
      <c r="A564" s="19" t="s">
        <v>196</v>
      </c>
      <c r="B564" s="1" t="s">
        <v>119</v>
      </c>
      <c r="C564" s="206"/>
      <c r="E564" s="206"/>
    </row>
    <row r="565" spans="1:10" hidden="1">
      <c r="A565" s="10"/>
      <c r="C565" s="206"/>
      <c r="E565" s="206"/>
    </row>
    <row r="566" spans="1:10" hidden="1">
      <c r="A566" s="10"/>
      <c r="B566" s="128" t="s">
        <v>121</v>
      </c>
      <c r="C566" s="156">
        <f>+D223</f>
        <v>83.465476742445503</v>
      </c>
      <c r="E566" s="206"/>
    </row>
    <row r="567" spans="1:10" hidden="1">
      <c r="A567" s="10"/>
      <c r="B567" s="128" t="s">
        <v>123</v>
      </c>
      <c r="C567" s="244">
        <f>+J377</f>
        <v>0.98499999999999999</v>
      </c>
      <c r="E567" s="206"/>
    </row>
    <row r="568" spans="1:10" hidden="1">
      <c r="A568" s="10"/>
      <c r="B568" s="128" t="s">
        <v>122</v>
      </c>
      <c r="C568" s="244">
        <f>+J378</f>
        <v>1.0097</v>
      </c>
      <c r="E568" s="206"/>
    </row>
    <row r="569" spans="1:10" hidden="1">
      <c r="A569" s="10"/>
      <c r="B569" s="178" t="s">
        <v>189</v>
      </c>
      <c r="C569" s="245">
        <f>ROUND(C566*C567,4)</f>
        <v>82.213499999999996</v>
      </c>
      <c r="E569" s="206"/>
    </row>
    <row r="570" spans="1:10" hidden="1">
      <c r="A570" s="10"/>
      <c r="B570" s="178" t="s">
        <v>190</v>
      </c>
      <c r="C570" s="245">
        <f>ROUND(C566*C568,4)</f>
        <v>84.275099999999995</v>
      </c>
      <c r="E570" s="206"/>
    </row>
    <row r="571" spans="1:10" hidden="1">
      <c r="A571" s="10"/>
      <c r="B571" s="128"/>
      <c r="C571" s="206"/>
      <c r="E571" s="206"/>
    </row>
    <row r="572" spans="1:10" hidden="1">
      <c r="A572" s="10"/>
      <c r="C572" s="206"/>
      <c r="E572" s="206"/>
    </row>
    <row r="573" spans="1:10" hidden="1">
      <c r="A573" s="10"/>
      <c r="C573" s="106" t="str">
        <f t="shared" ref="C573:I573" si="90">C6</f>
        <v>SC1</v>
      </c>
      <c r="D573" s="106" t="str">
        <f t="shared" si="90"/>
        <v>SC5</v>
      </c>
      <c r="E573" s="106" t="str">
        <f t="shared" si="90"/>
        <v>SC3</v>
      </c>
      <c r="F573" s="106" t="str">
        <f t="shared" si="90"/>
        <v>SC2 ND</v>
      </c>
      <c r="G573" s="106" t="str">
        <f t="shared" si="90"/>
        <v>SC4</v>
      </c>
      <c r="H573" s="106" t="str">
        <f t="shared" si="90"/>
        <v>SC6</v>
      </c>
      <c r="I573" s="106" t="str">
        <f t="shared" si="90"/>
        <v>SC2 Dem</v>
      </c>
      <c r="J573" s="106"/>
    </row>
    <row r="574" spans="1:10" hidden="1">
      <c r="A574" s="10"/>
      <c r="B574" s="183" t="s">
        <v>188</v>
      </c>
    </row>
    <row r="575" spans="1:10" hidden="1">
      <c r="A575" s="10"/>
      <c r="B575" s="152" t="s">
        <v>47</v>
      </c>
      <c r="C575" s="179">
        <f>ROUND((C493*M48)/100,0)</f>
        <v>25378</v>
      </c>
      <c r="D575" s="179">
        <f>ROUND((D493*N48)/100,0)</f>
        <v>427</v>
      </c>
      <c r="E575" s="164">
        <f>ROUND((E494*O49+E495*O50)/100,0)</f>
        <v>7</v>
      </c>
      <c r="F575" s="165">
        <f>ROUND(F493*P48/100,0)</f>
        <v>890</v>
      </c>
      <c r="G575" s="165">
        <f>ROUND(G493*Q48/100,0)</f>
        <v>102</v>
      </c>
      <c r="H575" s="165">
        <f>ROUND(H493*R48/100,0)</f>
        <v>93</v>
      </c>
      <c r="I575" s="164">
        <v>16216</v>
      </c>
      <c r="J575" s="164"/>
    </row>
    <row r="576" spans="1:10" hidden="1">
      <c r="A576" s="10"/>
      <c r="B576" s="152" t="s">
        <v>48</v>
      </c>
      <c r="C576" s="61">
        <f>ROUND(C503*M44/100,0)</f>
        <v>37449</v>
      </c>
      <c r="D576" s="61">
        <f>ROUND(D503*N44/100,0)</f>
        <v>832</v>
      </c>
      <c r="E576" s="62">
        <f>ROUND((E504*O45+E505*O46)/100,0)</f>
        <v>13</v>
      </c>
      <c r="F576" s="70">
        <f>ROUND(F503*P44/100,0)</f>
        <v>1988</v>
      </c>
      <c r="G576" s="70">
        <f>ROUND(G503*Q44/100,0)</f>
        <v>275</v>
      </c>
      <c r="H576" s="70">
        <f>ROUND(H503*R44/100,0)</f>
        <v>224</v>
      </c>
      <c r="I576" s="62">
        <v>27623</v>
      </c>
      <c r="J576" s="164"/>
    </row>
    <row r="577" spans="1:12" hidden="1">
      <c r="A577" s="10"/>
      <c r="B577" s="152" t="s">
        <v>12</v>
      </c>
      <c r="C577" s="195">
        <f>+C576+C575</f>
        <v>62827</v>
      </c>
      <c r="D577" s="195">
        <f t="shared" ref="D577:I577" si="91">+D576+D575</f>
        <v>1259</v>
      </c>
      <c r="E577" s="163">
        <f t="shared" si="91"/>
        <v>20</v>
      </c>
      <c r="F577" s="163">
        <f t="shared" si="91"/>
        <v>2878</v>
      </c>
      <c r="G577" s="163">
        <f t="shared" si="91"/>
        <v>377</v>
      </c>
      <c r="H577" s="163">
        <f t="shared" si="91"/>
        <v>317</v>
      </c>
      <c r="I577" s="163">
        <f t="shared" si="91"/>
        <v>43839</v>
      </c>
      <c r="J577" s="163"/>
    </row>
    <row r="578" spans="1:12" hidden="1">
      <c r="A578" s="10"/>
      <c r="B578" s="152"/>
      <c r="C578" s="195"/>
      <c r="D578" s="195"/>
      <c r="E578" s="163"/>
      <c r="F578" s="163"/>
      <c r="G578" s="163"/>
      <c r="H578" s="163"/>
      <c r="I578" s="163"/>
      <c r="J578" s="163"/>
    </row>
    <row r="579" spans="1:12" hidden="1">
      <c r="A579" s="10"/>
      <c r="B579" s="152" t="s">
        <v>12</v>
      </c>
      <c r="C579" s="195"/>
      <c r="D579" s="195"/>
      <c r="E579" s="163"/>
      <c r="F579" s="163"/>
      <c r="G579" s="163"/>
      <c r="H579" s="163"/>
      <c r="I579" s="163"/>
      <c r="J579" s="163"/>
    </row>
    <row r="580" spans="1:12" hidden="1">
      <c r="A580" s="10"/>
      <c r="B580" s="152" t="s">
        <v>47</v>
      </c>
      <c r="C580" s="195">
        <f>SUM(C575:I575)</f>
        <v>43113</v>
      </c>
      <c r="D580" s="195"/>
      <c r="E580" s="163"/>
      <c r="F580" s="163"/>
      <c r="G580" s="163"/>
      <c r="H580" s="163"/>
      <c r="I580" s="163"/>
      <c r="J580" s="163"/>
      <c r="L580" s="181"/>
    </row>
    <row r="581" spans="1:12" hidden="1">
      <c r="A581" s="10"/>
      <c r="B581" s="152" t="s">
        <v>48</v>
      </c>
      <c r="C581" s="63">
        <f>SUM(C576:I576)</f>
        <v>68404</v>
      </c>
      <c r="D581" s="112"/>
      <c r="E581" s="206"/>
      <c r="F581" s="163"/>
      <c r="G581" s="163"/>
    </row>
    <row r="582" spans="1:12" hidden="1">
      <c r="A582" s="10"/>
      <c r="B582" s="152" t="s">
        <v>12</v>
      </c>
      <c r="C582" s="69">
        <f>+C581+C580</f>
        <v>111517</v>
      </c>
      <c r="D582" s="112"/>
      <c r="E582" s="206"/>
      <c r="F582" s="69"/>
      <c r="G582" s="69"/>
    </row>
    <row r="583" spans="1:12" hidden="1">
      <c r="A583" s="10"/>
      <c r="B583" s="152"/>
      <c r="C583" s="195"/>
      <c r="D583" s="112"/>
      <c r="E583" s="206"/>
    </row>
    <row r="584" spans="1:12" hidden="1">
      <c r="A584" s="10"/>
      <c r="C584" s="106" t="str">
        <f t="shared" ref="C584:I584" si="92">C6</f>
        <v>SC1</v>
      </c>
      <c r="D584" s="106" t="str">
        <f t="shared" si="92"/>
        <v>SC5</v>
      </c>
      <c r="E584" s="106" t="str">
        <f t="shared" si="92"/>
        <v>SC3</v>
      </c>
      <c r="F584" s="106" t="str">
        <f t="shared" si="92"/>
        <v>SC2 ND</v>
      </c>
      <c r="G584" s="106" t="str">
        <f t="shared" si="92"/>
        <v>SC4</v>
      </c>
      <c r="H584" s="106" t="str">
        <f t="shared" si="92"/>
        <v>SC6</v>
      </c>
      <c r="I584" s="106" t="str">
        <f t="shared" si="92"/>
        <v>SC2 Dem</v>
      </c>
      <c r="J584" s="106"/>
    </row>
    <row r="585" spans="1:12" hidden="1">
      <c r="A585" s="10"/>
      <c r="B585" s="109" t="s">
        <v>120</v>
      </c>
    </row>
    <row r="586" spans="1:12" hidden="1">
      <c r="A586" s="10"/>
      <c r="B586" s="152" t="s">
        <v>47</v>
      </c>
      <c r="C586" s="165">
        <f t="shared" ref="C586:I586" si="93">+$C569*M48*C78/1000</f>
        <v>27459.762292944135</v>
      </c>
      <c r="D586" s="165">
        <f t="shared" si="93"/>
        <v>491.14717615706684</v>
      </c>
      <c r="E586" s="165">
        <f t="shared" si="93"/>
        <v>8.1115050871675276</v>
      </c>
      <c r="F586" s="165">
        <f t="shared" si="93"/>
        <v>1026.0608248174221</v>
      </c>
      <c r="G586" s="165">
        <f t="shared" si="93"/>
        <v>169.27195780803447</v>
      </c>
      <c r="H586" s="165">
        <f t="shared" si="93"/>
        <v>153.13808505223975</v>
      </c>
      <c r="I586" s="165">
        <f t="shared" si="93"/>
        <v>19418.675766423443</v>
      </c>
      <c r="J586" s="165"/>
    </row>
    <row r="587" spans="1:12" hidden="1">
      <c r="A587" s="10"/>
      <c r="B587" s="152" t="s">
        <v>48</v>
      </c>
      <c r="C587" s="70">
        <f t="shared" ref="C587:I587" si="94">+$C570*M44*C78/1000</f>
        <v>38686.0809655919</v>
      </c>
      <c r="D587" s="70">
        <f t="shared" si="94"/>
        <v>1011.3124229481493</v>
      </c>
      <c r="E587" s="70">
        <f t="shared" si="94"/>
        <v>16.355703262352616</v>
      </c>
      <c r="F587" s="70">
        <f t="shared" si="94"/>
        <v>2519.3265382658451</v>
      </c>
      <c r="G587" s="70">
        <f t="shared" si="94"/>
        <v>450.46713454412514</v>
      </c>
      <c r="H587" s="70">
        <f t="shared" si="94"/>
        <v>369.5109720276759</v>
      </c>
      <c r="I587" s="70">
        <f t="shared" si="94"/>
        <v>34114.159354222757</v>
      </c>
      <c r="J587" s="165"/>
    </row>
    <row r="588" spans="1:12" hidden="1">
      <c r="A588" s="10"/>
      <c r="B588" s="152" t="s">
        <v>12</v>
      </c>
      <c r="C588" s="163">
        <f t="shared" ref="C588:I588" si="95">+C587+C586</f>
        <v>66145.843258536042</v>
      </c>
      <c r="D588" s="163">
        <f t="shared" si="95"/>
        <v>1502.4595991052161</v>
      </c>
      <c r="E588" s="163">
        <f t="shared" si="95"/>
        <v>24.467208349520142</v>
      </c>
      <c r="F588" s="163">
        <f t="shared" si="95"/>
        <v>3545.3873630832672</v>
      </c>
      <c r="G588" s="163">
        <f t="shared" si="95"/>
        <v>619.73909235215956</v>
      </c>
      <c r="H588" s="165">
        <f t="shared" si="95"/>
        <v>522.64905707991568</v>
      </c>
      <c r="I588" s="165">
        <f t="shared" si="95"/>
        <v>53532.835120646196</v>
      </c>
      <c r="J588" s="165"/>
    </row>
    <row r="589" spans="1:12" hidden="1">
      <c r="A589" s="10"/>
      <c r="C589" s="206"/>
      <c r="D589" s="206"/>
      <c r="E589" s="206"/>
      <c r="F589" s="206"/>
      <c r="G589" s="206"/>
      <c r="H589" s="206"/>
      <c r="I589" s="206"/>
      <c r="J589" s="206"/>
    </row>
    <row r="590" spans="1:12" hidden="1">
      <c r="A590" s="10"/>
      <c r="B590" s="152" t="s">
        <v>12</v>
      </c>
      <c r="C590" s="177"/>
      <c r="D590" s="206"/>
      <c r="E590" s="206"/>
      <c r="F590" s="206"/>
      <c r="G590" s="206"/>
      <c r="H590" s="206"/>
      <c r="I590" s="206"/>
      <c r="J590" s="206"/>
    </row>
    <row r="591" spans="1:12" hidden="1">
      <c r="A591" s="10"/>
      <c r="B591" s="152" t="s">
        <v>47</v>
      </c>
      <c r="C591" s="195">
        <f>SUM(C586:I586)</f>
        <v>48726.167608289514</v>
      </c>
      <c r="G591" s="163"/>
    </row>
    <row r="592" spans="1:12" hidden="1">
      <c r="A592" s="10"/>
      <c r="B592" s="152" t="s">
        <v>48</v>
      </c>
      <c r="C592" s="63">
        <f>SUM(C587:I587)</f>
        <v>77167.213090862788</v>
      </c>
      <c r="G592" s="163"/>
    </row>
    <row r="593" spans="1:7" hidden="1">
      <c r="A593" s="10"/>
      <c r="B593" s="152" t="s">
        <v>12</v>
      </c>
      <c r="C593" s="163">
        <f>+C592+C591</f>
        <v>125893.3806991523</v>
      </c>
      <c r="G593" s="163"/>
    </row>
    <row r="594" spans="1:7" hidden="1">
      <c r="A594" s="10"/>
      <c r="C594" s="206"/>
      <c r="D594" s="39"/>
      <c r="E594" s="206"/>
      <c r="F594" s="38"/>
    </row>
    <row r="595" spans="1:7" hidden="1">
      <c r="B595" s="152" t="s">
        <v>314</v>
      </c>
      <c r="C595" s="163"/>
    </row>
    <row r="596" spans="1:7" hidden="1">
      <c r="B596" s="152" t="s">
        <v>47</v>
      </c>
      <c r="C596" s="217">
        <f>ROUND($C$147*SUM($C$141:$I$141)/12*H$144/1000*C447,0)</f>
        <v>4219</v>
      </c>
    </row>
    <row r="597" spans="1:7" hidden="1">
      <c r="B597" s="152" t="s">
        <v>48</v>
      </c>
      <c r="C597" s="68">
        <f>ROUND($C$147*SUM($C$141:$I$141)/12*H$145/1000*C447,0)</f>
        <v>8437</v>
      </c>
    </row>
    <row r="598" spans="1:7" hidden="1">
      <c r="B598" s="152" t="s">
        <v>12</v>
      </c>
      <c r="C598" s="163">
        <f>SUM(C596:C597)</f>
        <v>12656</v>
      </c>
    </row>
    <row r="599" spans="1:7" hidden="1"/>
    <row r="600" spans="1:7" hidden="1">
      <c r="B600" s="109" t="s">
        <v>315</v>
      </c>
    </row>
    <row r="601" spans="1:7" hidden="1">
      <c r="B601" s="152" t="s">
        <v>47</v>
      </c>
      <c r="C601" s="163">
        <f>C591-C596</f>
        <v>44507.167608289514</v>
      </c>
    </row>
    <row r="602" spans="1:7" hidden="1">
      <c r="B602" s="152" t="s">
        <v>48</v>
      </c>
      <c r="C602" s="65">
        <f>C592-C597</f>
        <v>68730.213090862788</v>
      </c>
    </row>
    <row r="603" spans="1:7" hidden="1">
      <c r="B603" s="152" t="s">
        <v>12</v>
      </c>
      <c r="C603" s="41">
        <f>SUM(C601:C602)</f>
        <v>113237.3806991523</v>
      </c>
    </row>
    <row r="604" spans="1:7" hidden="1"/>
    <row r="605" spans="1:7" hidden="1">
      <c r="B605" s="109" t="s">
        <v>213</v>
      </c>
    </row>
    <row r="606" spans="1:7" hidden="1">
      <c r="B606" s="152" t="s">
        <v>47</v>
      </c>
      <c r="C606" s="163">
        <f>C601-C580</f>
        <v>1394.1676082895137</v>
      </c>
    </row>
    <row r="607" spans="1:7" hidden="1">
      <c r="B607" s="152" t="s">
        <v>48</v>
      </c>
      <c r="C607" s="65">
        <f>C602-C581</f>
        <v>326.21309086278779</v>
      </c>
    </row>
    <row r="608" spans="1:7" hidden="1">
      <c r="B608" s="152" t="s">
        <v>12</v>
      </c>
      <c r="C608" s="163">
        <f>SUM(C606:C607)</f>
        <v>1720.3806991523015</v>
      </c>
    </row>
  </sheetData>
  <mergeCells count="2">
    <mergeCell ref="I376:J376"/>
    <mergeCell ref="I398:J398"/>
  </mergeCells>
  <phoneticPr fontId="0" type="noConversion"/>
  <pageMargins left="0.5" right="0.5" top="1" bottom="0.75" header="0.5" footer="0.5"/>
  <pageSetup scale="88" orientation="landscape" r:id="rId1"/>
  <headerFooter alignWithMargins="0">
    <oddHeader>&amp;L&amp;"Arial,Bold"&amp;UROCKLAND ELECTRIC COMPANY&amp;C&amp;"Arial,Bold Italic"
&amp;R&amp;"Arial,Bold"Attachment B&amp;"Arial,Regular"
Page &amp;P of &amp;N
Revised August 2011</oddHeader>
    <oddFooter>&amp;L&amp;F&amp;R&amp;D</oddFooter>
  </headerFooter>
  <rowBreaks count="12" manualBreakCount="12">
    <brk id="39" max="9" man="1"/>
    <brk id="82" max="9" man="1"/>
    <brk id="118" max="9" man="1"/>
    <brk id="162" max="9" man="1"/>
    <brk id="206" max="9" man="1"/>
    <brk id="247" max="9" man="1"/>
    <brk id="285" max="9" man="1"/>
    <brk id="319" max="9" man="1"/>
    <brk id="358" max="9" man="1"/>
    <brk id="401" max="9" man="1"/>
    <brk id="442" max="9" man="1"/>
    <brk id="56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I49"/>
  <sheetViews>
    <sheetView topLeftCell="D60" zoomScale="160" zoomScaleNormal="160" workbookViewId="0">
      <selection sqref="A1:N69"/>
    </sheetView>
  </sheetViews>
  <sheetFormatPr defaultRowHeight="12.75"/>
  <cols>
    <col min="1" max="1" width="9.140625" style="112"/>
    <col min="2" max="2" width="4.7109375" style="112" customWidth="1"/>
    <col min="3" max="3" width="22.28515625" style="112" customWidth="1"/>
    <col min="4" max="6" width="9.5703125" style="112" customWidth="1"/>
    <col min="7" max="7" width="9.85546875" style="112" customWidth="1"/>
    <col min="8" max="8" width="2.42578125" style="112" customWidth="1"/>
    <col min="9" max="13" width="9.140625" style="112"/>
    <col min="14" max="14" width="12.85546875" style="112" customWidth="1"/>
    <col min="15" max="16384" width="9.140625" style="112"/>
  </cols>
  <sheetData>
    <row r="1" spans="1:9">
      <c r="A1" s="101" t="s">
        <v>275</v>
      </c>
    </row>
    <row r="2" spans="1:9">
      <c r="A2" s="77" t="str">
        <f>'BGS Cost &amp; Bid Factors'!M1&amp;" BGS Auction"</f>
        <v>2012 BGS Auction</v>
      </c>
    </row>
    <row r="4" spans="1:9" s="89" customFormat="1">
      <c r="A4" s="77" t="s">
        <v>319</v>
      </c>
      <c r="B4" s="77" t="s">
        <v>258</v>
      </c>
    </row>
    <row r="5" spans="1:9" s="89" customFormat="1" ht="11.25"/>
    <row r="6" spans="1:9" s="89" customFormat="1" ht="11.25">
      <c r="D6" s="87">
        <v>2010</v>
      </c>
      <c r="E6" s="87">
        <v>2011</v>
      </c>
      <c r="F6" s="87">
        <v>2012</v>
      </c>
    </row>
    <row r="7" spans="1:9" s="89" customFormat="1" ht="11.25">
      <c r="D7" s="87" t="s">
        <v>273</v>
      </c>
      <c r="E7" s="87" t="s">
        <v>273</v>
      </c>
      <c r="F7" s="87" t="s">
        <v>273</v>
      </c>
    </row>
    <row r="8" spans="1:9" s="89" customFormat="1" ht="11.25">
      <c r="B8" s="88" t="s">
        <v>276</v>
      </c>
      <c r="C8" s="88" t="s">
        <v>277</v>
      </c>
      <c r="D8" s="248" t="s">
        <v>259</v>
      </c>
      <c r="E8" s="248" t="s">
        <v>259</v>
      </c>
      <c r="F8" s="248" t="s">
        <v>259</v>
      </c>
      <c r="G8" s="249" t="s">
        <v>12</v>
      </c>
      <c r="I8" s="88" t="s">
        <v>278</v>
      </c>
    </row>
    <row r="9" spans="1:9" s="89" customFormat="1" ht="11.25">
      <c r="B9" s="87">
        <v>1</v>
      </c>
      <c r="C9" s="89" t="s">
        <v>260</v>
      </c>
      <c r="D9" s="59">
        <v>1</v>
      </c>
      <c r="E9" s="59">
        <v>2</v>
      </c>
      <c r="F9" s="59">
        <v>1</v>
      </c>
      <c r="G9" s="89">
        <f>SUM(D9:F9)</f>
        <v>4</v>
      </c>
      <c r="I9" s="89" t="s">
        <v>279</v>
      </c>
    </row>
    <row r="10" spans="1:9" s="89" customFormat="1" ht="11.25">
      <c r="B10" s="87">
        <v>2</v>
      </c>
      <c r="C10" s="250" t="s">
        <v>340</v>
      </c>
      <c r="D10" s="60">
        <v>10.332000000000001</v>
      </c>
      <c r="E10" s="60">
        <v>10.683999999999999</v>
      </c>
      <c r="F10" s="247">
        <f>E10</f>
        <v>10.683999999999999</v>
      </c>
      <c r="I10" s="89" t="str">
        <f>"Winning Bids.   Note: "&amp;TEXT(F10,"0.000¢")&amp;" for " &amp;TEXT(F6,0) &amp;" auction is simply illustrative"</f>
        <v>Winning Bids.   Note: 10.684¢ for 2012 auction is simply illustrative</v>
      </c>
    </row>
    <row r="11" spans="1:9" s="89" customFormat="1" ht="11.25">
      <c r="B11" s="87">
        <v>3</v>
      </c>
      <c r="C11" s="250" t="s">
        <v>286</v>
      </c>
      <c r="D11" s="60">
        <f>F11</f>
        <v>0.94044145233566356</v>
      </c>
      <c r="E11" s="60">
        <f>F11</f>
        <v>0.94044145233566356</v>
      </c>
      <c r="F11" s="60">
        <f>'BGS Cost &amp; Bid Factors'!M468/10</f>
        <v>0.94044145233566356</v>
      </c>
      <c r="I11" s="89" t="s">
        <v>280</v>
      </c>
    </row>
    <row r="12" spans="1:9" s="89" customFormat="1" ht="11.25">
      <c r="B12" s="87">
        <v>4</v>
      </c>
      <c r="C12" s="250" t="s">
        <v>287</v>
      </c>
      <c r="D12" s="60">
        <f>D10-D11</f>
        <v>9.3915585476643368</v>
      </c>
      <c r="E12" s="60">
        <f>E10-E11</f>
        <v>9.7435585476643354</v>
      </c>
      <c r="F12" s="60">
        <f>F10-F11</f>
        <v>9.7435585476643354</v>
      </c>
      <c r="G12" s="251"/>
      <c r="I12" s="250" t="s">
        <v>281</v>
      </c>
    </row>
    <row r="13" spans="1:9" s="89" customFormat="1" ht="11.25">
      <c r="B13" s="87">
        <v>5</v>
      </c>
      <c r="C13" s="250" t="s">
        <v>264</v>
      </c>
      <c r="D13" s="60">
        <f>D9/$G$9*D12</f>
        <v>2.3478896369160842</v>
      </c>
      <c r="E13" s="60">
        <f>E9/$G$9*E12</f>
        <v>4.8717792738321677</v>
      </c>
      <c r="F13" s="60">
        <f>F9/$G$9*F12</f>
        <v>2.4358896369160838</v>
      </c>
      <c r="G13" s="251">
        <f>SUM(D13:F13)</f>
        <v>9.6555585476643362</v>
      </c>
      <c r="I13" s="250" t="s">
        <v>282</v>
      </c>
    </row>
    <row r="14" spans="1:9" s="89" customFormat="1" ht="11.25">
      <c r="B14" s="87">
        <v>6</v>
      </c>
      <c r="C14" s="250" t="s">
        <v>265</v>
      </c>
      <c r="D14" s="60">
        <f>D9/$G$9*D11</f>
        <v>0.23511036308391589</v>
      </c>
      <c r="E14" s="60">
        <f>E9/$G$9*E11</f>
        <v>0.47022072616783178</v>
      </c>
      <c r="F14" s="60">
        <f>F9/$G$9*F11</f>
        <v>0.23511036308391589</v>
      </c>
      <c r="G14" s="251">
        <f>SUM(D14:F14)</f>
        <v>0.94044145233566356</v>
      </c>
      <c r="I14" s="250" t="s">
        <v>283</v>
      </c>
    </row>
    <row r="15" spans="1:9" s="89" customFormat="1" ht="11.25">
      <c r="B15" s="87">
        <v>7</v>
      </c>
      <c r="C15" s="250" t="s">
        <v>288</v>
      </c>
      <c r="G15" s="252">
        <f>G13+G14</f>
        <v>10.596</v>
      </c>
    </row>
    <row r="16" spans="1:9" s="89" customFormat="1" ht="11.25">
      <c r="B16" s="87"/>
    </row>
    <row r="17" spans="2:9" s="89" customFormat="1" ht="11.25">
      <c r="B17" s="87"/>
      <c r="C17" s="88" t="s">
        <v>285</v>
      </c>
    </row>
    <row r="18" spans="2:9" s="89" customFormat="1" ht="11.25">
      <c r="B18" s="87">
        <v>8</v>
      </c>
      <c r="C18" s="253" t="s">
        <v>267</v>
      </c>
      <c r="D18" s="246">
        <v>1</v>
      </c>
      <c r="E18" s="246">
        <v>1</v>
      </c>
      <c r="F18" s="246">
        <v>1</v>
      </c>
      <c r="G18" s="89" t="s">
        <v>352</v>
      </c>
      <c r="I18" s="250" t="s">
        <v>284</v>
      </c>
    </row>
    <row r="19" spans="2:9" s="89" customFormat="1" ht="11.25">
      <c r="B19" s="87">
        <v>9</v>
      </c>
      <c r="C19" s="253" t="s">
        <v>268</v>
      </c>
      <c r="D19" s="246">
        <v>1</v>
      </c>
      <c r="E19" s="246">
        <v>1</v>
      </c>
      <c r="F19" s="246">
        <v>1</v>
      </c>
      <c r="G19" s="89" t="s">
        <v>352</v>
      </c>
      <c r="I19" s="250" t="s">
        <v>284</v>
      </c>
    </row>
    <row r="20" spans="2:9" s="89" customFormat="1" ht="11.25">
      <c r="B20" s="87"/>
      <c r="D20" s="246"/>
      <c r="E20" s="246"/>
      <c r="F20" s="246"/>
    </row>
    <row r="21" spans="2:9" s="89" customFormat="1" ht="11.25">
      <c r="B21" s="87"/>
      <c r="C21" s="88" t="s">
        <v>341</v>
      </c>
      <c r="F21" s="87" t="s">
        <v>317</v>
      </c>
    </row>
    <row r="22" spans="2:9" s="89" customFormat="1" ht="11.25">
      <c r="B22" s="87">
        <v>10</v>
      </c>
      <c r="C22" s="254" t="s">
        <v>269</v>
      </c>
      <c r="D22" s="78">
        <v>528780.73381016066</v>
      </c>
      <c r="I22" s="250" t="s">
        <v>284</v>
      </c>
    </row>
    <row r="23" spans="2:9" s="89" customFormat="1" ht="11.25">
      <c r="B23" s="87">
        <v>11</v>
      </c>
      <c r="C23" s="254" t="s">
        <v>270</v>
      </c>
      <c r="D23" s="79">
        <v>816940.25260541332</v>
      </c>
      <c r="I23" s="250" t="s">
        <v>284</v>
      </c>
    </row>
    <row r="24" spans="2:9" s="89" customFormat="1" ht="11.25">
      <c r="B24" s="87">
        <v>12</v>
      </c>
      <c r="D24" s="78">
        <f>SUM(D22:D23)</f>
        <v>1345720.9864155739</v>
      </c>
    </row>
    <row r="25" spans="2:9" s="89" customFormat="1" ht="11.25">
      <c r="B25" s="87"/>
    </row>
    <row r="26" spans="2:9" s="89" customFormat="1" ht="11.25">
      <c r="B26" s="87"/>
      <c r="C26" s="88" t="s">
        <v>271</v>
      </c>
    </row>
    <row r="27" spans="2:9" s="89" customFormat="1" ht="11.25">
      <c r="B27" s="87">
        <v>13</v>
      </c>
      <c r="C27" s="254" t="s">
        <v>47</v>
      </c>
      <c r="D27" s="78">
        <f>ROUND(D$9/$G$9*D$10/100*D$18*$D$22*1000,0)</f>
        <v>13658406</v>
      </c>
      <c r="E27" s="78">
        <f>ROUND(E$9/$G$9*E$10/100*E$18*$D$22*1000,0)</f>
        <v>28247467</v>
      </c>
      <c r="F27" s="78">
        <f>ROUND(F$9/$G$9*F$10/100*F$18*$D$22*1000,0)</f>
        <v>14123733</v>
      </c>
      <c r="G27" s="78">
        <f>SUM(D27:F27)</f>
        <v>56029606</v>
      </c>
      <c r="I27" s="250" t="s">
        <v>291</v>
      </c>
    </row>
    <row r="28" spans="2:9" s="89" customFormat="1" ht="11.25">
      <c r="B28" s="87">
        <v>14</v>
      </c>
      <c r="C28" s="254" t="s">
        <v>48</v>
      </c>
      <c r="D28" s="79">
        <f>ROUND(D$9/$G$9*D$10/100*D$19*$D$23*1000,0)</f>
        <v>21101567</v>
      </c>
      <c r="E28" s="79">
        <f>ROUND(E$9/$G$9*E$10/100*E$19*$D$23*1000,0)</f>
        <v>43640948</v>
      </c>
      <c r="F28" s="79">
        <f>ROUND(F$9/$G$9*F$10/100*F$19*$D$23*1000,0)</f>
        <v>21820474</v>
      </c>
      <c r="G28" s="79">
        <f>SUM(D28:F28)</f>
        <v>86562989</v>
      </c>
      <c r="I28" s="250" t="s">
        <v>292</v>
      </c>
    </row>
    <row r="29" spans="2:9" s="89" customFormat="1" ht="11.25">
      <c r="B29" s="87">
        <v>15</v>
      </c>
      <c r="C29" s="254" t="s">
        <v>12</v>
      </c>
      <c r="D29" s="78">
        <f>SUM(D27:D28)</f>
        <v>34759973</v>
      </c>
      <c r="E29" s="78">
        <f>SUM(E27:E28)</f>
        <v>71888415</v>
      </c>
      <c r="F29" s="78">
        <f>SUM(F27:F28)</f>
        <v>35944207</v>
      </c>
      <c r="G29" s="78">
        <f>SUM(G27:G28)</f>
        <v>142592595</v>
      </c>
      <c r="I29" s="250" t="s">
        <v>289</v>
      </c>
    </row>
    <row r="30" spans="2:9" s="89" customFormat="1" ht="11.25">
      <c r="B30" s="87"/>
    </row>
    <row r="31" spans="2:9" s="89" customFormat="1" ht="11.25">
      <c r="B31" s="87"/>
      <c r="C31" s="255" t="s">
        <v>290</v>
      </c>
    </row>
    <row r="32" spans="2:9" s="89" customFormat="1" ht="11.25">
      <c r="B32" s="87">
        <v>16</v>
      </c>
      <c r="C32" s="254" t="s">
        <v>47</v>
      </c>
      <c r="D32" s="251">
        <f>ROUND(G27/D22/1000*100,3)</f>
        <v>10.596</v>
      </c>
      <c r="E32" s="89" t="s">
        <v>205</v>
      </c>
      <c r="I32" s="250" t="s">
        <v>293</v>
      </c>
    </row>
    <row r="33" spans="2:9" s="89" customFormat="1" ht="11.25">
      <c r="B33" s="87">
        <v>17</v>
      </c>
      <c r="C33" s="254" t="s">
        <v>48</v>
      </c>
      <c r="D33" s="251">
        <f>ROUND(G28/D23/1000*100,3)</f>
        <v>10.596</v>
      </c>
      <c r="E33" s="89" t="s">
        <v>205</v>
      </c>
      <c r="I33" s="250" t="s">
        <v>294</v>
      </c>
    </row>
    <row r="34" spans="2:9" s="89" customFormat="1" ht="11.25">
      <c r="B34" s="87">
        <v>18</v>
      </c>
      <c r="C34" s="254" t="s">
        <v>12</v>
      </c>
      <c r="D34" s="252">
        <f>ROUND(G29/D24/1000*100,3)</f>
        <v>10.596</v>
      </c>
      <c r="E34" s="89" t="s">
        <v>205</v>
      </c>
      <c r="I34" s="250" t="s">
        <v>295</v>
      </c>
    </row>
    <row r="35" spans="2:9" s="89" customFormat="1" ht="11.25">
      <c r="B35" s="87"/>
      <c r="C35" s="78"/>
    </row>
    <row r="36" spans="2:9" s="89" customFormat="1" ht="11.25">
      <c r="B36" s="87"/>
      <c r="C36" s="88" t="s">
        <v>296</v>
      </c>
    </row>
    <row r="37" spans="2:9" s="89" customFormat="1" ht="11.25">
      <c r="B37" s="87"/>
      <c r="D37" s="254" t="s">
        <v>263</v>
      </c>
      <c r="E37" s="254" t="s">
        <v>272</v>
      </c>
    </row>
    <row r="38" spans="2:9" s="89" customFormat="1" ht="11.25">
      <c r="B38" s="87"/>
      <c r="D38" s="249" t="s">
        <v>273</v>
      </c>
      <c r="E38" s="249" t="s">
        <v>274</v>
      </c>
      <c r="F38" s="256"/>
      <c r="G38" s="249" t="s">
        <v>12</v>
      </c>
    </row>
    <row r="39" spans="2:9" s="89" customFormat="1" ht="11.25">
      <c r="B39" s="87">
        <v>19</v>
      </c>
      <c r="C39" s="89" t="s">
        <v>260</v>
      </c>
      <c r="D39" s="59">
        <v>4</v>
      </c>
      <c r="E39" s="59">
        <f>'BGS Cost &amp; Bid Factors'!M466</f>
        <v>0.42299999999999999</v>
      </c>
      <c r="F39" s="59"/>
      <c r="G39" s="89">
        <f>SUM(D39:E39)</f>
        <v>4.423</v>
      </c>
      <c r="I39" s="89" t="s">
        <v>301</v>
      </c>
    </row>
    <row r="40" spans="2:9" s="89" customFormat="1" ht="11.25">
      <c r="B40" s="87">
        <v>20</v>
      </c>
      <c r="C40" s="89" t="s">
        <v>261</v>
      </c>
      <c r="D40" s="60">
        <f>D34</f>
        <v>10.596</v>
      </c>
      <c r="E40" s="60">
        <v>8.5950000000000006</v>
      </c>
      <c r="F40" s="60"/>
      <c r="I40" s="89" t="str">
        <f>"BGS Auction from (18).  Note: " &amp;TEXT(E40,"0.000¢") &amp;" for RFP is illustrative."</f>
        <v>BGS Auction from (18).  Note: 8.595¢ for RFP is illustrative.</v>
      </c>
    </row>
    <row r="41" spans="2:9" s="89" customFormat="1" ht="11.25">
      <c r="B41" s="87"/>
      <c r="D41" s="60"/>
      <c r="E41" s="247"/>
      <c r="F41" s="60"/>
      <c r="I41" s="89" t="s">
        <v>320</v>
      </c>
    </row>
    <row r="42" spans="2:9" s="89" customFormat="1" ht="11.25">
      <c r="B42" s="87">
        <v>21</v>
      </c>
      <c r="C42" s="89" t="s">
        <v>262</v>
      </c>
      <c r="D42" s="60">
        <f>F11</f>
        <v>0.94044145233566356</v>
      </c>
      <c r="E42" s="59">
        <v>0</v>
      </c>
      <c r="F42" s="59"/>
    </row>
    <row r="43" spans="2:9" s="89" customFormat="1" ht="11.25">
      <c r="B43" s="87">
        <v>22</v>
      </c>
      <c r="C43" s="89" t="s">
        <v>263</v>
      </c>
      <c r="D43" s="60">
        <f>D40-D42</f>
        <v>9.6555585476643362</v>
      </c>
      <c r="E43" s="59">
        <f>E40-E42</f>
        <v>8.5950000000000006</v>
      </c>
      <c r="F43" s="59"/>
      <c r="I43" s="250" t="s">
        <v>297</v>
      </c>
    </row>
    <row r="44" spans="2:9" s="89" customFormat="1" ht="11.25">
      <c r="B44" s="87">
        <v>23</v>
      </c>
      <c r="C44" s="250" t="s">
        <v>264</v>
      </c>
      <c r="D44" s="60">
        <f>D39/$G$39*D43</f>
        <v>8.7321352454572327</v>
      </c>
      <c r="E44" s="60">
        <f>E39/$G$39*E43</f>
        <v>0.82199525209134083</v>
      </c>
      <c r="F44" s="60"/>
      <c r="G44" s="251">
        <f>SUM(D44:E44)</f>
        <v>9.5541304975485737</v>
      </c>
      <c r="I44" s="250" t="s">
        <v>298</v>
      </c>
    </row>
    <row r="45" spans="2:9" s="89" customFormat="1" ht="12" thickBot="1">
      <c r="B45" s="87">
        <v>24</v>
      </c>
      <c r="C45" s="250" t="s">
        <v>265</v>
      </c>
      <c r="D45" s="60">
        <f>D39/$G$39*D42</f>
        <v>0.85050097430310967</v>
      </c>
      <c r="E45" s="60">
        <f>E39/$G$39*E42</f>
        <v>0</v>
      </c>
      <c r="F45" s="60"/>
      <c r="G45" s="251">
        <f>SUM(D45:E45)</f>
        <v>0.85050097430310967</v>
      </c>
      <c r="I45" s="250" t="s">
        <v>299</v>
      </c>
    </row>
    <row r="46" spans="2:9" s="89" customFormat="1" ht="12" thickBot="1">
      <c r="B46" s="87">
        <v>25</v>
      </c>
      <c r="C46" s="257" t="s">
        <v>266</v>
      </c>
      <c r="G46" s="82">
        <f>ROUND(G44+G45,3)</f>
        <v>10.404999999999999</v>
      </c>
      <c r="I46" s="250" t="s">
        <v>300</v>
      </c>
    </row>
    <row r="48" spans="2:9">
      <c r="C48" s="258" t="s">
        <v>353</v>
      </c>
    </row>
    <row r="49" spans="3:3">
      <c r="C49" s="258" t="s">
        <v>358</v>
      </c>
    </row>
  </sheetData>
  <phoneticPr fontId="0" type="noConversion"/>
  <printOptions horizontalCentered="1"/>
  <pageMargins left="0.5" right="0.5" top="0.5" bottom="0.5" header="0.5" footer="0.5"/>
  <pageSetup scale="98" orientation="landscape" r:id="rId1"/>
  <headerFooter alignWithMargins="0">
    <oddHeader>&amp;R&amp;"Arial,Bold"Attachment C&amp;"Arial,Regular"
Page &amp;P of &amp;N
Revised August 2011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6"/>
  <dimension ref="A1:M228"/>
  <sheetViews>
    <sheetView zoomScaleNormal="100" zoomScaleSheetLayoutView="110" workbookViewId="0">
      <selection activeCell="K51" sqref="K51"/>
    </sheetView>
  </sheetViews>
  <sheetFormatPr defaultRowHeight="12.75"/>
  <cols>
    <col min="1" max="1" width="9.5703125" style="108" customWidth="1"/>
    <col min="2" max="2" width="27.85546875" style="109" customWidth="1"/>
    <col min="3" max="3" width="14.140625" style="109" customWidth="1"/>
    <col min="4" max="5" width="12.7109375" style="109" customWidth="1"/>
    <col min="6" max="7" width="13.42578125" style="109" customWidth="1"/>
    <col min="8" max="8" width="12.7109375" style="109" customWidth="1"/>
    <col min="9" max="9" width="14.85546875" style="109" customWidth="1"/>
    <col min="10" max="10" width="12.7109375" style="109" customWidth="1"/>
    <col min="11" max="11" width="17.28515625" style="109" customWidth="1"/>
    <col min="12" max="12" width="15.140625" style="109" bestFit="1" customWidth="1"/>
    <col min="13" max="13" width="14.85546875" style="109" bestFit="1" customWidth="1"/>
    <col min="14" max="14" width="12" style="109" customWidth="1"/>
    <col min="15" max="15" width="11.140625" style="109" customWidth="1"/>
    <col min="16" max="16" width="9.85546875" style="109" bestFit="1" customWidth="1"/>
    <col min="17" max="17" width="10.42578125" style="109" bestFit="1" customWidth="1"/>
    <col min="18" max="18" width="9.85546875" style="109" bestFit="1" customWidth="1"/>
    <col min="19" max="19" width="10.7109375" style="109" customWidth="1"/>
    <col min="20" max="22" width="11.7109375" style="109" customWidth="1"/>
    <col min="23" max="23" width="9.140625" style="109"/>
    <col min="24" max="24" width="11" style="109" bestFit="1" customWidth="1"/>
    <col min="25" max="16384" width="9.140625" style="109"/>
  </cols>
  <sheetData>
    <row r="1" spans="1:11">
      <c r="A1" s="58" t="s">
        <v>275</v>
      </c>
    </row>
    <row r="2" spans="1:11">
      <c r="A2" s="1" t="str">
        <f>'BGS Cost &amp; Bid Factors'!M1 &amp;" BGS Auction"</f>
        <v>2012 BGS Auction</v>
      </c>
    </row>
    <row r="3" spans="1:11">
      <c r="A3" s="1"/>
    </row>
    <row r="4" spans="1:11">
      <c r="A4" s="1"/>
    </row>
    <row r="6" spans="1:11">
      <c r="A6" s="40" t="s">
        <v>321</v>
      </c>
      <c r="B6" s="86" t="s">
        <v>336</v>
      </c>
      <c r="C6" s="112"/>
      <c r="D6" s="112"/>
      <c r="E6" s="112"/>
      <c r="F6" s="112"/>
      <c r="G6" s="112"/>
      <c r="H6" s="112"/>
    </row>
    <row r="7" spans="1:11">
      <c r="A7" s="19"/>
      <c r="B7" s="183" t="s">
        <v>318</v>
      </c>
    </row>
    <row r="8" spans="1:11">
      <c r="A8" s="10"/>
    </row>
    <row r="9" spans="1:11">
      <c r="A9" s="10"/>
      <c r="B9" s="1" t="s">
        <v>36</v>
      </c>
    </row>
    <row r="10" spans="1:11">
      <c r="A10" s="10"/>
      <c r="B10" s="4" t="s">
        <v>84</v>
      </c>
    </row>
    <row r="11" spans="1:11">
      <c r="A11" s="10"/>
      <c r="B11" s="1"/>
    </row>
    <row r="12" spans="1:11">
      <c r="A12" s="10"/>
      <c r="C12" s="73" t="str">
        <f>'BGS Cost &amp; Bid Factors'!C$6</f>
        <v>SC1</v>
      </c>
      <c r="D12" s="73" t="str">
        <f>'BGS Cost &amp; Bid Factors'!D$6</f>
        <v>SC5</v>
      </c>
      <c r="E12" s="73" t="str">
        <f>'BGS Cost &amp; Bid Factors'!E$6</f>
        <v>SC3</v>
      </c>
      <c r="F12" s="73" t="str">
        <f>'BGS Cost &amp; Bid Factors'!F$6</f>
        <v>SC2 ND</v>
      </c>
      <c r="G12" s="73" t="str">
        <f>'BGS Cost &amp; Bid Factors'!G$6</f>
        <v>SC4</v>
      </c>
      <c r="H12" s="73" t="str">
        <f>'BGS Cost &amp; Bid Factors'!H$6</f>
        <v>SC6</v>
      </c>
    </row>
    <row r="13" spans="1:11">
      <c r="A13" s="10"/>
      <c r="C13" s="106"/>
      <c r="D13" s="106"/>
      <c r="E13" s="106"/>
      <c r="F13" s="106"/>
    </row>
    <row r="14" spans="1:11">
      <c r="A14" s="10"/>
      <c r="B14" s="116" t="s">
        <v>16</v>
      </c>
      <c r="C14" s="47">
        <f>'BGS Cost &amp; Bid Factors'!C327</f>
        <v>1.099</v>
      </c>
      <c r="D14" s="47">
        <f>'BGS Cost &amp; Bid Factors'!D327</f>
        <v>1.0349999999999999</v>
      </c>
      <c r="E14" s="205"/>
      <c r="F14" s="47">
        <f>'BGS Cost &amp; Bid Factors'!F327</f>
        <v>1.0309999999999999</v>
      </c>
      <c r="G14" s="47">
        <f>'BGS Cost &amp; Bid Factors'!G327</f>
        <v>0.71899999999999997</v>
      </c>
      <c r="H14" s="47">
        <f>'BGS Cost &amp; Bid Factors'!H327</f>
        <v>0.71899999999999997</v>
      </c>
      <c r="I14" s="206"/>
      <c r="J14" s="206"/>
      <c r="K14" s="206"/>
    </row>
    <row r="15" spans="1:11">
      <c r="A15" s="10"/>
      <c r="B15" s="158" t="s">
        <v>154</v>
      </c>
      <c r="C15" s="205"/>
      <c r="D15" s="205"/>
      <c r="E15" s="47">
        <f>'BGS Cost &amp; Bid Factors'!E328</f>
        <v>1.4370000000000001</v>
      </c>
      <c r="F15" s="205"/>
      <c r="G15" s="205"/>
      <c r="H15" s="205"/>
      <c r="I15" s="206"/>
      <c r="J15" s="206"/>
      <c r="K15" s="206"/>
    </row>
    <row r="16" spans="1:11">
      <c r="A16" s="10"/>
      <c r="B16" s="158" t="s">
        <v>155</v>
      </c>
      <c r="C16" s="205"/>
      <c r="D16" s="205"/>
      <c r="E16" s="47">
        <f>'BGS Cost &amp; Bid Factors'!E329</f>
        <v>0.69899999999999995</v>
      </c>
      <c r="F16" s="205"/>
      <c r="G16" s="205"/>
      <c r="H16" s="205"/>
      <c r="I16" s="206"/>
      <c r="J16" s="206"/>
      <c r="K16" s="206"/>
    </row>
    <row r="17" spans="1:11">
      <c r="A17" s="10"/>
      <c r="C17" s="205"/>
      <c r="D17" s="205"/>
      <c r="E17" s="205"/>
      <c r="F17" s="205"/>
      <c r="G17" s="205"/>
      <c r="H17" s="205"/>
      <c r="I17" s="206"/>
      <c r="J17" s="206"/>
      <c r="K17" s="206"/>
    </row>
    <row r="18" spans="1:11">
      <c r="A18" s="10"/>
      <c r="B18" s="43"/>
      <c r="E18" s="205"/>
      <c r="F18" s="205"/>
      <c r="G18" s="205"/>
      <c r="H18" s="205"/>
      <c r="I18" s="206"/>
      <c r="J18" s="206"/>
      <c r="K18" s="206"/>
    </row>
    <row r="19" spans="1:11">
      <c r="A19" s="10"/>
      <c r="B19" s="52" t="s">
        <v>221</v>
      </c>
      <c r="C19" s="53">
        <f>'BGS Cost &amp; Bid Factors'!C332</f>
        <v>-8.9149320000000074</v>
      </c>
      <c r="D19" s="53">
        <f>'BGS Cost &amp; Bid Factors'!D332</f>
        <v>-10.297287000000011</v>
      </c>
      <c r="E19" s="205"/>
      <c r="F19" s="205"/>
      <c r="G19" s="205"/>
      <c r="H19" s="205"/>
      <c r="I19" s="206"/>
      <c r="J19" s="206"/>
      <c r="K19" s="206"/>
    </row>
    <row r="20" spans="1:11">
      <c r="A20" s="10"/>
      <c r="B20" s="52" t="s">
        <v>222</v>
      </c>
      <c r="C20" s="53">
        <f>'BGS Cost &amp; Bid Factors'!C333</f>
        <v>2.2650679999999994</v>
      </c>
      <c r="D20" s="53">
        <f>'BGS Cost &amp; Bid Factors'!D333</f>
        <v>0.96271299999999371</v>
      </c>
      <c r="E20" s="205"/>
      <c r="F20" s="205"/>
      <c r="G20" s="205"/>
      <c r="H20" s="205"/>
      <c r="I20" s="206"/>
      <c r="J20" s="206"/>
      <c r="K20" s="206"/>
    </row>
    <row r="21" spans="1:11">
      <c r="A21" s="10"/>
      <c r="B21" s="52" t="s">
        <v>223</v>
      </c>
      <c r="C21" s="207" t="s">
        <v>224</v>
      </c>
      <c r="D21" s="53">
        <f>'BGS Cost &amp; Bid Factors'!D334</f>
        <v>8.5527129999999971</v>
      </c>
      <c r="E21" s="205"/>
      <c r="F21" s="205"/>
      <c r="G21" s="205"/>
      <c r="H21" s="205"/>
      <c r="I21" s="206"/>
      <c r="J21" s="206"/>
      <c r="K21" s="206"/>
    </row>
    <row r="22" spans="1:11">
      <c r="A22" s="10"/>
      <c r="C22" s="205"/>
      <c r="D22" s="205"/>
      <c r="E22" s="205"/>
      <c r="F22" s="205"/>
      <c r="G22" s="205"/>
      <c r="H22" s="205"/>
      <c r="I22" s="206"/>
      <c r="J22" s="206"/>
      <c r="K22" s="206"/>
    </row>
    <row r="23" spans="1:11">
      <c r="A23" s="10"/>
      <c r="B23" s="116" t="s">
        <v>17</v>
      </c>
      <c r="C23" s="47">
        <f>'BGS Cost &amp; Bid Factors'!C336</f>
        <v>1.18</v>
      </c>
      <c r="D23" s="47">
        <f>'BGS Cost &amp; Bid Factors'!D336</f>
        <v>1.0029999999999999</v>
      </c>
      <c r="E23" s="205"/>
      <c r="F23" s="47">
        <f>'BGS Cost &amp; Bid Factors'!F336</f>
        <v>0.96199999999999997</v>
      </c>
      <c r="G23" s="47">
        <f>'BGS Cost &amp; Bid Factors'!G336</f>
        <v>0.74399999999999999</v>
      </c>
      <c r="H23" s="47">
        <f>'BGS Cost &amp; Bid Factors'!H336</f>
        <v>0.74</v>
      </c>
      <c r="I23" s="206"/>
      <c r="J23" s="206"/>
      <c r="K23" s="206"/>
    </row>
    <row r="24" spans="1:11">
      <c r="A24" s="10"/>
      <c r="B24" s="158" t="s">
        <v>154</v>
      </c>
      <c r="C24" s="205"/>
      <c r="D24" s="205"/>
      <c r="E24" s="47">
        <f>'BGS Cost &amp; Bid Factors'!E337</f>
        <v>1.375</v>
      </c>
      <c r="F24" s="205"/>
      <c r="G24" s="205"/>
      <c r="H24" s="205"/>
      <c r="I24" s="206"/>
      <c r="J24" s="206"/>
      <c r="K24" s="206"/>
    </row>
    <row r="25" spans="1:11">
      <c r="A25" s="10"/>
      <c r="B25" s="158" t="s">
        <v>155</v>
      </c>
      <c r="C25" s="205"/>
      <c r="D25" s="205"/>
      <c r="E25" s="47">
        <f>'BGS Cost &amp; Bid Factors'!E338</f>
        <v>0.72199999999999998</v>
      </c>
      <c r="F25" s="205"/>
      <c r="G25" s="205"/>
      <c r="H25" s="205"/>
      <c r="I25" s="206"/>
      <c r="J25" s="206"/>
      <c r="K25" s="206"/>
    </row>
    <row r="26" spans="1:11">
      <c r="A26" s="10"/>
      <c r="C26" s="206"/>
      <c r="D26" s="206"/>
      <c r="E26" s="206"/>
      <c r="F26" s="206"/>
      <c r="G26" s="206"/>
      <c r="H26" s="206"/>
      <c r="I26" s="206"/>
      <c r="J26" s="206"/>
      <c r="K26" s="206"/>
    </row>
    <row r="27" spans="1:11">
      <c r="A27" s="10"/>
      <c r="B27" s="109" t="s">
        <v>108</v>
      </c>
      <c r="C27" s="259">
        <f>'BGS Cost &amp; Bid Factors'!C340</f>
        <v>1.1459999999999999</v>
      </c>
      <c r="D27" s="259">
        <f>'BGS Cost &amp; Bid Factors'!D340</f>
        <v>1.014</v>
      </c>
      <c r="E27" s="259">
        <f>'BGS Cost &amp; Bid Factors'!E340</f>
        <v>0.95899999999999996</v>
      </c>
      <c r="F27" s="259">
        <f>'BGS Cost &amp; Bid Factors'!F340</f>
        <v>0.98278170720336866</v>
      </c>
      <c r="G27" s="259">
        <f>'BGS Cost &amp; Bid Factors'!G340</f>
        <v>0.73699999999999999</v>
      </c>
      <c r="H27" s="259">
        <f>'BGS Cost &amp; Bid Factors'!H340</f>
        <v>0.73399999999999999</v>
      </c>
      <c r="I27" s="206"/>
      <c r="J27" s="206"/>
      <c r="K27" s="206"/>
    </row>
    <row r="28" spans="1:11">
      <c r="A28" s="10"/>
    </row>
    <row r="29" spans="1:11">
      <c r="A29" s="10"/>
    </row>
    <row r="30" spans="1:11">
      <c r="A30" s="10"/>
      <c r="B30" s="1" t="s">
        <v>25</v>
      </c>
    </row>
    <row r="31" spans="1:11">
      <c r="A31" s="10"/>
      <c r="B31" s="4" t="s">
        <v>85</v>
      </c>
    </row>
    <row r="32" spans="1:11">
      <c r="A32" s="10"/>
    </row>
    <row r="33" spans="1:13">
      <c r="A33" s="10"/>
      <c r="C33" s="32" t="str">
        <f>'BGS Cost &amp; Bid Factors'!I6</f>
        <v>SC2 Dem</v>
      </c>
      <c r="D33" s="32" t="str">
        <f>+C33</f>
        <v>SC2 Dem</v>
      </c>
      <c r="E33" s="106"/>
      <c r="F33" s="106"/>
      <c r="G33" s="24" t="s">
        <v>24</v>
      </c>
    </row>
    <row r="34" spans="1:13">
      <c r="A34" s="10"/>
      <c r="C34" s="73" t="s">
        <v>117</v>
      </c>
      <c r="D34" s="74" t="s">
        <v>118</v>
      </c>
      <c r="E34" s="106"/>
      <c r="F34" s="106"/>
      <c r="G34" s="142"/>
    </row>
    <row r="35" spans="1:13">
      <c r="A35" s="10"/>
      <c r="B35" s="116" t="s">
        <v>16</v>
      </c>
      <c r="C35" s="46">
        <f>'BGS Cost &amp; Bid Factors'!C348</f>
        <v>0.99299999999999999</v>
      </c>
      <c r="D35" s="46">
        <f>'BGS Cost &amp; Bid Factors'!D348</f>
        <v>-12.647597451188886</v>
      </c>
      <c r="F35" s="210"/>
      <c r="G35" s="33" t="s">
        <v>173</v>
      </c>
    </row>
    <row r="36" spans="1:13">
      <c r="A36" s="10"/>
      <c r="B36" s="158"/>
      <c r="C36" s="208"/>
      <c r="D36" s="49"/>
      <c r="E36" s="12"/>
      <c r="F36" s="16"/>
      <c r="G36" s="142"/>
    </row>
    <row r="37" spans="1:13">
      <c r="A37" s="10"/>
      <c r="B37" s="158"/>
      <c r="C37" s="208"/>
      <c r="D37" s="49"/>
      <c r="E37" s="12"/>
      <c r="F37" s="16"/>
      <c r="G37" s="142"/>
      <c r="H37" s="73" t="str">
        <f>C33</f>
        <v>SC2 Dem</v>
      </c>
      <c r="I37" s="32"/>
    </row>
    <row r="38" spans="1:13">
      <c r="A38" s="10"/>
      <c r="C38" s="208"/>
      <c r="D38" s="49"/>
      <c r="E38" s="205"/>
      <c r="F38" s="16"/>
      <c r="G38" s="142"/>
    </row>
    <row r="39" spans="1:13">
      <c r="A39" s="10"/>
      <c r="B39" s="116" t="s">
        <v>17</v>
      </c>
      <c r="C39" s="46">
        <f>'BGS Cost &amp; Bid Factors'!C352</f>
        <v>0.98699999999999999</v>
      </c>
      <c r="D39" s="46">
        <f>'BGS Cost &amp; Bid Factors'!D352</f>
        <v>-14.757601800466659</v>
      </c>
      <c r="E39" s="12"/>
      <c r="F39" s="16"/>
      <c r="G39" s="212" t="s">
        <v>42</v>
      </c>
      <c r="H39" s="213">
        <f>'BGS Cost &amp; Bid Factors'!H352</f>
        <v>4.7759999999999998</v>
      </c>
      <c r="I39" s="168"/>
    </row>
    <row r="40" spans="1:13">
      <c r="A40" s="10"/>
      <c r="B40" s="158"/>
      <c r="C40" s="208"/>
      <c r="D40" s="215"/>
      <c r="E40" s="12"/>
      <c r="F40" s="16"/>
      <c r="G40" s="212" t="s">
        <v>43</v>
      </c>
      <c r="H40" s="213">
        <f>'BGS Cost &amp; Bid Factors'!H353</f>
        <v>5.2990000000000004</v>
      </c>
      <c r="I40" s="168"/>
    </row>
    <row r="41" spans="1:13">
      <c r="A41" s="10"/>
      <c r="B41" s="158"/>
      <c r="C41" s="208"/>
      <c r="D41" s="215"/>
      <c r="E41" s="12"/>
      <c r="F41" s="16"/>
      <c r="G41" s="212"/>
      <c r="H41" s="168"/>
      <c r="I41" s="180"/>
    </row>
    <row r="42" spans="1:13">
      <c r="A42" s="10"/>
      <c r="C42" s="209"/>
      <c r="D42" s="215"/>
      <c r="E42" s="206"/>
      <c r="G42" s="25"/>
    </row>
    <row r="43" spans="1:13">
      <c r="A43" s="10"/>
      <c r="B43" s="109" t="s">
        <v>104</v>
      </c>
      <c r="C43" s="46">
        <f>'BGS Cost &amp; Bid Factors'!C356</f>
        <v>0.98899999999999999</v>
      </c>
      <c r="D43" s="215"/>
      <c r="E43" s="206"/>
      <c r="G43" s="212"/>
      <c r="H43" s="168"/>
      <c r="I43" s="180"/>
    </row>
    <row r="44" spans="1:13">
      <c r="A44" s="10"/>
    </row>
    <row r="46" spans="1:13">
      <c r="A46" s="40" t="s">
        <v>322</v>
      </c>
      <c r="B46" s="20" t="s">
        <v>302</v>
      </c>
    </row>
    <row r="48" spans="1:13">
      <c r="B48" s="260" t="s">
        <v>345</v>
      </c>
      <c r="C48" s="112"/>
      <c r="D48" s="261">
        <f>'Weighted Avg Price Calc'!G46*10</f>
        <v>104.05</v>
      </c>
      <c r="E48" s="183" t="s">
        <v>331</v>
      </c>
      <c r="F48" s="183" t="s">
        <v>333</v>
      </c>
      <c r="K48" s="267" t="s">
        <v>250</v>
      </c>
      <c r="L48" s="268">
        <f>'BGS Cost &amp; Bid Factors'!M464</f>
        <v>42.1</v>
      </c>
      <c r="M48" s="269"/>
    </row>
    <row r="49" spans="2:13">
      <c r="B49" s="108" t="s">
        <v>180</v>
      </c>
      <c r="D49" s="34">
        <f>-L54</f>
        <v>-8.5044145233566351</v>
      </c>
      <c r="E49" s="183" t="s">
        <v>332</v>
      </c>
      <c r="F49" s="109" t="s">
        <v>247</v>
      </c>
      <c r="K49" s="267" t="s">
        <v>249</v>
      </c>
      <c r="L49" s="268">
        <f>'BGS Cost &amp; Bid Factors'!M465</f>
        <v>99.55</v>
      </c>
      <c r="M49" s="269"/>
    </row>
    <row r="50" spans="2:13">
      <c r="B50" s="108" t="s">
        <v>181</v>
      </c>
      <c r="D50" s="210">
        <f>D48+D49</f>
        <v>95.545585476643367</v>
      </c>
      <c r="E50" s="183" t="s">
        <v>179</v>
      </c>
      <c r="F50" s="109" t="str">
        <f>"** RECO average transmission rate of "&amp;TEXT(L52,"0.00")&amp;" minus"</f>
        <v>** RECO average transmission rate of 9.40 minus</v>
      </c>
      <c r="K50" s="267" t="s">
        <v>251</v>
      </c>
      <c r="L50" s="269">
        <f>ROUND(L48/L49,3)</f>
        <v>0.42299999999999999</v>
      </c>
      <c r="M50" s="269"/>
    </row>
    <row r="51" spans="2:13">
      <c r="F51" s="109" t="s">
        <v>248</v>
      </c>
      <c r="K51" s="269"/>
      <c r="L51" s="270"/>
      <c r="M51" s="269"/>
    </row>
    <row r="52" spans="2:13">
      <c r="D52" s="38"/>
      <c r="F52" s="109" t="str">
        <f>"average rate "&amp;TEXT(L50,"0.000")&amp;"/"&amp;TEXT(4+L50,"0.000")&amp;" *$"&amp;TEXT(L52,"0.00")&amp;" per MWh)."</f>
        <v>average rate 0.423/4.423 *$9.40 per MWh).</v>
      </c>
      <c r="I52" s="262">
        <f>ROUND(L50/(4+L50)*L52,2)</f>
        <v>0.9</v>
      </c>
      <c r="K52" s="267" t="s">
        <v>252</v>
      </c>
      <c r="L52" s="270">
        <f>'BGS Cost &amp; Bid Factors'!D223-'BGS Cost &amp; Bid Factors'!D318</f>
        <v>9.4044145233566354</v>
      </c>
      <c r="M52" s="269" t="s">
        <v>255</v>
      </c>
    </row>
    <row r="53" spans="2:13">
      <c r="B53" s="31" t="s">
        <v>198</v>
      </c>
      <c r="K53" s="267" t="s">
        <v>253</v>
      </c>
      <c r="L53" s="270">
        <f>I52</f>
        <v>0.9</v>
      </c>
      <c r="M53" s="269" t="s">
        <v>255</v>
      </c>
    </row>
    <row r="54" spans="2:13">
      <c r="K54" s="267" t="s">
        <v>254</v>
      </c>
      <c r="L54" s="271">
        <f>L52-L53</f>
        <v>8.5044145233566351</v>
      </c>
      <c r="M54" s="269" t="s">
        <v>255</v>
      </c>
    </row>
    <row r="55" spans="2:13">
      <c r="C55" s="73" t="str">
        <f>'BGS Cost &amp; Bid Factors'!C$6</f>
        <v>SC1</v>
      </c>
      <c r="D55" s="73" t="str">
        <f>'BGS Cost &amp; Bid Factors'!D$6</f>
        <v>SC5</v>
      </c>
      <c r="E55" s="73" t="str">
        <f>'BGS Cost &amp; Bid Factors'!E$6</f>
        <v>SC3</v>
      </c>
      <c r="F55" s="73" t="str">
        <f>'BGS Cost &amp; Bid Factors'!F$6</f>
        <v>SC2 ND</v>
      </c>
      <c r="G55" s="73" t="str">
        <f>'BGS Cost &amp; Bid Factors'!G$6</f>
        <v>SC4</v>
      </c>
      <c r="H55" s="73" t="str">
        <f>'BGS Cost &amp; Bid Factors'!H$6</f>
        <v>SC6</v>
      </c>
      <c r="I55" s="73" t="str">
        <f>'BGS Cost &amp; Bid Factors'!I$6</f>
        <v>SC2 Dem</v>
      </c>
      <c r="J55" s="106"/>
    </row>
    <row r="56" spans="2:13">
      <c r="B56" s="22" t="s">
        <v>47</v>
      </c>
    </row>
    <row r="57" spans="2:13">
      <c r="B57" s="178" t="s">
        <v>184</v>
      </c>
      <c r="C57" s="241">
        <f>ROUND(($D$50*C14)/10,3)</f>
        <v>10.5</v>
      </c>
      <c r="D57" s="241">
        <f>ROUND(($D$50*D14)/10,3)</f>
        <v>9.8889999999999993</v>
      </c>
      <c r="E57" s="190"/>
      <c r="F57" s="190">
        <f>ROUND(F14*$D$50/10,3)</f>
        <v>9.8510000000000009</v>
      </c>
      <c r="G57" s="190">
        <f>ROUND(G14*$D$50/10,3)</f>
        <v>6.87</v>
      </c>
      <c r="H57" s="190">
        <f>ROUND(H14*$D$50/10,3)</f>
        <v>6.87</v>
      </c>
      <c r="I57" s="190">
        <f>ROUND((C35*$D$50+D35)/10,3)</f>
        <v>8.2230000000000008</v>
      </c>
      <c r="J57" s="190"/>
    </row>
    <row r="58" spans="2:13">
      <c r="B58" s="178" t="s">
        <v>185</v>
      </c>
      <c r="C58" s="190"/>
      <c r="D58" s="190"/>
      <c r="E58" s="190">
        <f>ROUND(E15*$D$50/10,3)</f>
        <v>13.73</v>
      </c>
      <c r="F58" s="190"/>
      <c r="G58" s="190"/>
      <c r="H58" s="190"/>
      <c r="I58" s="190"/>
      <c r="J58" s="190"/>
    </row>
    <row r="59" spans="2:13">
      <c r="B59" s="178" t="s">
        <v>186</v>
      </c>
      <c r="C59" s="190"/>
      <c r="D59" s="190"/>
      <c r="E59" s="190">
        <f>ROUND(E16*$D$50/10,3)</f>
        <v>6.6790000000000003</v>
      </c>
      <c r="F59" s="190"/>
      <c r="G59" s="190"/>
      <c r="H59" s="190"/>
      <c r="I59" s="190"/>
      <c r="J59" s="190"/>
    </row>
    <row r="60" spans="2:13">
      <c r="B60" s="130" t="s">
        <v>215</v>
      </c>
      <c r="C60" s="241">
        <f>ROUND(($D$50*C14+C19)/10,3)</f>
        <v>9.609</v>
      </c>
      <c r="D60" s="94">
        <f>ROUND(($D$50*D14+D19)/10,3)</f>
        <v>8.859</v>
      </c>
      <c r="E60" s="190"/>
      <c r="F60" s="190"/>
      <c r="G60" s="190"/>
      <c r="H60" s="190"/>
      <c r="I60" s="190"/>
      <c r="J60" s="190"/>
    </row>
    <row r="61" spans="2:13">
      <c r="B61" s="132" t="s">
        <v>216</v>
      </c>
      <c r="C61" s="94">
        <f>ROUND(($D$50*C14+C20)/10,3)</f>
        <v>10.727</v>
      </c>
      <c r="D61" s="94">
        <f>ROUND(($D$50*D14+D20)/10,3)</f>
        <v>9.9849999999999994</v>
      </c>
      <c r="E61" s="190"/>
      <c r="F61" s="190"/>
      <c r="G61" s="190"/>
      <c r="H61" s="190"/>
      <c r="I61" s="190"/>
      <c r="J61" s="190"/>
    </row>
    <row r="62" spans="2:13">
      <c r="B62" s="132" t="s">
        <v>217</v>
      </c>
      <c r="C62" s="263" t="s">
        <v>224</v>
      </c>
      <c r="D62" s="94">
        <f>ROUND(($D$50*D14+D21)/10,3)</f>
        <v>10.744</v>
      </c>
      <c r="E62" s="190"/>
      <c r="F62" s="190"/>
      <c r="G62" s="190"/>
      <c r="H62" s="190"/>
      <c r="I62" s="190"/>
      <c r="J62" s="190"/>
    </row>
    <row r="63" spans="2:13">
      <c r="C63" s="190"/>
      <c r="D63" s="190"/>
      <c r="E63" s="190"/>
      <c r="F63" s="190"/>
      <c r="G63" s="190"/>
      <c r="H63" s="190"/>
      <c r="I63" s="190"/>
    </row>
    <row r="64" spans="2:13">
      <c r="B64" s="128" t="s">
        <v>183</v>
      </c>
      <c r="C64" s="190"/>
      <c r="D64" s="190"/>
      <c r="E64" s="190"/>
      <c r="F64" s="190"/>
      <c r="G64" s="190"/>
      <c r="H64" s="190"/>
      <c r="I64" s="190">
        <f>H39</f>
        <v>4.7759999999999998</v>
      </c>
      <c r="J64" s="167"/>
    </row>
    <row r="65" spans="1:10">
      <c r="C65" s="190"/>
      <c r="D65" s="190"/>
      <c r="E65" s="190"/>
      <c r="F65" s="190"/>
      <c r="G65" s="190"/>
      <c r="H65" s="190"/>
      <c r="I65" s="190"/>
    </row>
    <row r="66" spans="1:10">
      <c r="B66" s="22" t="s">
        <v>48</v>
      </c>
      <c r="C66" s="190"/>
      <c r="D66" s="190"/>
      <c r="E66" s="190"/>
      <c r="F66" s="190"/>
      <c r="G66" s="190"/>
      <c r="H66" s="190"/>
      <c r="I66" s="190"/>
    </row>
    <row r="67" spans="1:10">
      <c r="B67" s="178" t="s">
        <v>184</v>
      </c>
      <c r="C67" s="190">
        <f>ROUND(C23*$D$50/10,3)</f>
        <v>11.273999999999999</v>
      </c>
      <c r="D67" s="190">
        <f>ROUND(D23*$D$50/10,3)</f>
        <v>9.5830000000000002</v>
      </c>
      <c r="E67" s="190"/>
      <c r="F67" s="190">
        <f>ROUND(F23*$D$50/10,3)</f>
        <v>9.1910000000000007</v>
      </c>
      <c r="G67" s="190">
        <f>ROUND(G23*$D$50/10,3)</f>
        <v>7.109</v>
      </c>
      <c r="H67" s="190">
        <f>ROUND(H23*$D$50/10,3)</f>
        <v>7.07</v>
      </c>
      <c r="I67" s="190">
        <f>ROUND((C39*$D$50+D39)/10,3)</f>
        <v>7.9550000000000001</v>
      </c>
    </row>
    <row r="68" spans="1:10">
      <c r="B68" s="178" t="s">
        <v>185</v>
      </c>
      <c r="C68" s="190"/>
      <c r="D68" s="190"/>
      <c r="E68" s="190">
        <f>ROUND(E24*$D$50/10,3)</f>
        <v>13.138</v>
      </c>
      <c r="F68" s="190"/>
      <c r="G68" s="190"/>
      <c r="H68" s="190"/>
      <c r="I68" s="190"/>
      <c r="J68" s="190"/>
    </row>
    <row r="69" spans="1:10">
      <c r="B69" s="178" t="s">
        <v>186</v>
      </c>
      <c r="C69" s="190"/>
      <c r="D69" s="190"/>
      <c r="E69" s="190">
        <f>ROUND(E25*$D$50/10,3)</f>
        <v>6.8979999999999997</v>
      </c>
      <c r="F69" s="190"/>
      <c r="G69" s="190"/>
      <c r="H69" s="190"/>
      <c r="I69" s="190"/>
      <c r="J69" s="190"/>
    </row>
    <row r="70" spans="1:10">
      <c r="C70" s="190"/>
      <c r="D70" s="190"/>
      <c r="E70" s="190"/>
      <c r="F70" s="190"/>
      <c r="G70" s="190"/>
      <c r="H70" s="190"/>
      <c r="I70" s="190"/>
    </row>
    <row r="71" spans="1:10">
      <c r="B71" s="128" t="s">
        <v>183</v>
      </c>
      <c r="C71" s="190"/>
      <c r="D71" s="190"/>
      <c r="E71" s="190"/>
      <c r="F71" s="190"/>
      <c r="G71" s="190"/>
      <c r="H71" s="190"/>
      <c r="I71" s="190">
        <f>H40</f>
        <v>5.2990000000000004</v>
      </c>
      <c r="J71" s="167"/>
    </row>
    <row r="72" spans="1:10">
      <c r="B72" s="128"/>
      <c r="C72" s="190"/>
      <c r="D72" s="190"/>
      <c r="E72" s="190"/>
      <c r="F72" s="190"/>
      <c r="G72" s="190"/>
      <c r="H72" s="190"/>
      <c r="I72" s="190"/>
      <c r="J72" s="167"/>
    </row>
    <row r="73" spans="1:10">
      <c r="B73" s="128"/>
      <c r="I73" s="167"/>
      <c r="J73" s="167"/>
    </row>
    <row r="74" spans="1:10">
      <c r="A74" s="40" t="s">
        <v>323</v>
      </c>
      <c r="B74" s="20" t="s">
        <v>329</v>
      </c>
      <c r="I74" s="167"/>
      <c r="J74" s="167"/>
    </row>
    <row r="75" spans="1:10">
      <c r="B75" s="128"/>
      <c r="I75" s="167"/>
      <c r="J75" s="167"/>
    </row>
    <row r="76" spans="1:10">
      <c r="C76" s="73" t="str">
        <f>'BGS Cost &amp; Bid Factors'!C$6</f>
        <v>SC1</v>
      </c>
      <c r="D76" s="73" t="str">
        <f>'BGS Cost &amp; Bid Factors'!D$6</f>
        <v>SC5</v>
      </c>
      <c r="E76" s="73" t="str">
        <f>'BGS Cost &amp; Bid Factors'!E$6</f>
        <v>SC3</v>
      </c>
      <c r="F76" s="73" t="str">
        <f>'BGS Cost &amp; Bid Factors'!F$6</f>
        <v>SC2 ND</v>
      </c>
      <c r="G76" s="73" t="str">
        <f>'BGS Cost &amp; Bid Factors'!G$6</f>
        <v>SC4</v>
      </c>
      <c r="H76" s="73" t="str">
        <f>'BGS Cost &amp; Bid Factors'!H$6</f>
        <v>SC6</v>
      </c>
      <c r="I76" s="73" t="str">
        <f>'BGS Cost &amp; Bid Factors'!I$6</f>
        <v>SC2 Dem</v>
      </c>
      <c r="J76" s="167"/>
    </row>
    <row r="77" spans="1:10">
      <c r="B77" s="183" t="s">
        <v>188</v>
      </c>
      <c r="J77" s="167"/>
    </row>
    <row r="78" spans="1:10">
      <c r="B78" s="152" t="s">
        <v>47</v>
      </c>
      <c r="C78" s="179">
        <f>ROUND((C57*'BGS Cost &amp; Bid Factors'!M$48)/100,0)</f>
        <v>32346</v>
      </c>
      <c r="D78" s="179">
        <f>ROUND((D57*'BGS Cost &amp; Bid Factors'!N$48)/100,0)</f>
        <v>545</v>
      </c>
      <c r="E78" s="164">
        <f>ROUND((E58*'BGS Cost &amp; Bid Factors'!O$49+E59*'BGS Cost &amp; Bid Factors'!O$50)/100,0)</f>
        <v>9</v>
      </c>
      <c r="F78" s="179">
        <f>ROUND((F57*'BGS Cost &amp; Bid Factors'!P$48)/100,0)</f>
        <v>1134</v>
      </c>
      <c r="G78" s="179">
        <f>ROUND((G57*'BGS Cost &amp; Bid Factors'!Q$48)/100,0)</f>
        <v>130</v>
      </c>
      <c r="H78" s="179">
        <f>ROUND((H57*'BGS Cost &amp; Bid Factors'!R$48)/100,0)</f>
        <v>118</v>
      </c>
      <c r="I78" s="166">
        <v>20669</v>
      </c>
      <c r="J78" s="167"/>
    </row>
    <row r="79" spans="1:10">
      <c r="B79" s="152" t="s">
        <v>48</v>
      </c>
      <c r="C79" s="61">
        <f>ROUND(C67*'BGS Cost &amp; Bid Factors'!M$44/100,0)</f>
        <v>47733</v>
      </c>
      <c r="D79" s="61">
        <f>ROUND(D67*'BGS Cost &amp; Bid Factors'!N$44/100,0)</f>
        <v>1061</v>
      </c>
      <c r="E79" s="62">
        <f>ROUND((E68*'BGS Cost &amp; Bid Factors'!O$45+E69*'BGS Cost &amp; Bid Factors'!O$46)/100,0)</f>
        <v>16</v>
      </c>
      <c r="F79" s="61">
        <f>ROUND(F67*'BGS Cost &amp; Bid Factors'!P$44/100,0)</f>
        <v>2534</v>
      </c>
      <c r="G79" s="61">
        <f>ROUND(G67*'BGS Cost &amp; Bid Factors'!Q$44/100,0)</f>
        <v>350</v>
      </c>
      <c r="H79" s="61">
        <f>ROUND(H67*'BGS Cost &amp; Bid Factors'!R$44/100,0)</f>
        <v>286</v>
      </c>
      <c r="I79" s="264">
        <v>35210</v>
      </c>
      <c r="J79" s="167"/>
    </row>
    <row r="80" spans="1:10">
      <c r="B80" s="152" t="s">
        <v>12</v>
      </c>
      <c r="C80" s="195">
        <f t="shared" ref="C80:I80" si="0">+C79+C78</f>
        <v>80079</v>
      </c>
      <c r="D80" s="195">
        <f t="shared" si="0"/>
        <v>1606</v>
      </c>
      <c r="E80" s="163">
        <f t="shared" si="0"/>
        <v>25</v>
      </c>
      <c r="F80" s="195">
        <f t="shared" si="0"/>
        <v>3668</v>
      </c>
      <c r="G80" s="195">
        <f t="shared" si="0"/>
        <v>480</v>
      </c>
      <c r="H80" s="195">
        <f t="shared" si="0"/>
        <v>404</v>
      </c>
      <c r="I80" s="195">
        <f t="shared" si="0"/>
        <v>55879</v>
      </c>
      <c r="J80" s="167"/>
    </row>
    <row r="81" spans="1:10">
      <c r="B81" s="152"/>
      <c r="C81" s="195"/>
      <c r="D81" s="195"/>
      <c r="E81" s="163"/>
      <c r="F81" s="163"/>
      <c r="G81" s="163"/>
      <c r="H81" s="163"/>
      <c r="I81" s="163"/>
      <c r="J81" s="167"/>
    </row>
    <row r="82" spans="1:10">
      <c r="B82" s="152" t="s">
        <v>12</v>
      </c>
      <c r="C82" s="195"/>
      <c r="D82" s="195"/>
      <c r="E82" s="163"/>
      <c r="F82" s="163"/>
      <c r="G82" s="163"/>
      <c r="H82" s="163"/>
      <c r="I82" s="163"/>
      <c r="J82" s="167"/>
    </row>
    <row r="83" spans="1:10">
      <c r="B83" s="152" t="s">
        <v>47</v>
      </c>
      <c r="C83" s="195">
        <f>SUM(C78:I78)</f>
        <v>54951</v>
      </c>
      <c r="D83" s="195"/>
      <c r="E83" s="163"/>
      <c r="F83" s="163"/>
      <c r="G83" s="163"/>
      <c r="H83" s="163"/>
      <c r="I83" s="163"/>
      <c r="J83" s="167"/>
    </row>
    <row r="84" spans="1:10">
      <c r="B84" s="152" t="s">
        <v>48</v>
      </c>
      <c r="C84" s="63">
        <f>SUM(C79:I79)</f>
        <v>87190</v>
      </c>
      <c r="D84" s="112"/>
      <c r="E84" s="206"/>
      <c r="J84" s="167"/>
    </row>
    <row r="85" spans="1:10">
      <c r="B85" s="152" t="s">
        <v>12</v>
      </c>
      <c r="C85" s="195">
        <f>+C84+C83</f>
        <v>142141</v>
      </c>
      <c r="D85" s="112"/>
      <c r="E85" s="206"/>
      <c r="J85" s="167"/>
    </row>
    <row r="86" spans="1:10">
      <c r="B86" s="152"/>
      <c r="C86" s="195"/>
      <c r="D86" s="112"/>
      <c r="E86" s="206"/>
      <c r="J86" s="167"/>
    </row>
    <row r="87" spans="1:10">
      <c r="C87" s="206"/>
      <c r="D87" s="206"/>
      <c r="E87" s="206"/>
      <c r="F87" s="206"/>
      <c r="G87" s="206"/>
      <c r="H87" s="206"/>
      <c r="I87" s="206"/>
      <c r="J87" s="167"/>
    </row>
    <row r="88" spans="1:10">
      <c r="B88" s="22" t="s">
        <v>313</v>
      </c>
      <c r="C88" s="206"/>
      <c r="D88" s="206"/>
      <c r="E88" s="206"/>
      <c r="F88" s="206"/>
      <c r="G88" s="206"/>
      <c r="H88" s="206"/>
      <c r="I88" s="206"/>
      <c r="J88" s="167"/>
    </row>
    <row r="89" spans="1:10">
      <c r="A89" s="260"/>
      <c r="B89" s="112"/>
      <c r="C89" s="220"/>
      <c r="D89" s="220"/>
      <c r="E89" s="220"/>
      <c r="F89" s="220"/>
      <c r="G89" s="220"/>
      <c r="H89" s="206"/>
      <c r="I89" s="206"/>
      <c r="J89" s="167"/>
    </row>
    <row r="90" spans="1:10" ht="15">
      <c r="A90" s="260"/>
      <c r="B90" s="112" t="s">
        <v>311</v>
      </c>
      <c r="C90" s="67" t="s">
        <v>12</v>
      </c>
      <c r="D90" s="67" t="s">
        <v>262</v>
      </c>
      <c r="E90" s="67" t="s">
        <v>303</v>
      </c>
      <c r="F90" s="220"/>
      <c r="G90" s="220"/>
      <c r="H90" s="206"/>
      <c r="I90" s="206"/>
      <c r="J90" s="167"/>
    </row>
    <row r="91" spans="1:10">
      <c r="A91" s="260"/>
      <c r="B91" s="265" t="s">
        <v>47</v>
      </c>
      <c r="C91" s="195">
        <f>'Weighted Avg Price Calc'!G$27/1000</f>
        <v>56029.606</v>
      </c>
      <c r="D91" s="217">
        <f>ROUND('BGS Cost &amp; Bid Factors'!$C$147*SUM('BGS Cost &amp; Bid Factors'!$C$141:$I$141)/12*'BGS Cost &amp; Bid Factors'!H$144/1000*'BGS Cost &amp; Bid Factors'!C447,0)</f>
        <v>4219</v>
      </c>
      <c r="E91" s="195">
        <f>C91-D91</f>
        <v>51810.606</v>
      </c>
      <c r="F91" s="220"/>
      <c r="G91" s="220"/>
      <c r="H91" s="206"/>
      <c r="I91" s="206"/>
      <c r="J91" s="167"/>
    </row>
    <row r="92" spans="1:10" ht="15">
      <c r="A92" s="260"/>
      <c r="B92" s="265" t="s">
        <v>48</v>
      </c>
      <c r="C92" s="64">
        <f>'Weighted Avg Price Calc'!G$28/1000</f>
        <v>86562.989000000001</v>
      </c>
      <c r="D92" s="64">
        <f>ROUND('BGS Cost &amp; Bid Factors'!$C$147*SUM('BGS Cost &amp; Bid Factors'!$C$141:$I$141)/12*'BGS Cost &amp; Bid Factors'!H$145/1000*'BGS Cost &amp; Bid Factors'!C459,0)</f>
        <v>8437</v>
      </c>
      <c r="E92" s="64">
        <f>C92-D92</f>
        <v>78125.989000000001</v>
      </c>
      <c r="F92" s="220"/>
      <c r="G92" s="220"/>
      <c r="H92" s="206"/>
      <c r="I92" s="206"/>
      <c r="J92" s="167"/>
    </row>
    <row r="93" spans="1:10">
      <c r="A93" s="260"/>
      <c r="B93" s="265" t="s">
        <v>12</v>
      </c>
      <c r="C93" s="195">
        <f>+C92+C91</f>
        <v>142592.595</v>
      </c>
      <c r="D93" s="195">
        <f>D91+D92</f>
        <v>12656</v>
      </c>
      <c r="E93" s="195">
        <f>E91+E92</f>
        <v>129936.595</v>
      </c>
      <c r="F93" s="220"/>
      <c r="G93" s="220"/>
      <c r="H93" s="206"/>
      <c r="I93" s="206"/>
      <c r="J93" s="167"/>
    </row>
    <row r="94" spans="1:10">
      <c r="A94" s="260"/>
      <c r="B94" s="112"/>
      <c r="C94" s="220"/>
      <c r="D94" s="220"/>
      <c r="E94" s="220"/>
      <c r="F94" s="220"/>
      <c r="G94" s="220"/>
      <c r="H94" s="206"/>
      <c r="I94" s="206"/>
      <c r="J94" s="167"/>
    </row>
    <row r="95" spans="1:10" ht="15">
      <c r="A95" s="260"/>
      <c r="B95" s="112" t="s">
        <v>312</v>
      </c>
      <c r="C95" s="67" t="s">
        <v>12</v>
      </c>
      <c r="D95" s="67" t="s">
        <v>262</v>
      </c>
      <c r="E95" s="67" t="s">
        <v>303</v>
      </c>
      <c r="F95" s="220"/>
      <c r="G95" s="220"/>
      <c r="H95" s="206"/>
      <c r="I95" s="206"/>
      <c r="J95" s="167"/>
    </row>
    <row r="96" spans="1:10">
      <c r="A96" s="260"/>
      <c r="B96" s="265" t="s">
        <v>47</v>
      </c>
      <c r="C96" s="195">
        <v>4872</v>
      </c>
      <c r="D96" s="195">
        <v>0</v>
      </c>
      <c r="E96" s="195">
        <f>C96-D96</f>
        <v>4872</v>
      </c>
      <c r="F96" s="220"/>
      <c r="G96" s="220"/>
      <c r="H96" s="206"/>
      <c r="I96" s="206"/>
      <c r="J96" s="167"/>
    </row>
    <row r="97" spans="1:10" ht="15">
      <c r="A97" s="260"/>
      <c r="B97" s="265" t="s">
        <v>48</v>
      </c>
      <c r="C97" s="64">
        <v>7425</v>
      </c>
      <c r="D97" s="64">
        <v>0</v>
      </c>
      <c r="E97" s="64">
        <f>C97-D97</f>
        <v>7425</v>
      </c>
      <c r="F97" s="220"/>
      <c r="G97" s="220"/>
      <c r="H97" s="206"/>
      <c r="I97" s="206"/>
      <c r="J97" s="167"/>
    </row>
    <row r="98" spans="1:10">
      <c r="A98" s="260"/>
      <c r="B98" s="265" t="s">
        <v>12</v>
      </c>
      <c r="C98" s="195">
        <f>+C97+C96</f>
        <v>12297</v>
      </c>
      <c r="D98" s="195">
        <f>D96+D97</f>
        <v>0</v>
      </c>
      <c r="E98" s="195">
        <f>E96+E97</f>
        <v>12297</v>
      </c>
      <c r="F98" s="220"/>
      <c r="G98" s="220"/>
      <c r="H98" s="206"/>
      <c r="I98" s="206"/>
      <c r="J98" s="167"/>
    </row>
    <row r="99" spans="1:10">
      <c r="A99" s="260"/>
      <c r="B99" s="112"/>
      <c r="C99" s="220"/>
      <c r="D99" s="220"/>
      <c r="E99" s="220"/>
      <c r="F99" s="220"/>
      <c r="G99" s="220"/>
      <c r="H99" s="206"/>
      <c r="I99" s="206"/>
      <c r="J99" s="167"/>
    </row>
    <row r="100" spans="1:10" ht="15">
      <c r="B100" s="112" t="s">
        <v>310</v>
      </c>
      <c r="C100" s="66" t="s">
        <v>12</v>
      </c>
      <c r="D100" s="66" t="s">
        <v>262</v>
      </c>
      <c r="E100" s="66" t="s">
        <v>303</v>
      </c>
      <c r="F100" s="206"/>
      <c r="G100" s="206"/>
      <c r="H100" s="206"/>
      <c r="I100" s="206"/>
      <c r="J100" s="167"/>
    </row>
    <row r="101" spans="1:10">
      <c r="B101" s="152" t="s">
        <v>47</v>
      </c>
      <c r="C101" s="195">
        <f>C91+C96</f>
        <v>60901.606</v>
      </c>
      <c r="D101" s="195">
        <f>D91+D96</f>
        <v>4219</v>
      </c>
      <c r="E101" s="163">
        <f>C101-D101</f>
        <v>56682.606</v>
      </c>
      <c r="J101" s="167"/>
    </row>
    <row r="102" spans="1:10" ht="15">
      <c r="B102" s="152" t="s">
        <v>48</v>
      </c>
      <c r="C102" s="64">
        <f>C92+C97</f>
        <v>93987.989000000001</v>
      </c>
      <c r="D102" s="64">
        <f>D92+D97</f>
        <v>8437</v>
      </c>
      <c r="E102" s="64">
        <f>C102-D102</f>
        <v>85550.989000000001</v>
      </c>
      <c r="J102" s="167"/>
    </row>
    <row r="103" spans="1:10">
      <c r="B103" s="152" t="s">
        <v>12</v>
      </c>
      <c r="C103" s="163">
        <f>+C102+C101</f>
        <v>154889.595</v>
      </c>
      <c r="D103" s="163">
        <f>+D102+D101</f>
        <v>12656</v>
      </c>
      <c r="E103" s="195">
        <f>E101+E102</f>
        <v>142233.595</v>
      </c>
      <c r="J103" s="167"/>
    </row>
    <row r="104" spans="1:10">
      <c r="C104" s="206"/>
      <c r="D104" s="39"/>
      <c r="E104" s="206"/>
      <c r="F104" s="38"/>
      <c r="G104" s="128" t="s">
        <v>330</v>
      </c>
      <c r="J104" s="167"/>
    </row>
    <row r="105" spans="1:10">
      <c r="B105" s="109" t="s">
        <v>213</v>
      </c>
      <c r="C105" s="128" t="s">
        <v>263</v>
      </c>
      <c r="D105" s="128" t="s">
        <v>263</v>
      </c>
      <c r="E105" s="128"/>
      <c r="G105" s="128" t="s">
        <v>307</v>
      </c>
      <c r="J105" s="167"/>
    </row>
    <row r="106" spans="1:10">
      <c r="B106" s="128"/>
      <c r="C106" s="21" t="s">
        <v>304</v>
      </c>
      <c r="D106" s="21" t="s">
        <v>305</v>
      </c>
      <c r="E106" s="21" t="s">
        <v>306</v>
      </c>
      <c r="G106" s="21" t="s">
        <v>308</v>
      </c>
      <c r="I106" s="167"/>
      <c r="J106" s="167"/>
    </row>
    <row r="107" spans="1:10">
      <c r="B107" s="152" t="s">
        <v>47</v>
      </c>
      <c r="C107" s="163">
        <f>C83</f>
        <v>54951</v>
      </c>
      <c r="D107" s="163">
        <f>E101</f>
        <v>56682.606</v>
      </c>
      <c r="E107" s="163">
        <f>D107-C107</f>
        <v>1731.6059999999998</v>
      </c>
      <c r="G107" s="1">
        <f>ROUND(1+E107/C83,5)</f>
        <v>1.0315099999999999</v>
      </c>
      <c r="I107" s="167"/>
      <c r="J107" s="167"/>
    </row>
    <row r="108" spans="1:10">
      <c r="B108" s="152" t="s">
        <v>48</v>
      </c>
      <c r="C108" s="65">
        <f>C84</f>
        <v>87190</v>
      </c>
      <c r="D108" s="65">
        <f>E102</f>
        <v>85550.989000000001</v>
      </c>
      <c r="E108" s="65">
        <f>D108-C108</f>
        <v>-1639.0109999999986</v>
      </c>
      <c r="G108" s="1">
        <f>ROUND(1+E108/C84,5)</f>
        <v>0.98119999999999996</v>
      </c>
      <c r="I108" s="167"/>
      <c r="J108" s="167"/>
    </row>
    <row r="109" spans="1:10">
      <c r="B109" s="152" t="s">
        <v>12</v>
      </c>
      <c r="C109" s="195">
        <f>+C108+C107</f>
        <v>142141</v>
      </c>
      <c r="D109" s="195">
        <f>+D108+D107</f>
        <v>142233.595</v>
      </c>
      <c r="E109" s="195">
        <f>+E108+E107</f>
        <v>92.595000000001164</v>
      </c>
      <c r="I109" s="167"/>
      <c r="J109" s="167"/>
    </row>
    <row r="110" spans="1:10">
      <c r="B110" s="128"/>
      <c r="I110" s="167"/>
      <c r="J110" s="167"/>
    </row>
    <row r="111" spans="1:10">
      <c r="A111" s="40" t="s">
        <v>324</v>
      </c>
      <c r="B111" s="20" t="s">
        <v>325</v>
      </c>
    </row>
    <row r="112" spans="1:10">
      <c r="A112" s="40"/>
      <c r="B112" s="20"/>
    </row>
    <row r="113" spans="1:10">
      <c r="A113" s="40"/>
      <c r="B113" s="20"/>
    </row>
    <row r="114" spans="1:10">
      <c r="B114" s="58" t="s">
        <v>326</v>
      </c>
    </row>
    <row r="115" spans="1:10">
      <c r="B115" s="1"/>
    </row>
    <row r="116" spans="1:10">
      <c r="C116" s="73" t="str">
        <f>'BGS Cost &amp; Bid Factors'!C$6</f>
        <v>SC1</v>
      </c>
      <c r="D116" s="73" t="str">
        <f>'BGS Cost &amp; Bid Factors'!D$6</f>
        <v>SC5</v>
      </c>
      <c r="E116" s="73" t="str">
        <f>'BGS Cost &amp; Bid Factors'!E$6</f>
        <v>SC3</v>
      </c>
      <c r="F116" s="73" t="str">
        <f>'BGS Cost &amp; Bid Factors'!F$6</f>
        <v>SC2 ND</v>
      </c>
      <c r="G116" s="73" t="str">
        <f>'BGS Cost &amp; Bid Factors'!G$6</f>
        <v>SC4</v>
      </c>
      <c r="H116" s="73" t="str">
        <f>'BGS Cost &amp; Bid Factors'!H$6</f>
        <v>SC6</v>
      </c>
      <c r="I116" s="73" t="str">
        <f>'BGS Cost &amp; Bid Factors'!I$6</f>
        <v>SC2 Dem</v>
      </c>
      <c r="J116" s="106"/>
    </row>
    <row r="117" spans="1:10">
      <c r="C117" s="106"/>
      <c r="D117" s="106"/>
      <c r="E117" s="106"/>
      <c r="F117" s="106"/>
      <c r="G117" s="106"/>
      <c r="H117" s="106"/>
      <c r="I117" s="106"/>
      <c r="J117" s="106"/>
    </row>
    <row r="118" spans="1:10">
      <c r="B118" s="22" t="s">
        <v>47</v>
      </c>
    </row>
    <row r="119" spans="1:10">
      <c r="B119" s="178" t="s">
        <v>184</v>
      </c>
      <c r="C119" s="132">
        <f>ROUND(C57*$G$107,3)</f>
        <v>10.831</v>
      </c>
      <c r="D119" s="241">
        <f>ROUND(D57*$G$107,3)</f>
        <v>10.201000000000001</v>
      </c>
      <c r="F119" s="241">
        <f>ROUND(F57*$G$107,3)</f>
        <v>10.161</v>
      </c>
      <c r="G119" s="241">
        <f>ROUND(G57*$G$107,3)</f>
        <v>7.0860000000000003</v>
      </c>
      <c r="H119" s="241">
        <f>ROUND(H57*$G$107,3)</f>
        <v>7.0860000000000003</v>
      </c>
      <c r="I119" s="241">
        <f>ROUND(I57*$G$107,3)</f>
        <v>8.4819999999999993</v>
      </c>
      <c r="J119" s="190"/>
    </row>
    <row r="120" spans="1:10">
      <c r="B120" s="178" t="s">
        <v>185</v>
      </c>
      <c r="E120" s="241">
        <f>ROUND(E58*$G$107,3)</f>
        <v>14.163</v>
      </c>
      <c r="J120" s="190"/>
    </row>
    <row r="121" spans="1:10">
      <c r="B121" s="178" t="s">
        <v>186</v>
      </c>
      <c r="E121" s="241">
        <f>ROUND(E59*$G$107,3)</f>
        <v>6.8890000000000002</v>
      </c>
      <c r="J121" s="190"/>
    </row>
    <row r="122" spans="1:10">
      <c r="B122" s="130" t="s">
        <v>215</v>
      </c>
      <c r="C122" s="132">
        <f t="shared" ref="C122:D124" si="1">ROUND(C60*$G$107,3)</f>
        <v>9.9120000000000008</v>
      </c>
      <c r="D122" s="241">
        <f t="shared" si="1"/>
        <v>9.1379999999999999</v>
      </c>
      <c r="E122" s="190"/>
      <c r="J122" s="190"/>
    </row>
    <row r="123" spans="1:10">
      <c r="B123" s="132" t="s">
        <v>216</v>
      </c>
      <c r="C123" s="132">
        <f t="shared" si="1"/>
        <v>11.065</v>
      </c>
      <c r="D123" s="241">
        <f t="shared" si="1"/>
        <v>10.3</v>
      </c>
      <c r="E123" s="190"/>
      <c r="J123" s="190"/>
    </row>
    <row r="124" spans="1:10">
      <c r="B124" s="132" t="s">
        <v>217</v>
      </c>
      <c r="C124" s="130" t="s">
        <v>224</v>
      </c>
      <c r="D124" s="241">
        <f t="shared" si="1"/>
        <v>11.083</v>
      </c>
      <c r="E124" s="190"/>
      <c r="J124" s="190"/>
    </row>
    <row r="126" spans="1:10">
      <c r="B126" s="128" t="s">
        <v>183</v>
      </c>
      <c r="I126" s="241">
        <f>ROUND(I64*$G$107,3)</f>
        <v>4.9260000000000002</v>
      </c>
      <c r="J126" s="167"/>
    </row>
    <row r="128" spans="1:10">
      <c r="B128" s="22" t="s">
        <v>48</v>
      </c>
    </row>
    <row r="129" spans="1:10">
      <c r="B129" s="178" t="s">
        <v>184</v>
      </c>
      <c r="C129" s="132">
        <f>ROUND(C67*$G$108,3)</f>
        <v>11.061999999999999</v>
      </c>
      <c r="D129" s="132">
        <f>ROUND(D67*$G$108,3)</f>
        <v>9.4030000000000005</v>
      </c>
      <c r="F129" s="241">
        <f>ROUND(F67*$G$108,3)</f>
        <v>9.0180000000000007</v>
      </c>
      <c r="G129" s="241">
        <f>ROUND(G67*$G$108,3)</f>
        <v>6.9749999999999996</v>
      </c>
      <c r="H129" s="241">
        <f>ROUND(H67*$G$108,3)</f>
        <v>6.9370000000000003</v>
      </c>
      <c r="I129" s="241">
        <f>ROUND(I67*$G$108,3)</f>
        <v>7.8049999999999997</v>
      </c>
    </row>
    <row r="130" spans="1:10">
      <c r="B130" s="178" t="s">
        <v>185</v>
      </c>
      <c r="E130" s="241">
        <f>ROUND(E68*$G$108,3)</f>
        <v>12.891</v>
      </c>
      <c r="J130" s="190"/>
    </row>
    <row r="131" spans="1:10">
      <c r="B131" s="178" t="s">
        <v>186</v>
      </c>
      <c r="E131" s="241">
        <f>ROUND(E69*$G$108,3)</f>
        <v>6.7679999999999998</v>
      </c>
      <c r="J131" s="190"/>
    </row>
    <row r="133" spans="1:10">
      <c r="B133" s="128" t="s">
        <v>183</v>
      </c>
      <c r="I133" s="241">
        <f>ROUND(I71*$G$108,3)</f>
        <v>5.1989999999999998</v>
      </c>
      <c r="J133" s="167"/>
    </row>
    <row r="134" spans="1:10">
      <c r="A134" s="260"/>
      <c r="B134" s="130"/>
      <c r="C134" s="112"/>
      <c r="D134" s="112"/>
      <c r="E134" s="112"/>
      <c r="F134" s="112"/>
      <c r="G134" s="112"/>
      <c r="H134" s="112"/>
      <c r="I134" s="241"/>
      <c r="J134" s="266"/>
    </row>
    <row r="135" spans="1:10">
      <c r="A135" s="260"/>
      <c r="B135" s="58" t="s">
        <v>327</v>
      </c>
      <c r="C135" s="112"/>
      <c r="D135" s="112" t="s">
        <v>257</v>
      </c>
      <c r="E135" s="240">
        <v>7.0000000000000007E-2</v>
      </c>
      <c r="F135" s="112"/>
      <c r="G135" s="112"/>
      <c r="H135" s="112"/>
      <c r="I135" s="112"/>
      <c r="J135" s="266"/>
    </row>
    <row r="136" spans="1:10">
      <c r="A136" s="260"/>
      <c r="B136" s="112"/>
      <c r="C136" s="112"/>
      <c r="D136" s="112"/>
      <c r="E136" s="112"/>
      <c r="F136" s="112"/>
      <c r="G136" s="112"/>
      <c r="H136" s="112"/>
      <c r="I136" s="112"/>
      <c r="J136" s="266"/>
    </row>
    <row r="137" spans="1:10">
      <c r="A137" s="260"/>
      <c r="B137" s="112"/>
      <c r="C137" s="76" t="s">
        <v>136</v>
      </c>
      <c r="D137" s="76" t="s">
        <v>137</v>
      </c>
      <c r="E137" s="76" t="s">
        <v>135</v>
      </c>
      <c r="F137" s="76" t="s">
        <v>141</v>
      </c>
      <c r="G137" s="76" t="s">
        <v>138</v>
      </c>
      <c r="H137" s="76" t="s">
        <v>139</v>
      </c>
      <c r="I137" s="76" t="s">
        <v>140</v>
      </c>
      <c r="J137" s="266"/>
    </row>
    <row r="138" spans="1:10">
      <c r="A138" s="260"/>
      <c r="B138" s="72" t="s">
        <v>47</v>
      </c>
      <c r="C138" s="112"/>
      <c r="D138" s="112"/>
      <c r="E138" s="112"/>
      <c r="F138" s="112"/>
      <c r="G138" s="112"/>
      <c r="H138" s="112"/>
      <c r="I138" s="112"/>
      <c r="J138" s="266"/>
    </row>
    <row r="139" spans="1:10">
      <c r="A139" s="260"/>
      <c r="B139" s="132" t="s">
        <v>184</v>
      </c>
      <c r="C139" s="132"/>
      <c r="D139" s="132"/>
      <c r="E139" s="112"/>
      <c r="F139" s="241">
        <f>ROUND(F119*(1+$E$135),3)</f>
        <v>10.872</v>
      </c>
      <c r="G139" s="241">
        <f>ROUND(G119*(1+$E$135),3)</f>
        <v>7.5819999999999999</v>
      </c>
      <c r="H139" s="241">
        <f>ROUND(H119*(1+$E$135),3)</f>
        <v>7.5819999999999999</v>
      </c>
      <c r="I139" s="241">
        <f>ROUND(I119*(1+$E$135),3)</f>
        <v>9.0760000000000005</v>
      </c>
      <c r="J139" s="266"/>
    </row>
    <row r="140" spans="1:10">
      <c r="A140" s="260"/>
      <c r="B140" s="132" t="s">
        <v>185</v>
      </c>
      <c r="C140" s="112"/>
      <c r="D140" s="112"/>
      <c r="E140" s="241">
        <f>ROUND(E120*(1+$E$135),3)</f>
        <v>15.154</v>
      </c>
      <c r="F140" s="112"/>
      <c r="G140" s="112"/>
      <c r="H140" s="112"/>
      <c r="I140" s="112"/>
      <c r="J140" s="266"/>
    </row>
    <row r="141" spans="1:10">
      <c r="A141" s="260"/>
      <c r="B141" s="132" t="s">
        <v>186</v>
      </c>
      <c r="C141" s="112"/>
      <c r="D141" s="112"/>
      <c r="E141" s="241">
        <f>ROUND(E121*(1+$E$135),3)</f>
        <v>7.3710000000000004</v>
      </c>
      <c r="F141" s="112"/>
      <c r="G141" s="112"/>
      <c r="H141" s="112"/>
      <c r="I141" s="112"/>
      <c r="J141" s="266"/>
    </row>
    <row r="142" spans="1:10">
      <c r="A142" s="260"/>
      <c r="B142" s="130" t="s">
        <v>215</v>
      </c>
      <c r="C142" s="241">
        <f>ROUND(C122*(1+$E$135),3)</f>
        <v>10.606</v>
      </c>
      <c r="D142" s="241">
        <f>ROUND(D122*(1+$E$135),3)</f>
        <v>9.7780000000000005</v>
      </c>
      <c r="E142" s="94"/>
      <c r="F142" s="112"/>
      <c r="G142" s="112"/>
      <c r="H142" s="112"/>
      <c r="I142" s="112"/>
      <c r="J142" s="266"/>
    </row>
    <row r="143" spans="1:10">
      <c r="A143" s="260"/>
      <c r="B143" s="132" t="s">
        <v>216</v>
      </c>
      <c r="C143" s="241">
        <f>ROUND(C123*(1+$E$135),3)</f>
        <v>11.84</v>
      </c>
      <c r="D143" s="241">
        <f>ROUND(D123*(1+$E$135),3)</f>
        <v>11.021000000000001</v>
      </c>
      <c r="E143" s="94"/>
      <c r="F143" s="112"/>
      <c r="G143" s="112"/>
      <c r="H143" s="112"/>
      <c r="I143" s="112"/>
      <c r="J143" s="266"/>
    </row>
    <row r="144" spans="1:10">
      <c r="A144" s="260"/>
      <c r="B144" s="132" t="s">
        <v>217</v>
      </c>
      <c r="C144" s="130" t="s">
        <v>224</v>
      </c>
      <c r="D144" s="241">
        <f>ROUND(D124*(1+$E$135),3)</f>
        <v>11.859</v>
      </c>
      <c r="E144" s="94"/>
      <c r="F144" s="112"/>
      <c r="G144" s="112"/>
      <c r="H144" s="112"/>
      <c r="I144" s="112"/>
      <c r="J144" s="266"/>
    </row>
    <row r="145" spans="1:10">
      <c r="A145" s="260"/>
      <c r="B145" s="112"/>
      <c r="C145" s="112"/>
      <c r="D145" s="112"/>
      <c r="E145" s="112"/>
      <c r="F145" s="112"/>
      <c r="G145" s="112"/>
      <c r="H145" s="112"/>
      <c r="I145" s="112"/>
      <c r="J145" s="266"/>
    </row>
    <row r="146" spans="1:10">
      <c r="A146" s="260"/>
      <c r="B146" s="130" t="s">
        <v>183</v>
      </c>
      <c r="C146" s="112"/>
      <c r="D146" s="112"/>
      <c r="E146" s="112"/>
      <c r="F146" s="112"/>
      <c r="G146" s="112"/>
      <c r="H146" s="112"/>
      <c r="I146" s="241">
        <f>ROUND(I126*(1+$E$135),2)</f>
        <v>5.27</v>
      </c>
      <c r="J146" s="266"/>
    </row>
    <row r="147" spans="1:10">
      <c r="A147" s="260"/>
      <c r="B147" s="112"/>
      <c r="C147" s="112"/>
      <c r="D147" s="112"/>
      <c r="E147" s="112"/>
      <c r="F147" s="112"/>
      <c r="G147" s="112"/>
      <c r="H147" s="112"/>
      <c r="I147" s="112"/>
      <c r="J147" s="266"/>
    </row>
    <row r="148" spans="1:10">
      <c r="A148" s="260"/>
      <c r="B148" s="72" t="s">
        <v>48</v>
      </c>
      <c r="C148" s="112"/>
      <c r="D148" s="112"/>
      <c r="E148" s="112"/>
      <c r="F148" s="112"/>
      <c r="G148" s="112"/>
      <c r="H148" s="112"/>
      <c r="I148" s="112"/>
      <c r="J148" s="266"/>
    </row>
    <row r="149" spans="1:10">
      <c r="A149" s="260"/>
      <c r="B149" s="132" t="s">
        <v>184</v>
      </c>
      <c r="C149" s="241">
        <f>ROUND(C129*(1+$E$135),3)</f>
        <v>11.836</v>
      </c>
      <c r="D149" s="241">
        <f>ROUND(D129*(1+$E$135),3)</f>
        <v>10.061</v>
      </c>
      <c r="E149" s="112"/>
      <c r="F149" s="241">
        <f>ROUND(F129*(1+$E$135),3)</f>
        <v>9.6489999999999991</v>
      </c>
      <c r="G149" s="241">
        <f>ROUND(G129*(1+$E$135),3)</f>
        <v>7.4630000000000001</v>
      </c>
      <c r="H149" s="241">
        <f>ROUND(H129*(1+$E$135),3)</f>
        <v>7.423</v>
      </c>
      <c r="I149" s="241">
        <f>ROUND(I129*(1+$E$135),3)</f>
        <v>8.3510000000000009</v>
      </c>
      <c r="J149" s="266"/>
    </row>
    <row r="150" spans="1:10">
      <c r="A150" s="260"/>
      <c r="B150" s="132" t="s">
        <v>185</v>
      </c>
      <c r="C150" s="112"/>
      <c r="D150" s="112"/>
      <c r="E150" s="241">
        <f>ROUND(E130*(1+$E$135),3)</f>
        <v>13.792999999999999</v>
      </c>
      <c r="F150" s="112"/>
      <c r="G150" s="112"/>
      <c r="H150" s="112"/>
      <c r="I150" s="112"/>
      <c r="J150" s="266"/>
    </row>
    <row r="151" spans="1:10">
      <c r="A151" s="260"/>
      <c r="B151" s="132" t="s">
        <v>186</v>
      </c>
      <c r="C151" s="112"/>
      <c r="D151" s="112"/>
      <c r="E151" s="241">
        <f>ROUND(E131*(1+$E$135),3)</f>
        <v>7.242</v>
      </c>
      <c r="F151" s="112"/>
      <c r="G151" s="112"/>
      <c r="H151" s="112"/>
      <c r="I151" s="112"/>
      <c r="J151" s="266"/>
    </row>
    <row r="152" spans="1:10">
      <c r="A152" s="260"/>
      <c r="B152" s="112"/>
      <c r="C152" s="112"/>
      <c r="D152" s="112"/>
      <c r="E152" s="112"/>
      <c r="F152" s="112"/>
      <c r="G152" s="112"/>
      <c r="H152" s="112"/>
      <c r="I152" s="112"/>
      <c r="J152" s="266"/>
    </row>
    <row r="153" spans="1:10">
      <c r="A153" s="260"/>
      <c r="B153" s="130" t="s">
        <v>183</v>
      </c>
      <c r="C153" s="112"/>
      <c r="D153" s="112"/>
      <c r="E153" s="112"/>
      <c r="F153" s="112"/>
      <c r="G153" s="112"/>
      <c r="H153" s="112"/>
      <c r="I153" s="241">
        <f>ROUND(I133*(1+$E$135),2)</f>
        <v>5.56</v>
      </c>
      <c r="J153" s="266"/>
    </row>
    <row r="154" spans="1:10">
      <c r="A154" s="260"/>
      <c r="B154" s="130"/>
      <c r="C154" s="112"/>
      <c r="D154" s="112"/>
      <c r="E154" s="112"/>
      <c r="F154" s="112"/>
      <c r="G154" s="112"/>
      <c r="H154" s="112"/>
      <c r="I154" s="241"/>
      <c r="J154" s="266"/>
    </row>
    <row r="155" spans="1:10">
      <c r="B155" s="128"/>
      <c r="I155" s="167"/>
      <c r="J155" s="167"/>
    </row>
    <row r="156" spans="1:10">
      <c r="A156" s="40" t="s">
        <v>328</v>
      </c>
      <c r="B156" s="40" t="s">
        <v>309</v>
      </c>
      <c r="I156" s="167"/>
      <c r="J156" s="167"/>
    </row>
    <row r="157" spans="1:10">
      <c r="B157" s="40"/>
      <c r="I157" s="167"/>
      <c r="J157" s="167"/>
    </row>
    <row r="158" spans="1:10">
      <c r="B158" s="40"/>
      <c r="I158" s="167"/>
      <c r="J158" s="167"/>
    </row>
    <row r="159" spans="1:10">
      <c r="B159" s="31" t="s">
        <v>188</v>
      </c>
      <c r="I159" s="167"/>
      <c r="J159" s="167"/>
    </row>
    <row r="160" spans="1:10">
      <c r="B160" s="31"/>
      <c r="I160" s="167"/>
      <c r="J160" s="167"/>
    </row>
    <row r="161" spans="2:10">
      <c r="C161" s="73" t="str">
        <f>'BGS Cost &amp; Bid Factors'!C$6</f>
        <v>SC1</v>
      </c>
      <c r="D161" s="73" t="str">
        <f>'BGS Cost &amp; Bid Factors'!D$6</f>
        <v>SC5</v>
      </c>
      <c r="E161" s="73" t="str">
        <f>'BGS Cost &amp; Bid Factors'!E$6</f>
        <v>SC3</v>
      </c>
      <c r="F161" s="73" t="str">
        <f>'BGS Cost &amp; Bid Factors'!F$6</f>
        <v>SC2 ND</v>
      </c>
      <c r="G161" s="73" t="str">
        <f>'BGS Cost &amp; Bid Factors'!G$6</f>
        <v>SC4</v>
      </c>
      <c r="H161" s="73" t="str">
        <f>'BGS Cost &amp; Bid Factors'!H$6</f>
        <v>SC6</v>
      </c>
      <c r="I161" s="73" t="str">
        <f>'BGS Cost &amp; Bid Factors'!I$6</f>
        <v>SC2 Dem</v>
      </c>
      <c r="J161" s="167"/>
    </row>
    <row r="162" spans="2:10">
      <c r="B162" s="31"/>
      <c r="J162" s="167"/>
    </row>
    <row r="163" spans="2:10">
      <c r="B163" s="152" t="s">
        <v>47</v>
      </c>
      <c r="C163" s="179">
        <f>ROUND((C119*'BGS Cost &amp; Bid Factors'!M$48)/100,0)</f>
        <v>33366</v>
      </c>
      <c r="D163" s="179">
        <f>ROUND((D119*'BGS Cost &amp; Bid Factors'!N$48)/100,0)</f>
        <v>562</v>
      </c>
      <c r="E163" s="164">
        <f>ROUND((E120*'BGS Cost &amp; Bid Factors'!O$49+E121*'BGS Cost &amp; Bid Factors'!O$50)/100,0)</f>
        <v>9</v>
      </c>
      <c r="F163" s="179">
        <f>ROUND((F119*'BGS Cost &amp; Bid Factors'!P$48)/100,0)</f>
        <v>1170</v>
      </c>
      <c r="G163" s="179">
        <f>ROUND((G119*'BGS Cost &amp; Bid Factors'!Q$48)/100,0)</f>
        <v>135</v>
      </c>
      <c r="H163" s="179">
        <f>ROUND((H119*'BGS Cost &amp; Bid Factors'!R$48)/100,0)</f>
        <v>122</v>
      </c>
      <c r="I163" s="164">
        <v>21320</v>
      </c>
      <c r="J163" s="167"/>
    </row>
    <row r="164" spans="2:10">
      <c r="B164" s="152" t="s">
        <v>48</v>
      </c>
      <c r="C164" s="61">
        <f>ROUND(C129*'BGS Cost &amp; Bid Factors'!M$44/100,0)</f>
        <v>46835</v>
      </c>
      <c r="D164" s="61">
        <f>ROUND(D129*'BGS Cost &amp; Bid Factors'!N$44/100,0)</f>
        <v>1041</v>
      </c>
      <c r="E164" s="62">
        <f>ROUND((E130*'BGS Cost &amp; Bid Factors'!O$45+E131*'BGS Cost &amp; Bid Factors'!O$46)/100,0)</f>
        <v>16</v>
      </c>
      <c r="F164" s="61">
        <f>ROUND(F129*'BGS Cost &amp; Bid Factors'!P$44/100,0)</f>
        <v>2486</v>
      </c>
      <c r="G164" s="61">
        <f>ROUND(G129*'BGS Cost &amp; Bid Factors'!Q$44/100,0)</f>
        <v>344</v>
      </c>
      <c r="H164" s="61">
        <f>ROUND(H129*'BGS Cost &amp; Bid Factors'!R$44/100,0)</f>
        <v>281</v>
      </c>
      <c r="I164" s="62">
        <v>34546</v>
      </c>
      <c r="J164" s="167"/>
    </row>
    <row r="165" spans="2:10">
      <c r="B165" s="152" t="s">
        <v>12</v>
      </c>
      <c r="C165" s="195">
        <f t="shared" ref="C165:I165" si="2">+C164+C163</f>
        <v>80201</v>
      </c>
      <c r="D165" s="195">
        <f t="shared" si="2"/>
        <v>1603</v>
      </c>
      <c r="E165" s="163">
        <f t="shared" si="2"/>
        <v>25</v>
      </c>
      <c r="F165" s="195">
        <f t="shared" si="2"/>
        <v>3656</v>
      </c>
      <c r="G165" s="195">
        <f t="shared" si="2"/>
        <v>479</v>
      </c>
      <c r="H165" s="195">
        <f t="shared" si="2"/>
        <v>403</v>
      </c>
      <c r="I165" s="163">
        <f t="shared" si="2"/>
        <v>55866</v>
      </c>
      <c r="J165" s="167"/>
    </row>
    <row r="166" spans="2:10">
      <c r="B166" s="152"/>
      <c r="C166" s="195"/>
      <c r="D166" s="195"/>
      <c r="E166" s="163"/>
      <c r="F166" s="163"/>
      <c r="G166" s="163"/>
      <c r="H166" s="163"/>
      <c r="I166" s="163"/>
      <c r="J166" s="167"/>
    </row>
    <row r="167" spans="2:10">
      <c r="B167" s="152" t="s">
        <v>12</v>
      </c>
      <c r="C167" s="195"/>
      <c r="D167" s="195"/>
      <c r="E167" s="163"/>
      <c r="F167" s="163"/>
      <c r="G167" s="163"/>
      <c r="H167" s="163"/>
      <c r="I167" s="163"/>
      <c r="J167" s="167"/>
    </row>
    <row r="168" spans="2:10">
      <c r="B168" s="152" t="s">
        <v>47</v>
      </c>
      <c r="C168" s="195">
        <f>SUM(C163:I163)</f>
        <v>56684</v>
      </c>
      <c r="D168" s="195"/>
      <c r="E168" s="163"/>
      <c r="F168" s="163"/>
      <c r="G168" s="163"/>
      <c r="H168" s="163"/>
      <c r="I168" s="163"/>
      <c r="J168" s="167"/>
    </row>
    <row r="169" spans="2:10">
      <c r="B169" s="152" t="s">
        <v>48</v>
      </c>
      <c r="C169" s="63">
        <f>SUM(C164:I164)</f>
        <v>85549</v>
      </c>
      <c r="D169" s="112"/>
      <c r="E169" s="206"/>
      <c r="J169" s="167"/>
    </row>
    <row r="170" spans="2:10">
      <c r="B170" s="152" t="s">
        <v>12</v>
      </c>
      <c r="C170" s="195">
        <f>+C169+C168</f>
        <v>142233</v>
      </c>
      <c r="D170" s="112"/>
      <c r="E170" s="206"/>
      <c r="J170" s="167"/>
    </row>
    <row r="171" spans="2:10">
      <c r="B171" s="152"/>
      <c r="C171" s="195"/>
      <c r="D171" s="112"/>
      <c r="E171" s="206"/>
      <c r="J171" s="167"/>
    </row>
    <row r="172" spans="2:10">
      <c r="B172" s="22" t="s">
        <v>316</v>
      </c>
      <c r="C172" s="106"/>
      <c r="D172" s="106"/>
      <c r="E172" s="106"/>
      <c r="F172" s="106"/>
      <c r="G172" s="106"/>
      <c r="H172" s="106"/>
      <c r="I172" s="106"/>
      <c r="J172" s="167"/>
    </row>
    <row r="173" spans="2:10">
      <c r="C173" s="106"/>
      <c r="D173" s="106"/>
      <c r="E173" s="106"/>
      <c r="F173" s="106"/>
      <c r="G173" s="106"/>
      <c r="H173" s="106"/>
      <c r="I173" s="106"/>
      <c r="J173" s="167"/>
    </row>
    <row r="174" spans="2:10">
      <c r="B174" s="112" t="s">
        <v>311</v>
      </c>
      <c r="C174" s="220"/>
      <c r="D174" s="220"/>
      <c r="E174" s="220"/>
      <c r="F174" s="106"/>
      <c r="G174" s="106"/>
      <c r="H174" s="106"/>
      <c r="I174" s="106"/>
      <c r="J174" s="167"/>
    </row>
    <row r="175" spans="2:10" ht="15">
      <c r="B175" s="112"/>
      <c r="C175" s="67" t="s">
        <v>12</v>
      </c>
      <c r="D175" s="67" t="s">
        <v>262</v>
      </c>
      <c r="E175" s="67" t="s">
        <v>303</v>
      </c>
      <c r="F175" s="106"/>
      <c r="G175" s="106"/>
      <c r="H175" s="106"/>
      <c r="I175" s="106"/>
      <c r="J175" s="167"/>
    </row>
    <row r="176" spans="2:10">
      <c r="B176" s="265" t="s">
        <v>47</v>
      </c>
      <c r="C176" s="195">
        <f>'Weighted Avg Price Calc'!G$27/1000</f>
        <v>56029.606</v>
      </c>
      <c r="D176" s="217">
        <f>ROUND('BGS Cost &amp; Bid Factors'!$C$147*SUM('BGS Cost &amp; Bid Factors'!$C$141:$I$141)/12*'BGS Cost &amp; Bid Factors'!H$144/1000*'BGS Cost &amp; Bid Factors'!C447,0)</f>
        <v>4219</v>
      </c>
      <c r="E176" s="195">
        <f>C176-D176</f>
        <v>51810.606</v>
      </c>
      <c r="F176" s="106"/>
      <c r="G176" s="106"/>
      <c r="H176" s="106"/>
      <c r="I176" s="106"/>
      <c r="J176" s="167"/>
    </row>
    <row r="177" spans="2:10" ht="15">
      <c r="B177" s="265" t="s">
        <v>48</v>
      </c>
      <c r="C177" s="64">
        <f>'Weighted Avg Price Calc'!G$28/1000</f>
        <v>86562.989000000001</v>
      </c>
      <c r="D177" s="64">
        <f>ROUND('BGS Cost &amp; Bid Factors'!$C$147*SUM('BGS Cost &amp; Bid Factors'!$C$141:$I$141)/12*'BGS Cost &amp; Bid Factors'!H$145/1000*'BGS Cost &amp; Bid Factors'!C447,0)</f>
        <v>8437</v>
      </c>
      <c r="E177" s="64">
        <f>C177-D177</f>
        <v>78125.989000000001</v>
      </c>
      <c r="F177" s="106"/>
      <c r="G177" s="106"/>
      <c r="H177" s="106"/>
      <c r="I177" s="106"/>
      <c r="J177" s="167"/>
    </row>
    <row r="178" spans="2:10">
      <c r="B178" s="265" t="s">
        <v>12</v>
      </c>
      <c r="C178" s="195">
        <f>+C177+C176</f>
        <v>142592.595</v>
      </c>
      <c r="D178" s="195">
        <f>D176+D177</f>
        <v>12656</v>
      </c>
      <c r="E178" s="195">
        <f>E176+E177</f>
        <v>129936.595</v>
      </c>
      <c r="F178" s="106"/>
      <c r="G178" s="106"/>
      <c r="H178" s="106"/>
      <c r="I178" s="106"/>
      <c r="J178" s="167"/>
    </row>
    <row r="179" spans="2:10">
      <c r="B179" s="112"/>
      <c r="C179" s="220"/>
      <c r="D179" s="220"/>
      <c r="E179" s="220"/>
      <c r="F179" s="106"/>
      <c r="G179" s="106"/>
      <c r="H179" s="106"/>
      <c r="I179" s="106"/>
      <c r="J179" s="167"/>
    </row>
    <row r="180" spans="2:10">
      <c r="B180" s="112" t="s">
        <v>312</v>
      </c>
      <c r="C180" s="220"/>
      <c r="D180" s="220"/>
      <c r="E180" s="220"/>
      <c r="F180" s="106"/>
      <c r="G180" s="106"/>
      <c r="H180" s="106"/>
      <c r="I180" s="106"/>
      <c r="J180" s="167"/>
    </row>
    <row r="181" spans="2:10" ht="15">
      <c r="B181" s="112"/>
      <c r="C181" s="67" t="s">
        <v>12</v>
      </c>
      <c r="D181" s="67" t="s">
        <v>262</v>
      </c>
      <c r="E181" s="67" t="s">
        <v>303</v>
      </c>
      <c r="F181" s="106"/>
      <c r="G181" s="106"/>
      <c r="H181" s="106"/>
      <c r="I181" s="106"/>
      <c r="J181" s="167"/>
    </row>
    <row r="182" spans="2:10">
      <c r="B182" s="265" t="s">
        <v>47</v>
      </c>
      <c r="C182" s="195">
        <v>4872</v>
      </c>
      <c r="D182" s="195">
        <v>0</v>
      </c>
      <c r="E182" s="195">
        <f>C182-D182</f>
        <v>4872</v>
      </c>
      <c r="F182" s="106"/>
      <c r="G182" s="106"/>
      <c r="H182" s="106"/>
      <c r="I182" s="106"/>
      <c r="J182" s="167"/>
    </row>
    <row r="183" spans="2:10" ht="15">
      <c r="B183" s="265" t="s">
        <v>48</v>
      </c>
      <c r="C183" s="64">
        <v>7425</v>
      </c>
      <c r="D183" s="64">
        <v>0</v>
      </c>
      <c r="E183" s="64">
        <f>C183-D183</f>
        <v>7425</v>
      </c>
      <c r="F183" s="106"/>
      <c r="G183" s="106"/>
      <c r="H183" s="106"/>
      <c r="I183" s="106"/>
      <c r="J183" s="167"/>
    </row>
    <row r="184" spans="2:10">
      <c r="B184" s="265" t="s">
        <v>12</v>
      </c>
      <c r="C184" s="195">
        <f>+C183+C182</f>
        <v>12297</v>
      </c>
      <c r="D184" s="195">
        <f>D182+D183</f>
        <v>0</v>
      </c>
      <c r="E184" s="195">
        <f>E182+E183</f>
        <v>12297</v>
      </c>
      <c r="F184" s="106"/>
      <c r="G184" s="106"/>
      <c r="H184" s="106"/>
      <c r="I184" s="106"/>
      <c r="J184" s="167"/>
    </row>
    <row r="185" spans="2:10">
      <c r="B185" s="112"/>
      <c r="C185" s="220"/>
      <c r="D185" s="220"/>
      <c r="E185" s="220"/>
      <c r="F185" s="106"/>
      <c r="G185" s="106"/>
      <c r="H185" s="106"/>
      <c r="I185" s="106"/>
      <c r="J185" s="167"/>
    </row>
    <row r="186" spans="2:10">
      <c r="B186" s="112" t="s">
        <v>310</v>
      </c>
      <c r="C186" s="106"/>
      <c r="D186" s="106"/>
      <c r="E186" s="106"/>
      <c r="F186" s="106"/>
      <c r="G186" s="106"/>
      <c r="H186" s="106"/>
      <c r="I186" s="106"/>
      <c r="J186" s="167"/>
    </row>
    <row r="187" spans="2:10" ht="15">
      <c r="C187" s="66" t="s">
        <v>12</v>
      </c>
      <c r="D187" s="66" t="s">
        <v>262</v>
      </c>
      <c r="E187" s="66" t="s">
        <v>303</v>
      </c>
      <c r="F187" s="206"/>
      <c r="G187" s="206"/>
      <c r="H187" s="206"/>
      <c r="I187" s="206"/>
      <c r="J187" s="167"/>
    </row>
    <row r="188" spans="2:10">
      <c r="B188" s="152" t="s">
        <v>47</v>
      </c>
      <c r="C188" s="195">
        <f>C176+C182</f>
        <v>60901.606</v>
      </c>
      <c r="D188" s="195">
        <f>D176+D182</f>
        <v>4219</v>
      </c>
      <c r="E188" s="163">
        <f>C188-D188</f>
        <v>56682.606</v>
      </c>
      <c r="J188" s="167"/>
    </row>
    <row r="189" spans="2:10" ht="15">
      <c r="B189" s="152" t="s">
        <v>48</v>
      </c>
      <c r="C189" s="64">
        <f>C177+C183</f>
        <v>93987.989000000001</v>
      </c>
      <c r="D189" s="64">
        <f>D177+D183</f>
        <v>8437</v>
      </c>
      <c r="E189" s="64">
        <f>C189-D189</f>
        <v>85550.989000000001</v>
      </c>
      <c r="J189" s="167"/>
    </row>
    <row r="190" spans="2:10">
      <c r="B190" s="152" t="s">
        <v>12</v>
      </c>
      <c r="C190" s="163">
        <f>+C189+C188</f>
        <v>154889.595</v>
      </c>
      <c r="D190" s="195">
        <f>D188+D189</f>
        <v>12656</v>
      </c>
      <c r="E190" s="195">
        <f>E188+E189</f>
        <v>142233.595</v>
      </c>
      <c r="J190" s="167"/>
    </row>
    <row r="191" spans="2:10">
      <c r="C191" s="206"/>
      <c r="D191" s="39"/>
      <c r="E191" s="206"/>
      <c r="F191" s="38"/>
      <c r="J191" s="167"/>
    </row>
    <row r="192" spans="2:10">
      <c r="B192" s="109" t="s">
        <v>213</v>
      </c>
      <c r="G192" s="128"/>
      <c r="J192" s="167"/>
    </row>
    <row r="193" spans="1:10">
      <c r="C193" s="128" t="s">
        <v>263</v>
      </c>
      <c r="D193" s="128" t="s">
        <v>263</v>
      </c>
      <c r="E193" s="128"/>
      <c r="G193" s="128"/>
      <c r="J193" s="167"/>
    </row>
    <row r="194" spans="1:10">
      <c r="B194" s="128"/>
      <c r="C194" s="21" t="s">
        <v>304</v>
      </c>
      <c r="D194" s="21" t="s">
        <v>305</v>
      </c>
      <c r="E194" s="21" t="s">
        <v>306</v>
      </c>
      <c r="G194" s="21"/>
      <c r="I194" s="167"/>
      <c r="J194" s="167"/>
    </row>
    <row r="195" spans="1:10">
      <c r="B195" s="152" t="s">
        <v>47</v>
      </c>
      <c r="C195" s="163">
        <f>C168</f>
        <v>56684</v>
      </c>
      <c r="D195" s="163">
        <f>E188</f>
        <v>56682.606</v>
      </c>
      <c r="E195" s="163">
        <f>D195-C195</f>
        <v>-1.3940000000002328</v>
      </c>
      <c r="I195" s="167"/>
      <c r="J195" s="167"/>
    </row>
    <row r="196" spans="1:10">
      <c r="B196" s="152" t="s">
        <v>48</v>
      </c>
      <c r="C196" s="65">
        <f>C169</f>
        <v>85549</v>
      </c>
      <c r="D196" s="65">
        <f>E189</f>
        <v>85550.989000000001</v>
      </c>
      <c r="E196" s="65">
        <f>D196-C196</f>
        <v>1.989000000001397</v>
      </c>
      <c r="I196" s="167"/>
      <c r="J196" s="167"/>
    </row>
    <row r="197" spans="1:10">
      <c r="B197" s="152" t="s">
        <v>12</v>
      </c>
      <c r="C197" s="195">
        <f>+C196+C195</f>
        <v>142233</v>
      </c>
      <c r="D197" s="195">
        <f>+D196+D195</f>
        <v>142233.595</v>
      </c>
      <c r="E197" s="195">
        <f>+E196+E195</f>
        <v>0.59500000000116415</v>
      </c>
      <c r="I197" s="167"/>
      <c r="J197" s="167"/>
    </row>
    <row r="198" spans="1:10">
      <c r="B198" s="128"/>
      <c r="I198" s="167"/>
      <c r="J198" s="167"/>
    </row>
    <row r="199" spans="1:10">
      <c r="A199" s="19"/>
      <c r="B199" s="20" t="s">
        <v>239</v>
      </c>
      <c r="J199" s="167"/>
    </row>
    <row r="200" spans="1:10">
      <c r="A200" s="19"/>
      <c r="B200" s="20"/>
      <c r="J200" s="167"/>
    </row>
    <row r="201" spans="1:10">
      <c r="A201" s="19"/>
      <c r="B201" s="31" t="s">
        <v>240</v>
      </c>
      <c r="J201" s="167"/>
    </row>
    <row r="202" spans="1:10">
      <c r="A202" s="19"/>
      <c r="B202" s="108"/>
      <c r="C202" s="106" t="str">
        <f t="shared" ref="C202:I202" si="3">C55</f>
        <v>SC1</v>
      </c>
      <c r="D202" s="106" t="str">
        <f t="shared" si="3"/>
        <v>SC5</v>
      </c>
      <c r="E202" s="106" t="str">
        <f t="shared" si="3"/>
        <v>SC3</v>
      </c>
      <c r="F202" s="106" t="str">
        <f t="shared" si="3"/>
        <v>SC2 ND</v>
      </c>
      <c r="G202" s="106" t="str">
        <f t="shared" si="3"/>
        <v>SC4</v>
      </c>
      <c r="H202" s="106" t="str">
        <f t="shared" si="3"/>
        <v>SC6</v>
      </c>
      <c r="I202" s="106" t="str">
        <f t="shared" si="3"/>
        <v>SC2 Dem</v>
      </c>
      <c r="J202" s="167"/>
    </row>
    <row r="203" spans="1:10">
      <c r="A203" s="19"/>
      <c r="B203" s="108" t="s">
        <v>241</v>
      </c>
      <c r="C203" s="171">
        <f>'BGS Cost &amp; Bid Factors'!C536</f>
        <v>1.1299999999999999</v>
      </c>
      <c r="D203" s="171">
        <f>'BGS Cost &amp; Bid Factors'!D536</f>
        <v>0.74199999999999999</v>
      </c>
      <c r="E203" s="171">
        <f>'BGS Cost &amp; Bid Factors'!E536</f>
        <v>0.75800000000000001</v>
      </c>
      <c r="F203" s="171">
        <f>'BGS Cost &amp; Bid Factors'!F536</f>
        <v>0.51600000000000001</v>
      </c>
      <c r="G203" s="171">
        <f>'BGS Cost &amp; Bid Factors'!G536</f>
        <v>0.66200000000000003</v>
      </c>
      <c r="H203" s="171">
        <f>'BGS Cost &amp; Bid Factors'!H536</f>
        <v>0.57999999999999996</v>
      </c>
      <c r="I203" s="171">
        <f>'BGS Cost &amp; Bid Factors'!I536</f>
        <v>0.51600000000000001</v>
      </c>
      <c r="J203" s="167"/>
    </row>
    <row r="204" spans="1:10">
      <c r="A204" s="19"/>
      <c r="B204" s="108" t="s">
        <v>242</v>
      </c>
      <c r="I204" s="243">
        <f>'BGS Cost &amp; Bid Factors'!I537</f>
        <v>1.29</v>
      </c>
      <c r="J204" s="167"/>
    </row>
    <row r="205" spans="1:10">
      <c r="I205" s="243">
        <f>'BGS Cost &amp; Bid Factors'!I538</f>
        <v>1.1100000000000001</v>
      </c>
      <c r="J205" s="167"/>
    </row>
    <row r="206" spans="1:10">
      <c r="J206" s="167"/>
    </row>
    <row r="207" spans="1:10">
      <c r="J207" s="167"/>
    </row>
    <row r="208" spans="1:10">
      <c r="B208" s="31" t="s">
        <v>243</v>
      </c>
      <c r="J208" s="167"/>
    </row>
    <row r="209" spans="2:10">
      <c r="J209" s="167"/>
    </row>
    <row r="210" spans="2:10">
      <c r="J210" s="167"/>
    </row>
    <row r="211" spans="2:10">
      <c r="B211" s="22" t="s">
        <v>47</v>
      </c>
      <c r="J211" s="167"/>
    </row>
    <row r="212" spans="2:10">
      <c r="B212" s="178" t="s">
        <v>184</v>
      </c>
      <c r="C212" s="190">
        <f t="shared" ref="C212:I219" si="4">IF(C119&gt;0,C119+C$203,"")</f>
        <v>11.960999999999999</v>
      </c>
      <c r="D212" s="190">
        <f t="shared" si="4"/>
        <v>10.943000000000001</v>
      </c>
      <c r="E212" s="190" t="str">
        <f t="shared" si="4"/>
        <v/>
      </c>
      <c r="F212" s="190">
        <f t="shared" si="4"/>
        <v>10.677</v>
      </c>
      <c r="G212" s="190">
        <f t="shared" si="4"/>
        <v>7.7480000000000002</v>
      </c>
      <c r="H212" s="190">
        <f t="shared" si="4"/>
        <v>7.6660000000000004</v>
      </c>
      <c r="I212" s="190">
        <f t="shared" si="4"/>
        <v>8.9979999999999993</v>
      </c>
      <c r="J212" s="167"/>
    </row>
    <row r="213" spans="2:10">
      <c r="B213" s="178" t="s">
        <v>185</v>
      </c>
      <c r="C213" s="190" t="str">
        <f t="shared" si="4"/>
        <v/>
      </c>
      <c r="D213" s="190" t="str">
        <f t="shared" si="4"/>
        <v/>
      </c>
      <c r="E213" s="190">
        <f t="shared" si="4"/>
        <v>14.920999999999999</v>
      </c>
      <c r="F213" s="190" t="str">
        <f t="shared" si="4"/>
        <v/>
      </c>
      <c r="G213" s="190" t="str">
        <f t="shared" si="4"/>
        <v/>
      </c>
      <c r="H213" s="190" t="str">
        <f t="shared" si="4"/>
        <v/>
      </c>
      <c r="I213" s="190" t="str">
        <f t="shared" si="4"/>
        <v/>
      </c>
      <c r="J213" s="167"/>
    </row>
    <row r="214" spans="2:10">
      <c r="B214" s="178" t="s">
        <v>186</v>
      </c>
      <c r="C214" s="190" t="str">
        <f t="shared" si="4"/>
        <v/>
      </c>
      <c r="D214" s="190" t="str">
        <f t="shared" si="4"/>
        <v/>
      </c>
      <c r="E214" s="190">
        <f t="shared" si="4"/>
        <v>7.6470000000000002</v>
      </c>
      <c r="F214" s="190" t="str">
        <f t="shared" si="4"/>
        <v/>
      </c>
      <c r="G214" s="190" t="str">
        <f t="shared" si="4"/>
        <v/>
      </c>
      <c r="H214" s="190" t="str">
        <f t="shared" si="4"/>
        <v/>
      </c>
      <c r="I214" s="190" t="str">
        <f t="shared" si="4"/>
        <v/>
      </c>
      <c r="J214" s="167"/>
    </row>
    <row r="215" spans="2:10">
      <c r="B215" s="130" t="s">
        <v>215</v>
      </c>
      <c r="C215" s="190">
        <f t="shared" si="4"/>
        <v>11.042000000000002</v>
      </c>
      <c r="D215" s="190">
        <f t="shared" si="4"/>
        <v>9.879999999999999</v>
      </c>
      <c r="E215" s="190" t="str">
        <f t="shared" si="4"/>
        <v/>
      </c>
      <c r="F215" s="190" t="str">
        <f t="shared" si="4"/>
        <v/>
      </c>
      <c r="G215" s="190" t="str">
        <f t="shared" si="4"/>
        <v/>
      </c>
      <c r="H215" s="190" t="str">
        <f t="shared" si="4"/>
        <v/>
      </c>
      <c r="I215" s="190" t="str">
        <f t="shared" si="4"/>
        <v/>
      </c>
      <c r="J215" s="167"/>
    </row>
    <row r="216" spans="2:10">
      <c r="B216" s="132" t="s">
        <v>216</v>
      </c>
      <c r="C216" s="190">
        <f t="shared" si="4"/>
        <v>12.195</v>
      </c>
      <c r="D216" s="190">
        <f t="shared" si="4"/>
        <v>11.042000000000002</v>
      </c>
      <c r="E216" s="190" t="str">
        <f t="shared" si="4"/>
        <v/>
      </c>
      <c r="F216" s="190" t="str">
        <f t="shared" si="4"/>
        <v/>
      </c>
      <c r="G216" s="190" t="str">
        <f t="shared" si="4"/>
        <v/>
      </c>
      <c r="H216" s="190" t="str">
        <f t="shared" si="4"/>
        <v/>
      </c>
      <c r="I216" s="190" t="str">
        <f t="shared" si="4"/>
        <v/>
      </c>
      <c r="J216" s="167"/>
    </row>
    <row r="217" spans="2:10">
      <c r="B217" s="132" t="s">
        <v>217</v>
      </c>
      <c r="C217" s="190" t="e">
        <f t="shared" si="4"/>
        <v>#VALUE!</v>
      </c>
      <c r="D217" s="190">
        <f t="shared" si="4"/>
        <v>11.824999999999999</v>
      </c>
      <c r="E217" s="190" t="str">
        <f t="shared" si="4"/>
        <v/>
      </c>
      <c r="F217" s="190" t="str">
        <f t="shared" si="4"/>
        <v/>
      </c>
      <c r="G217" s="190" t="str">
        <f t="shared" si="4"/>
        <v/>
      </c>
      <c r="H217" s="190" t="str">
        <f t="shared" si="4"/>
        <v/>
      </c>
      <c r="I217" s="190" t="str">
        <f t="shared" si="4"/>
        <v/>
      </c>
      <c r="J217" s="167"/>
    </row>
    <row r="218" spans="2:10">
      <c r="C218" s="190" t="str">
        <f t="shared" si="4"/>
        <v/>
      </c>
      <c r="D218" s="190" t="str">
        <f t="shared" si="4"/>
        <v/>
      </c>
      <c r="E218" s="190" t="str">
        <f t="shared" si="4"/>
        <v/>
      </c>
      <c r="F218" s="190" t="str">
        <f t="shared" si="4"/>
        <v/>
      </c>
      <c r="G218" s="190" t="str">
        <f t="shared" si="4"/>
        <v/>
      </c>
      <c r="H218" s="190" t="str">
        <f t="shared" si="4"/>
        <v/>
      </c>
      <c r="I218" s="190" t="str">
        <f t="shared" si="4"/>
        <v/>
      </c>
      <c r="J218" s="167"/>
    </row>
    <row r="219" spans="2:10">
      <c r="B219" s="128" t="s">
        <v>183</v>
      </c>
      <c r="C219" s="190" t="str">
        <f t="shared" si="4"/>
        <v/>
      </c>
      <c r="D219" s="190" t="str">
        <f t="shared" si="4"/>
        <v/>
      </c>
      <c r="E219" s="190" t="str">
        <f t="shared" si="4"/>
        <v/>
      </c>
      <c r="F219" s="190" t="str">
        <f t="shared" si="4"/>
        <v/>
      </c>
      <c r="G219" s="190" t="str">
        <f t="shared" si="4"/>
        <v/>
      </c>
      <c r="H219" s="190" t="str">
        <f t="shared" si="4"/>
        <v/>
      </c>
      <c r="I219" s="190">
        <f>IF(I126&gt;0,I126+I$204,"")</f>
        <v>6.2160000000000002</v>
      </c>
      <c r="J219" s="167"/>
    </row>
    <row r="220" spans="2:10">
      <c r="J220" s="167"/>
    </row>
    <row r="221" spans="2:10">
      <c r="B221" s="22" t="s">
        <v>48</v>
      </c>
      <c r="J221" s="167"/>
    </row>
    <row r="222" spans="2:10">
      <c r="B222" s="178" t="s">
        <v>184</v>
      </c>
      <c r="C222" s="190">
        <f t="shared" ref="C222:I226" si="5">IF(C129&gt;0,C129+C$203,"")</f>
        <v>12.192</v>
      </c>
      <c r="D222" s="190">
        <f t="shared" si="5"/>
        <v>10.145</v>
      </c>
      <c r="E222" s="190" t="str">
        <f t="shared" si="5"/>
        <v/>
      </c>
      <c r="F222" s="190">
        <f t="shared" si="5"/>
        <v>9.5340000000000007</v>
      </c>
      <c r="G222" s="190">
        <f t="shared" si="5"/>
        <v>7.6369999999999996</v>
      </c>
      <c r="H222" s="190">
        <f t="shared" si="5"/>
        <v>7.5170000000000003</v>
      </c>
      <c r="I222" s="190">
        <f t="shared" si="5"/>
        <v>8.3209999999999997</v>
      </c>
      <c r="J222" s="167"/>
    </row>
    <row r="223" spans="2:10">
      <c r="B223" s="178" t="s">
        <v>185</v>
      </c>
      <c r="C223" s="190" t="str">
        <f t="shared" si="5"/>
        <v/>
      </c>
      <c r="D223" s="190" t="str">
        <f t="shared" si="5"/>
        <v/>
      </c>
      <c r="E223" s="190">
        <f t="shared" si="5"/>
        <v>13.649000000000001</v>
      </c>
      <c r="F223" s="190" t="str">
        <f t="shared" si="5"/>
        <v/>
      </c>
      <c r="G223" s="190" t="str">
        <f t="shared" si="5"/>
        <v/>
      </c>
      <c r="H223" s="190" t="str">
        <f t="shared" si="5"/>
        <v/>
      </c>
      <c r="I223" s="190" t="str">
        <f t="shared" si="5"/>
        <v/>
      </c>
      <c r="J223" s="167"/>
    </row>
    <row r="224" spans="2:10">
      <c r="B224" s="178" t="s">
        <v>186</v>
      </c>
      <c r="C224" s="190" t="str">
        <f t="shared" si="5"/>
        <v/>
      </c>
      <c r="D224" s="190" t="str">
        <f t="shared" si="5"/>
        <v/>
      </c>
      <c r="E224" s="190">
        <f t="shared" si="5"/>
        <v>7.5259999999999998</v>
      </c>
      <c r="F224" s="190" t="str">
        <f t="shared" si="5"/>
        <v/>
      </c>
      <c r="G224" s="190" t="str">
        <f t="shared" si="5"/>
        <v/>
      </c>
      <c r="H224" s="190" t="str">
        <f t="shared" si="5"/>
        <v/>
      </c>
      <c r="I224" s="190" t="str">
        <f t="shared" si="5"/>
        <v/>
      </c>
      <c r="J224" s="167"/>
    </row>
    <row r="225" spans="2:10">
      <c r="C225" s="190" t="str">
        <f t="shared" si="5"/>
        <v/>
      </c>
      <c r="D225" s="190" t="str">
        <f t="shared" si="5"/>
        <v/>
      </c>
      <c r="E225" s="190" t="str">
        <f t="shared" si="5"/>
        <v/>
      </c>
      <c r="F225" s="190" t="str">
        <f t="shared" si="5"/>
        <v/>
      </c>
      <c r="G225" s="190" t="str">
        <f t="shared" si="5"/>
        <v/>
      </c>
      <c r="H225" s="190" t="str">
        <f t="shared" si="5"/>
        <v/>
      </c>
      <c r="I225" s="190" t="str">
        <f t="shared" si="5"/>
        <v/>
      </c>
      <c r="J225" s="167"/>
    </row>
    <row r="226" spans="2:10">
      <c r="B226" s="128" t="s">
        <v>183</v>
      </c>
      <c r="C226" s="190" t="str">
        <f t="shared" si="5"/>
        <v/>
      </c>
      <c r="D226" s="190" t="str">
        <f t="shared" si="5"/>
        <v/>
      </c>
      <c r="E226" s="190" t="str">
        <f t="shared" si="5"/>
        <v/>
      </c>
      <c r="F226" s="190" t="str">
        <f t="shared" si="5"/>
        <v/>
      </c>
      <c r="G226" s="190" t="str">
        <f t="shared" si="5"/>
        <v/>
      </c>
      <c r="H226" s="190" t="str">
        <f t="shared" si="5"/>
        <v/>
      </c>
      <c r="I226" s="190">
        <f>IF(I133&gt;0,I133+I$205,"")</f>
        <v>6.3090000000000002</v>
      </c>
      <c r="J226" s="167"/>
    </row>
    <row r="227" spans="2:10">
      <c r="B227" s="128"/>
      <c r="I227" s="167"/>
      <c r="J227" s="167"/>
    </row>
    <row r="228" spans="2:10">
      <c r="B228" s="128"/>
      <c r="I228" s="167"/>
      <c r="J228" s="167"/>
    </row>
  </sheetData>
  <phoneticPr fontId="0" type="noConversion"/>
  <printOptions horizontalCentered="1"/>
  <pageMargins left="0.5" right="0.5" top="0.5" bottom="0.5" header="0.5" footer="0.25"/>
  <pageSetup scale="88" orientation="landscape" r:id="rId1"/>
  <headerFooter alignWithMargins="0">
    <oddHeader>&amp;R&amp;"Arial,Bold"Attachment C&amp;"Arial,Regular"
Page &amp;P of &amp;N
Revised August 2011</oddHeader>
    <oddFooter>&amp;L&amp;F&amp;R&amp;D</oddFooter>
  </headerFooter>
  <rowBreaks count="5" manualBreakCount="5">
    <brk id="45" max="9" man="1"/>
    <brk id="73" max="9" man="1"/>
    <brk id="110" max="9" man="1"/>
    <brk id="155" max="9" man="1"/>
    <brk id="19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BGS Cost &amp; Bid Factors</vt:lpstr>
      <vt:lpstr>Weighted Avg Price Calc</vt:lpstr>
      <vt:lpstr>Rate Calculations</vt:lpstr>
      <vt:lpstr>'BGS Cost &amp; Bid Factors'!Print_Area</vt:lpstr>
      <vt:lpstr>'Rate Calculations'!Print_Area</vt:lpstr>
      <vt:lpstr>'Rate Calculations'!Print_Titles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joer</dc:creator>
  <cp:lastModifiedBy>ruggieroc</cp:lastModifiedBy>
  <cp:lastPrinted>2009-11-24T13:51:54Z</cp:lastPrinted>
  <dcterms:created xsi:type="dcterms:W3CDTF">2002-02-27T17:48:59Z</dcterms:created>
  <dcterms:modified xsi:type="dcterms:W3CDTF">2011-08-16T19:27:54Z</dcterms:modified>
</cp:coreProperties>
</file>